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EADE1FD-F700-8E45-8436-E972ED15B378}"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T8" i="1"/>
  <c r="BF9" i="1"/>
  <c r="BT9" i="1"/>
  <c r="BF10" i="1"/>
  <c r="BT10" i="1"/>
  <c r="BF11" i="1"/>
  <c r="BT11" i="1"/>
  <c r="BF12" i="1"/>
  <c r="BT12" i="1"/>
  <c r="BF13" i="1"/>
  <c r="BT13" i="1"/>
  <c r="BF14" i="1"/>
  <c r="BT14" i="1"/>
  <c r="BF15" i="1"/>
  <c r="BT15" i="1"/>
  <c r="BF16" i="1"/>
  <c r="BT16" i="1"/>
  <c r="BF17" i="1"/>
  <c r="BT17" i="1"/>
  <c r="BT18"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T81" i="1"/>
  <c r="BT82" i="1"/>
  <c r="BF83" i="1"/>
  <c r="BT83" i="1"/>
  <c r="BF84" i="1"/>
  <c r="BT84"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T140" i="1"/>
  <c r="BT141" i="1"/>
  <c r="BT142" i="1"/>
  <c r="BT143" i="1"/>
  <c r="BT144" i="1"/>
  <c r="BT145" i="1"/>
  <c r="BT146" i="1"/>
  <c r="BT147" i="1"/>
  <c r="BT148" i="1"/>
  <c r="BT149" i="1"/>
  <c r="BT150"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T225" i="1"/>
  <c r="BF226" i="1"/>
  <c r="BT226" i="1"/>
  <c r="BF227" i="1"/>
  <c r="BT227" i="1"/>
  <c r="BF228" i="1"/>
  <c r="BT228"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T241" i="1"/>
  <c r="BT242"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T273" i="1"/>
  <c r="BF274" i="1"/>
  <c r="BT274" i="1"/>
  <c r="BF275" i="1"/>
  <c r="BT275" i="1"/>
  <c r="BF276" i="1"/>
  <c r="BT276" i="1"/>
  <c r="BF277" i="1"/>
  <c r="BT277" i="1"/>
  <c r="BF278" i="1"/>
  <c r="BT278" i="1"/>
  <c r="BF279" i="1"/>
  <c r="BT279" i="1"/>
  <c r="BF280" i="1"/>
  <c r="BT280" i="1"/>
  <c r="BF281" i="1"/>
  <c r="BT281" i="1"/>
  <c r="BF282" i="1"/>
  <c r="BT282" i="1"/>
  <c r="BF283" i="1"/>
  <c r="BT283" i="1"/>
  <c r="BT284" i="1"/>
  <c r="BF285" i="1"/>
  <c r="BT285" i="1"/>
  <c r="BF286" i="1"/>
  <c r="BT286" i="1"/>
  <c r="BF287" i="1"/>
  <c r="BT287" i="1"/>
  <c r="BF288" i="1"/>
  <c r="BT288" i="1"/>
  <c r="BT289"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T620" i="1"/>
  <c r="BF621" i="1"/>
  <c r="BT621" i="1"/>
  <c r="BT622" i="1"/>
  <c r="BF623" i="1"/>
  <c r="BT623" i="1"/>
  <c r="BF624" i="1"/>
  <c r="BT624" i="1"/>
  <c r="BF625" i="1"/>
  <c r="BT625" i="1"/>
  <c r="BT626" i="1"/>
  <c r="BT627" i="1"/>
  <c r="BT628" i="1"/>
  <c r="BF629" i="1"/>
  <c r="BT629" i="1"/>
  <c r="BF630" i="1"/>
  <c r="BT630" i="1"/>
  <c r="BF631" i="1"/>
  <c r="BT631"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T676" i="1"/>
  <c r="BF677" i="1"/>
  <c r="BT677" i="1"/>
  <c r="BF678" i="1"/>
  <c r="BT678" i="1"/>
  <c r="BF679" i="1"/>
  <c r="BT679" i="1"/>
  <c r="BF680" i="1"/>
  <c r="BT680" i="1"/>
  <c r="BT681" i="1"/>
  <c r="BT682" i="1"/>
  <c r="BT683" i="1"/>
  <c r="BT684" i="1"/>
  <c r="BT685" i="1"/>
  <c r="BT686" i="1"/>
  <c r="BT687" i="1"/>
  <c r="BT688" i="1"/>
  <c r="BT689"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T949" i="1"/>
  <c r="BF950" i="1"/>
  <c r="BT950" i="1"/>
  <c r="BF951" i="1"/>
  <c r="BT951" i="1"/>
  <c r="BF952" i="1"/>
  <c r="BT952" i="1"/>
  <c r="BF953" i="1"/>
  <c r="BT953" i="1"/>
  <c r="BF954" i="1"/>
  <c r="BT954" i="1"/>
  <c r="BF955" i="1"/>
  <c r="BT955"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<sst xmlns="http://schemas.openxmlformats.org/spreadsheetml/2006/main" count="59278" uniqueCount="18221">
  <si>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</si>
  <si>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</si>
  <si>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</si>
  <si>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</si>
  <si>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</si>
  <si>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</si>
  <si>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</si>
  <si>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</si>
  <si>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</si>
  <si>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</si>
  <si>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</si>
  <si>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</si>
  <si>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</si>
  <si>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</si>
  <si>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</si>
  <si>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</si>
  <si>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</si>
  <si>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</si>
  <si>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</si>
  <si>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</si>
  <si>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</si>
  <si>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</si>
  <si>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</si>
  <si>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</si>
  <si>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</si>
  <si>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</si>
  <si>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</si>
  <si>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</si>
  <si>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</si>
  <si>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</si>
  <si>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</si>
  <si>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</si>
  <si>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</si>
  <si>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</si>
  <si>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</si>
  <si>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</si>
  <si>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</si>
  <si>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</si>
  <si>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</si>
  <si>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</si>
  <si>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</si>
  <si>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</si>
  <si>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</si>
  <si>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</si>
  <si>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</si>
  <si>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</si>
  <si>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</si>
  <si>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</si>
  <si>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</si>
  <si>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</si>
  <si>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</si>
  <si>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</si>
  <si>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</si>
  <si>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</si>
  <si>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</si>
  <si>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</si>
  <si>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</si>
  <si>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</si>
  <si>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</si>
  <si>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</si>
  <si>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</si>
  <si>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</si>
  <si>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</si>
  <si>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</si>
  <si>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</si>
  <si>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</si>
  <si>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</si>
  <si>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</si>
  <si>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</si>
  <si>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</si>
  <si>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</si>
  <si>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</si>
  <si>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</si>
  <si>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Walsh, BM; Sibeck, DG; Nishimura, Y; Angelopoulos, V</t>
  </si>
  <si>
    <t/>
  </si>
  <si>
    <t>Walsh, B. M.; Sibeck, D. G.; Nishimura, Y.; Angelopoulos, V.</t>
  </si>
  <si>
    <t>Statistical analysis of the plasmaspheric plume at the magnetopause</t>
  </si>
  <si>
    <t>JOURNAL OF GEOPHYSICAL RESEARCH-SPACE PHYSICS</t>
  </si>
  <si>
    <t>English</t>
  </si>
  <si>
    <t>Article</t>
  </si>
  <si>
    <t>reconnection; plume; magnetopause</t>
  </si>
  <si>
    <t>DAYSIDE MAGNETOPAUSE; MAGNETIC SHEAR; BOUNDARY-LAYER; IMAGE-RPI; PLASMAPAUSE; INSTRUMENT; THEMIS; IONS; MAGNETOSPHERE; CONVECTION</t>
  </si>
  <si>
    <t>During times of enhanced magnetospheric convection, cold dense plasma from the plasmasphere can form a plume extending sunward toward the dayside magnetopause. A statistical study is presented of cold high-density plasmaspheric plasma at the magnetopause. Observations from the Time History of Events and Macroscale Interactions (THEMIS) spacecraft show the plume to be present at the dayside magnetopause during 12.5% (148 of 1184) of the crossings. Its most common location in magnetic local time when contacting the magnetopause is at 13.6 h. The magnetopause crossings show evidence for reconnection in 68% of events with the plume while only 47% of events without plume. Although the plume is more likely to be observed at the magnetopause when reconnection is occurring, the typical reconnection jet velocity is lower for plume events than nonplume events, indicating the presence of the plume may be slowing the efficiency of the reconnection process.</t>
  </si>
  <si>
    <t>[Walsh, B. M.; Sibeck, D. G.] NASA, Goddard Space Flight Ctr, Greenbelt, MD 20771 USA; [Nishimura, Y.; Angelopoulos, V.] Univ Calif Los Angeles, Dept Atmospher &amp; Ocean Sci, Los Angeles, CA USA</t>
  </si>
  <si>
    <t>National Aeronautics &amp; Space Administration (NASA); NASA Goddard Space Flight Center; University of California System; University of California Los Angeles</t>
  </si>
  <si>
    <t>Walsh, BM (corresponding author), NASA, Goddard Space Flight Ctr, Heliospher Div, Greenbelt, MD 20771 USA.</t>
  </si>
  <si>
    <t>brian.walsh@nasa.gov</t>
  </si>
  <si>
    <t>Sibeck, David G/D-4424-2012; Walsh, Brian/C-4899-2016</t>
  </si>
  <si>
    <t>Angelopoulos, Vassilis/0000-0001-7024-1561; Walsh, Brian/0000-0001-7426-5413</t>
  </si>
  <si>
    <t>National Science Foundation [AGS-1136827]; NASA [NAS5-02099]; Div Atmospheric &amp; Geospace Sciences; Directorate For Geosciences [1136827] Funding Source: National Science Foundation</t>
  </si>
  <si>
    <t>National Science Foundation(National Science Foundation (NSF)); NASA(National Aeronautics &amp; Space Administration (NASA)); Div Atmospheric &amp; Geospace Sciences; Directorate For Geosciences(National Science Foundation (NSF)NSF - Directorate for Geosciences (GEO))</t>
  </si>
  <si>
    <t>We thank J. Borovsky and M. Denton for the use of their geosynchronous plume database. Support was given by the National Science Foundation through grant AGS-1136827. We acknowledge NASA contract NAS5-02099 and instrument teams for the use of the data from the THEMIS Mission, Specifically, C. W. Carlson and J. P. McFadden for the use of ESA data, J. W. Bonnell and F. S. Mozer for the use of EFI data, and K. H. Glassmeier, U. Auster, and W. Baumjohann for the use of FGM data. We also thank the Danish Meteorological Institute and the Arctic and Antarctic Research Institute for providing the Polar Cap index.</t>
  </si>
  <si>
    <t>AMER GEOPHYSICAL UNION</t>
  </si>
  <si>
    <t>WASHINGTON</t>
  </si>
  <si>
    <t>2000 FLORIDA AVE NW, WASHINGTON, DC 20009 USA</t>
  </si>
  <si>
    <t>2169-9380</t>
  </si>
  <si>
    <t>2169-9402</t>
  </si>
  <si>
    <t>J GEOPHYS RES-SPACE</t>
  </si>
  <si>
    <t>J. Geophys. Res-Space Phys.</t>
  </si>
  <si>
    <t>AUG</t>
  </si>
  <si>
    <t>10.1002/jgra.50458</t>
  </si>
  <si>
    <t>Astronomy &amp; Astrophysics</t>
  </si>
  <si>
    <t>Science Citation Index Expanded (SCI-EXPANDED)</t>
  </si>
  <si>
    <t>225VK</t>
  </si>
  <si>
    <t>Bronze</t>
  </si>
  <si>
    <t>2024-04-21</t>
  </si>
  <si>
    <t>WOS:000324992300012</t>
  </si>
  <si>
    <t>Singh, AK; Rawat, R; Pathan, BM</t>
  </si>
  <si>
    <t>Singh, Anand K.; Rawat, R.; Pathan, B. M.</t>
  </si>
  <si>
    <t>On the UT and seasonal variations of the standard and SuperMAG auroral electrojet indices</t>
  </si>
  <si>
    <t>auroral electrojet; SuperMAG indices; UT and seasonal variations</t>
  </si>
  <si>
    <t>SEMIANNUAL VARIATION; SUBSTORM ONSET</t>
  </si>
  <si>
    <t>The standard auroral electrojet (AE) indices are based on magnetic disturbance data from 10 to 12 northern auroral observatories. Recently, Newell and Gjerloev (2011a) computed equivalent SuperMAG electrojet (SME) indices using data from around 100 mid latitude to high latitude observatories in the Northern Hemisphere. The SME indices certainly have advantage over the AE indices in terms of number as well as temporal resolution of substorm onsets due to better latitudinal and longitudinal coverage. The UT and seasonal variations of geomagnetic activity have been extensively examined in the past. However, particularly for the AE indices, these variations have remained elusive due to sparse distribution of the AE observatories. In this study, we examine what effect the inclusion of large number of stations would make on the UT and seasonal variations of the auroral electrojets activities. For this purpose, data for years 1997-2009 have been considered when consistently many stations (&gt; 70) were available for the computation of the SME indices. We demonstrate that the SME indices exhibit grossly similar UT and seasonal variations as observed in the AE indices. However, there are subtle differences which arise due to difference in number of stations. Our study suggests that most of the UT and seasonal variations of the AE indices, reported earlier, were mainly not due the sparse distribution of stations, but rather to the actual physical processes that control them.</t>
  </si>
  <si>
    <t>[Singh, Anand K.; Rawat, R.; Pathan, B. M.] Indian Inst Geomagnetism, Navi Mumbai, India</t>
  </si>
  <si>
    <t>Department of Science &amp; Technology (India); Indian Institute of Geomagnetism (IIG)</t>
  </si>
  <si>
    <t>Singh, AK (corresponding author), ESSO Natl Ctr Antarct &amp; Ocean Res, Vasco Da Gama 403804, Goa, India.</t>
  </si>
  <si>
    <t>singhaaks@gmail.com</t>
  </si>
  <si>
    <t>Singh, Anand K./K-7986-2012</t>
  </si>
  <si>
    <t>RAWAT, RASHMI/0000-0002-5917-8693; Rawat, Rahul/0000-0002-7275-8895</t>
  </si>
  <si>
    <t>Brazilian FAPESP [2012/12049-1]; Fundacao de Amparo a Pesquisa do Estado de Sao Paulo (FAPESP) [12/12049-1] Funding Source: FAPESP</t>
  </si>
  <si>
    <t>Brazilian FAPESP(Fundacao de Amparo a Pesquisa do Estado de Sao Paulo (FAPESP)); Fundacao de Amparo a Pesquisa do Estado de Sao Paulo (FAPESP)(Fundacao de Amparo a Pesquisa do Estado de Sao Paulo (FAPESP))</t>
  </si>
  <si>
    <t>Part of this work has been done at the ESSO-National Centre for Antarctic and Ocean Research, Goa, India and the Instituto Nacional de Pesquisas Espaciais, Sao Jose dos Campos, Sao Paulo, Brazil. R. R.'s work at INPE was supported by the Brazilian FAPESP (2012/12049-1). We sincerely thank J. W. Gjerloev and P. T. Newell for the SuperMAG auroral electrojet indices. The standard indices were taken from the World Data Center for Geomagnetism website (http://wdc.kugi.kyotou.ac.jp/index.html). We gratefully acknowledge the following SuperMAG collaborators for the ground magnetometer data: The S-RAMP Database, K. Yumoto and K. Shiokawa; the SPIDR database; Intermagnet; the institutes who maintain the IMAGE magnetometer array; AARI data, O. Troshichev; Danish Meteorological Institute, O. Rasmussen and J. Watermann; CARISMA, I. Mann; the MACCS program, W. J. Hughes and M. Engebretson, as well as the Geomagnetism Unit of the Geological Survey of Canada; GIMA, J. Olson; MEASURE, UCLA IGPP, and Florida Institute of Technology; USGS, J. J. Love; MAGIC, C. R. Clauer; SAMBA, E. Zesta; 210 Chain, K. Yumoto; SAMNET, F. Honary; IMAGE, A. Viljanen; the SuperMAG initiative, J. W. Gjerloev.</t>
  </si>
  <si>
    <t>10.1002/jgra.50488</t>
  </si>
  <si>
    <t>WOS:000324992300030</t>
  </si>
  <si>
    <t>Noah, MA; Burke, WJ</t>
  </si>
  <si>
    <t>Noah, M. A.; Burke, W. J.</t>
  </si>
  <si>
    <t>Sawtooth-substorm connections: A closer look</t>
  </si>
  <si>
    <t>magnetic storms and substorms; magnetosphere inner; ring current; auroral ionosphere; magnetic reconnection</t>
  </si>
  <si>
    <t>MAGNETOSPHERIC SUBSTORMS; IMAGE SPACECRAFT; FIELD; LATITUDE; CONFIGURATION; DISTURBANCE; CONVECTION; ENERGY; ALPHA; MODEL</t>
  </si>
  <si>
    <t>This paper seeks to improve understanding of sawtooth events (STEs) that occur during the main phases of geomagnetic storms. We consider the dynamics of diverse space environments encountered during a magnetic storm on 24 March 2002 when four STEs were identified in energetic particle fluxes measured by Synchronous Orbit Particle Analyzers on Los Alamos National Laboratory satellites. Over the reported interval, 28 substorms were identified in magnetometer traces obtained via the SuperMAG international collaboration. Magnetic inclination variations sampled by the Geostationary Operational Environment Satellites 8 and 10 on the nightside indicate that STEs coincided with substorms marked by strong and prolonged dipolarizations. Significantly, the four STEs were accompanied by partial recoveries of the SYM-H index. Two SuperMAG substorms were marked by weak dipolarizations and energetic particle flux increases. The remaining 22 substorms showed no such signatures near 6.6 R-E. We regard the latter SuperMAG events as indicating intensifications of the DP 2 current system driven by episodically enhanced reconnection at the distant X line. Presented data are shown to be consistent with the conjecture of Huang et al. () that STEs occur only after open flux in the magnetotail exceeds a critical level near 10(9) Wb. During STEs, significant quantities of open flux were removed from the magnetotail at near-Earth reconnection lines. It took similar to 3h to eject plasmoids and replenish open flux in the magnetotail to a critical level via continued dayside merging, thereby driving quasi-cyclic STE occurrences.</t>
  </si>
  <si>
    <t>[Noah, M. A.] Univ Massachusetts, Ctr Atmospher Res, Lowell, MA USA; [Noah, M. A.; Burke, W. J.] Boston Coll, Inst Sci Res, Chestnut Hill, MA 02764 USA</t>
  </si>
  <si>
    <t>University of Massachusetts System; University of Massachusetts Lowell; Boston College</t>
  </si>
  <si>
    <t>Noah, MA (corresponding author), Boston Coll, Inst Sci Res, Chestnut Hill, MA 02764 USA.</t>
  </si>
  <si>
    <t>noahm@bc.edu</t>
  </si>
  <si>
    <t>National Science Foundation [1003652]; Directorate For Geosciences; Div Atmospheric &amp; Geospace Sciences [1003652] Funding Source: National Science Foundation</t>
  </si>
  <si>
    <t>National Science Foundation(National Science Foundation (NSF)); Directorate For Geosciences; Div Atmospheric &amp; Geospace Sciences(National Science Foundation (NSF)NSF - Directorate for Geosciences (GEO))</t>
  </si>
  <si>
    <t>This work was supported by the National Science Foundation award 1003652 to Boston College Institute for Scientific Research. The authors thank Chaosong Huang of the Air Force Research Laboratory for providing conveniently formatted SOPA data acquired on 24 March 2002. For the ground magnetometer data, we gratefully acknowledge Intermagnet; USGS, Jeffrey J. Love; Danish Meteorological Institute;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Conners; Greenland magnetometers operated by DTU Space; South Pole and McMurdo Magnetometer, PI Louis J. Lanzarotti and PI Alan T. Weatherwax; ICESTAR; RAPIDMAG; PENGUIn; British Antarctic Survey; McMac, PI Peter Chi; BGS, PI Susan Macmillan; Pushkov Institute of Terrestrial Magnetism, Ionosphere and Radio Wave Propagation (IZMIRAN); and SuperMAG, PI Jesper W. Gjerloev. Auroral boundary data were derived and provided by the British Antarctic Survey based on IMAGE satellite data (http://www.antarctica.ac.uk/bas_research/our_research/az/magnetic_reconnection/auroral_boundary_data.html).</t>
  </si>
  <si>
    <t>10.1002/jgra.50440</t>
  </si>
  <si>
    <t>WOS:000324992300037</t>
  </si>
  <si>
    <t>Smith, LV; McMinn, A; Martin, A; Nicol, S; Bowie, AR; Lannuzel, D; van der Merwe, P</t>
  </si>
  <si>
    <t>Smith, Laura V.; McMinn, Andrew; Martin, Andrew; Nicol, Steve; Bowie, Andrew R.; Lannuzel, Delphine; van der Merwe, Pier</t>
  </si>
  <si>
    <t>Preliminary investigation into the stimulation of phytoplankton photophysiology and growth by whale faeces</t>
  </si>
  <si>
    <t>JOURNAL OF EXPERIMENTAL MARINE BIOLOGY AND ECOLOGY</t>
  </si>
  <si>
    <t>Baleen whale; Faeces; Iron; Nutrient cycling; Phytoplankton</t>
  </si>
  <si>
    <t>IRON LIMITATION; PHOTOSYNTHETIC APPARATUS; SOUTHERN-OCEAN; FERTILIZATION; NITROGEN; CARBON; FERREDOXIN; FLAVODOXIN; NUTRIENTS; ENERGY</t>
  </si>
  <si>
    <t>This study demonstrates that pygmy blue whale faeces stimulates the photosynthetic performance and growth of three marine phytoplankton species, Dunaliella tertiolecta, Chaetoceros pendulus and Phaeocystis antarctica. Photosynthetic and growth parameters were compared at four time-points over a 21 day experiment with 6 different treatments: a positive control (F/2 culture media), a negative control (iron-deplete F/2 culture media), and four faecal treatments ranging from 4375 to 220,267 mu g faeces 1(-1). At each time point, rapid light curves were generated using Pulse-Amplitude Modulated (PAM) fluorometry to obtain the parameters maximum quantum yield (F-V/F-M), maximum relative electron transport rate (rETR(max)), and photosynthetic efficiency (alpha). Change in the relative abundance of microalgal cells and the concentration of chlorophyll a was also determined periodically for each species. The chlorophyte D. tertiolecta and the diatom C. pendulus both exhibited clear dose-dependent stimulation of photosynthetic and growth parameters within 7 days of incubation. There was also a strong interaction between incubation period and treatment in C pendulus cultures which may be indicative of nutrient exhaustion following faecally-stimulated growth. The growth response observed for P. antarctica was less variable with respect to faecal concentration. These findings are considered preliminary, but illustrate that whales are a potentially important means of marine nutrient recycling. (C) 2013 Elsevier B.V. All rights reserved.</t>
  </si>
  <si>
    <t>[Smith, Laura V.; McMinn, Andrew; Martin, Andrew; Nicol, Steve; Bowie, Andrew R.; Lannuzel, Delphine; van der Merwe, Pier] Univ Tasmania, Inst Marine &amp; Antarctic Studies, Hobart, Tas 7001, Australia; [Bowie, Andrew R.; Lannuzel, Delphine; van der Merwe, Pier] Univ Tasmania, Antarctic Climate &amp; Ecosyst CRC, Hobart, Tas 7001, Australia</t>
  </si>
  <si>
    <t>University of Tasmania; University of Tasmania</t>
  </si>
  <si>
    <t>McMinn, A (corresponding author), Univ Tasmania, Inst Marine &amp; Antarctic Studies, Hobart, Tas 7001, Australia.</t>
  </si>
  <si>
    <t>Andrew.McMinn@utas.edu.au</t>
  </si>
  <si>
    <t>Martin, Andrew/F-5688-2013; McMinn, Andrew/A-9910-2008; Bowie, Andrew/C-8677-2013; van der Merwe, Pier/C-9210-2015; lannuzel, delphine/J-7937-2014</t>
  </si>
  <si>
    <t>Bowie, Andrew/0000-0002-5144-7799; van der Merwe, Pier/0000-0002-7428-8030; Martin, Andrew/0000-0001-8260-5529; lannuzel, delphine/0000-0001-6154-1837</t>
  </si>
  <si>
    <t>Australian Antarctic Science grant</t>
  </si>
  <si>
    <t>We would like to acknowledge Victor Smetacek, Helen Bond, Fraser Kennedy, Fabien Queroue, Andrew Davidson, Simon Wright, Gustaaf Hallegraeff, Curt Jenner, Simon Jarman, Marius Mueller, Miguel de Salas, Rob Johnson, Wee Cheah, Simon Wotherspoon, Ashley Townsend, Rob King, Murray Frith and Brett Paul. We also acknowledge financial assistance from an Australian Antarctic Science grant.</t>
  </si>
  <si>
    <t>ELSEVIER SCIENCE BV</t>
  </si>
  <si>
    <t>AMSTERDAM</t>
  </si>
  <si>
    <t>PO BOX 211, 1000 AE AMSTERDAM, NETHERLANDS</t>
  </si>
  <si>
    <t>0022-0981</t>
  </si>
  <si>
    <t>1879-1697</t>
  </si>
  <si>
    <t>J EXP MAR BIOL ECOL</t>
  </si>
  <si>
    <t>J. Exp. Mar. Biol. Ecol.</t>
  </si>
  <si>
    <t>10.1016/j.jembe.2013.04.010</t>
  </si>
  <si>
    <t>Ecology; Marine &amp; Freshwater Biology</t>
  </si>
  <si>
    <t>Environmental Sciences &amp; Ecology; Marine &amp; Freshwater Biology</t>
  </si>
  <si>
    <t>201JZ</t>
  </si>
  <si>
    <t>WOS:000323139200001</t>
  </si>
  <si>
    <t>Ugalde, SC; Meiners, KM; Davidson, AT; Westwood, KJ; McMinn, A</t>
  </si>
  <si>
    <t>Ugalde, Sarah C.; Meiners, Klaus M.; Davidson, Andrew T.; Westwood, Karen J.; McMinn, Andrew</t>
  </si>
  <si>
    <t>Photosynthetic carbon allocation of an Antarctic sea ice diatom (Fragilariopsis cylindrus)</t>
  </si>
  <si>
    <t>Antarctica; Carbon fractionation; Extracellular polymeric substances; Microalgae; pH; Primary production</t>
  </si>
  <si>
    <t>EXTRACELLULAR POLYMERIC SUBSTANCES; EXOPOLYMERIC SUBSTANCES; BACTERIAL-COLONIZATION; INORGANIC CARBON; BENTHIC DIATOMS; MCMURDO-SOUND; WEDDELL SEA; AMINO-ACIDS; GROWTH; COMMUNITIES</t>
  </si>
  <si>
    <t>Antarctic sea ice provides an ephemeral but important habitat for algal productivity and is characterised by extreme physicochemical variations. In this study, we assess the ability of a sea ice diatom (Fragilariopsis cylindrus) to cope with physicochemical changes through examination of physiological status and allocation of C-14-incorporated organic carbon into particulate and extracellular fractions, using closed-bottle incubations over 49 d. Carbon allocation was found to vary with growth stage and shifts in the physicochemical environment, in particular the carbonate system. Total extracellular organic carbon was comprised of at least 85% low molecular weight C-14-colloidal-organic carbon. The relative contribution of C-14-extracellular polymeric substances and C-14-total extracellular organic carbon to C-14-total primary production varied from lag to senescent growth phases, increasing from 0 to 5.7% and 32.9% to 69.5%, respectively. Carbon allocation into C-14-extracellular polymeric substances was correlated with a decline in CO2 availability and increased pH. Overall, the results demonstrate that carbon exudation may play an important role in adaptive algal physiology by buffering cells against biogeochemical shifts within brine channels, induced through photosynthetic activity. (C) 2013 Elsevier B.V. All rights reserved.</t>
  </si>
  <si>
    <t>[Ugalde, Sarah C.; Meiners, Klaus M.; Davidson, Andrew T.; Westwood, Karen J.] Univ Tasmania, Antarctic Climate &amp; Ecosyst Cooperat Res Ctr, Hobart, Tas 7001, Australia; [Ugalde, Sarah C.; McMinn, Andrew] Univ Tasmania, Inst Marine &amp; Antarctic Studies, Hobart, Tas 7001, Australia; [Meiners, Klaus M.; Davidson, Andrew T.; Westwood, Karen J.] Australian Antarctic Div, Dep Sustainabil Environm Water Populat &amp; Communit, Kingston, Tas 7050, Australia</t>
  </si>
  <si>
    <t>Antarctic Climate &amp; Ecosystems Cooperative Research Centre (ACE CRC); University of Tasmania; University of Tasmania; Australian Antarctic Division</t>
  </si>
  <si>
    <t>Ugalde, SC (corresponding author), Univ Tasmania, Antarctic Climate &amp; Ecosyst Cooperat Res Ctr, Private Bag 80, Hobart, Tas 7001, Australia.</t>
  </si>
  <si>
    <t>sarah.ugalde@utas.edu.au</t>
  </si>
  <si>
    <t>McMinn, Andrew/A-9910-2008</t>
  </si>
  <si>
    <t>Westwood, Karen/0000-0003-1060-7140</t>
  </si>
  <si>
    <t>Australian Antarctic Division (Hobart, Australia); Australian Government's Cooperative Research Centre Program through the Antarctic Climate and Ecosystems Cooperative Research Centre (ACE CRC)</t>
  </si>
  <si>
    <t>Australian Antarctic Division (Hobart, Australia); Australian Government's Cooperative Research Centre Program through the Antarctic Climate and Ecosystems Cooperative Research Centre (ACE CRC)(Australian GovernmentDepartment of Industry, Innovation and ScienceCooperative Research Centres (CRC) Programme)</t>
  </si>
  <si>
    <t>We would like to thank the Australian Antarctic Division (Hobart, Australia) for providing support and infrastructure throughout this study. Recognition goes towards T. Rodemann (Central Science Laboratories, Hobart) for processing samples, supported by D. Davies who provided assistance and methodology. Nutrients were determined by D. Terhell, V. Latham and S. Reynolds (CSIRO Marine and Atmospheric Research, Hobart). Our gratitude goes towards A. Martin, K. G. Ryan, and an anonymous reviewer for very valuable comments on the manuscript This work was supported by the Australian Government's Cooperative Research Centre Program through the Antarctic Climate and Ecosystems Cooperative Research Centre (ACE CRC). [ST]</t>
  </si>
  <si>
    <t>10.1016/j.jembe.2013.05.022</t>
  </si>
  <si>
    <t>WOS:000323139200029</t>
  </si>
  <si>
    <t>Hamilton, V; Evans, K; Raymond, B; Hindell, MA</t>
  </si>
  <si>
    <t>Hamilton, Vicki; Evans, Karen; Raymond, Ben; Hindell, Mark A.</t>
  </si>
  <si>
    <t>Environmental influences on tooth growth in sperm whales from southern Australia</t>
  </si>
  <si>
    <t>Energy budget; Environmental variability; GLG; Marine mammal; Nutritional history; Time series</t>
  </si>
  <si>
    <t>SEALS ARCTOCEPHALUS-GAZELLA; FUR SEALS; PHYSETER-MACROCEPHALUS; STABLE-ISOTOPES; CLIMATE; OCEAN; DISTRIBUTIONS; BEHAVIOR; TEETH; DIET</t>
  </si>
  <si>
    <t>Long time series are a necessary tool for investigating relationships between environmental variability and population parameters in marine predators and establishing changes in these, particularly under longer-term climatic change. Multi-decadal ecological datasets are however, generally lacking, as their collection requires substantial commitment. We examined time series of growth layer group widths measured in sperm whale teeth, as indicators of energetic history, firstly to investigate commonalities in growth both within and between individuals and secondly to investigate potential relationships between tooth growth and the marine environment. Growth layer group estimates obtained from the teeth of 27 individual whales ranged 14-52 GLGs. Time series of tooth growth were highly variable both within and between individuals, reflecting differences in overall tooth structure within individuals and independence of energetic budgets among individuals. Relationships between tooth growth and broad-scale environmental variables were unclear. Spatial relationships between sea surface temperature and tooth growth histories were identified across the austral summer and corresponded to historical foraging regions in southern Australian waters. Our results demonstrate the potential for sperm whale teeth to provide extended time series of individual growth and nutritional histories. Further research is needed to understand the influence of intrinsic and extrinsic factors on tooth growth and in association, a better understanding of the responses of marine mammal species to environmental variability. (C) 2013 Elsevier B.V. All rights reserved.</t>
  </si>
  <si>
    <t>[Hamilton, Vicki; Evans, Karen; Hindell, Mark A.] Univ Tasmania, Inst Marine &amp; Antarctic Studies, Hobart, Tas 7001, Australia; [Evans, Karen] CSIRO Marine &amp; Atmospher Res, Hobart, Tas 7001, Australia; [Raymond, Ben] Australian Antarctic Div, Dept Sustainabil Environm Water Populat &amp; Communi, Kingston, Tas 7050, Australia</t>
  </si>
  <si>
    <t>University of Tasmania; Commonwealth Scientific &amp; Industrial Research Organisation (CSIRO); Australian Antarctic Division</t>
  </si>
  <si>
    <t>Hamilton, V (corresponding author), Univ Tasmania, Inst Marine &amp; Antarctic Studies, Private Bag 129, Hobart, Tas 7001, Australia.</t>
  </si>
  <si>
    <t>Vicki.Hamilton@utas.edu.au</t>
  </si>
  <si>
    <t>Hindell, Mark A/K-1131-2013; evans, karen/D-7110-2012</t>
  </si>
  <si>
    <t>Hindell, Mark/0000-0002-7823-7185; Evans, Karen/0000-0003-2205-4264</t>
  </si>
  <si>
    <t>ELSEVIER</t>
  </si>
  <si>
    <t>RADARWEG 29, 1043 NX AMSTERDAM, NETHERLANDS</t>
  </si>
  <si>
    <t>10.1016/j.jembe.2013.05.031</t>
  </si>
  <si>
    <t>WOS:000323139200030</t>
  </si>
  <si>
    <t>Meng, FC; Lu, YL; Liu, JQ; Cui, Y</t>
  </si>
  <si>
    <t>Meng FanChao; Lu YuLin; Liu JiaQi; Cui Yan</t>
  </si>
  <si>
    <t>Geochemical characteristics and petrogenesis of two types of acid volcanic rocks from Yingcheng Formation in Songliao Basin</t>
  </si>
  <si>
    <t>ACTA PETROLOGICA SINICA</t>
  </si>
  <si>
    <t>Chinese</t>
  </si>
  <si>
    <t>Songliao Basin; Yingcheng Formation; Acid volcanic rocks; Petrogenesis</t>
  </si>
  <si>
    <t>QINGSHEN GAS-FIELD; A-TYPE GRANITES; ND ISOTOPIC EVIDENCE; NE CHINA; CHEMICAL CLASSIFICATION; ANTARCTIC PENINSULA; HINGGAN MOUNTAINS; NORTHEAST CHINA; CALC-ALKALINE; MANTLE SOURCE</t>
  </si>
  <si>
    <t>The thick volcanic rocks are widely distributed in Yingcheng Formation of Songliao Basin. Core and thin section identification exhibit that volcanic rocks are mainly composed of rhyolite, dacite, rhyolitic tuff, ignimbrite and so on. Major, trace elements and isotopic geochemistry studies indicate that acid rocks are obviously classified as two types: high Ti acid volcanic rocks (HTAVR) and low Ti acid volcanic rocks (LTAVR). Many conclusions can be draw from the results of geochemical elements: (1) HTAVR have higher TiO2 (TiO2&gt;0.45%) but lower SiO2(64.87%similar to 68.79%). LTAVR have lower TiO2 (TiO2&lt;0.4%) but higher SiO2(68.93%similar to 76.69%). (2) Major and trace elements express continuous variation between HTAVR and sub-alkaline intermediate-basic rocks. They also have similar Sr-Nd isotopic elements. LTAVR are the main components in Yingcheng Formation with wide initial 87Sr/86Sr ratios. (3) The two types of acid rocks were probably associated with the lithospheric thinning and asthenospheric mantle upwelling by subduction of the Pacific plate beneath eastern China. However, there are many different geochemical characteristics between the two types of acid rocks because of different magmas source, geochemistry process and crustal contamination. The magmas of HTAVR were generated partial melting of the depleted mantle which has been enriched but undergoing fractional crystallization. The generation of LTAVR origined from mixed melting of juvenile crust and low crust components with contaminated by supracrust.</t>
  </si>
  <si>
    <t>[Meng FanChao] China Univ Petr, Sch Geosci, Qingdao 266580, Peoples R China; [Lu YuLin] China Geol Survey, Res Dev Ctr, Beijing 100037, Peoples R China; [Liu JiaQi] Chinese Acad Sci, Inst Geol &amp; Geophys, Beijing 100029, Peoples R China; [Cui Yan] China Univ Petr, Shengli Coll, Dongying 257097, Peoples R China</t>
  </si>
  <si>
    <t>China University of Petroleum; China Geological Survey; Chinese Academy of Sciences; Institute of Geology &amp; Geophysics, CAS; Shandong Institute of Petroleum &amp; Chemical Technology; China University of Petroleum</t>
  </si>
  <si>
    <t>Meng, FC (corresponding author), China Univ Petr, Sch Geosci, Qingdao 266580, Peoples R China.</t>
  </si>
  <si>
    <t>mfc1982@126.com</t>
  </si>
  <si>
    <t>Meng, Charles/IST-8594-2023</t>
  </si>
  <si>
    <t>SCIENCE PRESS</t>
  </si>
  <si>
    <t>BEIJING</t>
  </si>
  <si>
    <t>16 DONGHUANGCHENGGEN NORTH ST, BEIJING 100717, PEOPLES R CHINA</t>
  </si>
  <si>
    <t>1000-0569</t>
  </si>
  <si>
    <t>2095-8927</t>
  </si>
  <si>
    <t>ACTA PETROL SIN</t>
  </si>
  <si>
    <t>Acta Petrol. Sin.</t>
  </si>
  <si>
    <t>Geology</t>
  </si>
  <si>
    <t>208ON</t>
  </si>
  <si>
    <t>WOS:000323689100010</t>
  </si>
  <si>
    <t>Li, M; Liu, JP; Wang, ZZ; Wang, H; Zhang, ZH; Zhang, L; Yang, QH</t>
  </si>
  <si>
    <t>Li, Ming; Liu, Jiping; Wang, Zhenzhan; Wang, Hui; Zhang, Zhanhai; Zhang, Lin; Yang, Qinghua</t>
  </si>
  <si>
    <t>Assessment of Sea Surface Wind from NWP Reanalyses and Satellites in the Southern Ocean</t>
  </si>
  <si>
    <t>JOURNAL OF ATMOSPHERIC AND OCEANIC TECHNOLOGY</t>
  </si>
  <si>
    <t>Southern Ocean; Atmosphere-ocean interaction; Wind; Satellite observations; Ship observations; Reanalysis data</t>
  </si>
  <si>
    <t>ENERGY FLUX; LAYER</t>
  </si>
  <si>
    <t>Reanalysis projects and satellite data analysis have provided surface wind over the global ocean. To assess how well one can reconstruct the variations of surface wind in the data-sparse Southern Ocean, sea surface wind speed data from 1) the National Centers for Environmental Prediction-Department of Energy reanalysis (NCEP-DOE), 2) the European Centre for Medium-Range Weather Forecasts (ECMWF) Interim Re-Analysis (ERA-Interim), 3) National Climate Data Center (NCDC) blended sea winds, and 4) cross-calibrated multiplatform (CCMP) ocean surface velocity are evaluated. First, the accuracy of sea surface wind speed is validated with quality-controlled in situ measurements from research vessels. The results show that the CCMP value is closer to the ship observations than other products, whereas the NCEP-DOE value has the largest systematic positive bias. All four products show large positive biases under weak wind regimes, good agreement with the ship observations under moderate wind regimes, and large negative biases under high wind regimes. Second, the consistency and discrepancy of sea surface wind speed across different products is examined. The intercomparisons suggest that these products show encouraging agreement in the spatial distribution of the annual-mean sea surface wind speed. The largest across-data scatter is found in the central Indian sector of the Antarctic Circumpolar Current, which is comparable to its respective interannual variability. The monthly-mean correlations between pairs of products are high. However, differing from the decadal trends of NCEP-DOE, NCDC, and CCMP that show an increase of sea surface wind speed in the Antarctic Circumpolar region, ERA-Interim has an opposite sign there.</t>
  </si>
  <si>
    <t>[Li, Ming; Wang, Hui; Zhang, Lin; Yang, Qinghua] Natl Marine Environm Forecasting Ctr, Polar Res &amp; Forecasting Div, Beijing, Peoples R China; [Liu, Jiping] SUNY Albany, Dept Atmospher &amp; Environm Sci, Albany, NY 12222 USA; [Wang, Hui] Chinese Acad Sci, Ctr Space Sci &amp; Appl Res, Beijing, Peoples R China; [Zhang, Zhanhai] Polar Res Inst China, Key Lab Polar Sci, Shanghai, Peoples R China</t>
  </si>
  <si>
    <t>National Marine Environmental Forecasting Center; State University of New York (SUNY) System; State University of New York (SUNY) Albany; Chinese Academy of Sciences; Polar Research Institute of China</t>
  </si>
  <si>
    <t>Liu, JP (corresponding author), SUNY Albany, Dept Atmospher &amp; Environm Sci, Albany, NY 12222 USA.</t>
  </si>
  <si>
    <t>jliu26@albany.edu</t>
  </si>
  <si>
    <t>LIU, JIPING/N-6696-2016; Li, Ming/Z-3393-2019</t>
  </si>
  <si>
    <t>NSF OPP Antarctic Program [0838920]; NASA NEWS; NSFC [41176169, 41206184]; National Bureau of Oceanography Foundation for Youth [2010215]; Office of Polar Programs (OPP); Directorate For Geosciences [0838920] Funding Source: National Science Foundation</t>
  </si>
  <si>
    <t>NSF OPP Antarctic Program; NASA NEWS; NSFC(National Natural Science Foundation of China (NSFC)); National Bureau of Oceanography Foundation for Youth; Office of Polar Programs (OPP); Directorate For Geosciences(National Science Foundation (NSF)NSF - Directorate for Geosciences (GEO))</t>
  </si>
  <si>
    <t>This research was supported by the NSF OPP Antarctic Program (Grant 0838920), the NASA NEWS, the NSFC (Grants 41176169, 41206184), and the National Bureau of Oceanography Foundation for Youth (Grant 2010215). We thank all of those involved in the in situ measurements from WOCE and SAMOS.</t>
  </si>
  <si>
    <t>AMER METEOROLOGICAL SOC</t>
  </si>
  <si>
    <t>BOSTON</t>
  </si>
  <si>
    <t>45 BEACON ST, BOSTON, MA 02108-3693 USA</t>
  </si>
  <si>
    <t>0739-0572</t>
  </si>
  <si>
    <t>1520-0426</t>
  </si>
  <si>
    <t>J ATMOS OCEAN TECH</t>
  </si>
  <si>
    <t>J. Atmos. Ocean. Technol.</t>
  </si>
  <si>
    <t>10.1175/JTECH-D-12-00240.1</t>
  </si>
  <si>
    <t>Engineering, Ocean; Meteorology &amp; Atmospheric Sciences</t>
  </si>
  <si>
    <t>Engineering; Meteorology &amp; Atmospheric Sciences</t>
  </si>
  <si>
    <t>207XM</t>
  </si>
  <si>
    <t>hybrid</t>
  </si>
  <si>
    <t>WOS:000323638000018</t>
  </si>
  <si>
    <t>Bradbury, J</t>
  </si>
  <si>
    <t>Bradbury, Jane</t>
  </si>
  <si>
    <t>Ocean acidification could hit Antarctic krill</t>
  </si>
  <si>
    <t>FRONTIERS IN ECOLOGY AND THE ENVIRONMENT</t>
  </si>
  <si>
    <t>News Item</t>
  </si>
  <si>
    <t>ECOLOGICAL SOC AMER</t>
  </si>
  <si>
    <t>1990 M STREET NW, STE 700, WASHINGTON, DC 20036 USA</t>
  </si>
  <si>
    <t>1540-9295</t>
  </si>
  <si>
    <t>FRONT ECOL ENVIRON</t>
  </si>
  <si>
    <t>Front. Ecol. Environ.</t>
  </si>
  <si>
    <t>10.1890/1540-9295-11.6.284</t>
  </si>
  <si>
    <t>Ecology; Environmental Sciences</t>
  </si>
  <si>
    <t>Environmental Sciences &amp; Ecology</t>
  </si>
  <si>
    <t>202VT</t>
  </si>
  <si>
    <t>WOS:000323249100002</t>
  </si>
  <si>
    <t>Kaplan, MR; Schaefer, JM; Denton, GH; Doughty, AM; Barrell, DJA; Chinn, TJH; Putnam, AE; Andersen, BG; Mackintosh, A; Finkel, RC; Schwartz, R; Anderson, B</t>
  </si>
  <si>
    <t>Kaplan, Michael R.; Schaefer, Joerg M.; Denton, George H.; Doughty, Alice M.; Barrell, David J. A.; Chinn, Trevor J. H.; Putnam, Aaron E.; Andersen, Bjorn G.; Mackintosh, Andrew; Finkel, Robert C.; Schwartz, Roseanne; Anderson, Brian</t>
  </si>
  <si>
    <t>The anatomy of long-term warming since 15 ka in New Zealand based on net glacier snowline rise</t>
  </si>
  <si>
    <t>GEOLOGY</t>
  </si>
  <si>
    <t>HOLOCENE; CLIMATE; FLUCTUATIONS; EUROPE; ALPS</t>
  </si>
  <si>
    <t>The timing and magnitude of postglacial climatic changes around the globe provide insights into the underlying drivers of natural climate change. Using geomorphologic mapping of moraines, Be-10 surface-exposure dating, snowline reconstructions, and numerical modeling, we quantified glacier behavior during Late Glacial (15-11.5 ka) and Holocene (the past similar to 11.5 k.y.) time in the Ben Ohau Range, New Zealand. Glaciers were more extensive during the Antarctic Cold Reversal (ACR), than subsequently, and the margins underwent a punctuated net withdrawal over the Holocene. Numerical modeling experiments that achieve the best fit to the moraines suggest that air temperature during the ACR was between 1.8 degrees C and 2.6 degrees C cooler than today, with similar (+/- 20%) prescribed precipitation. After the ACR, a net snowline rise of similar to 100 m through the Younger Dryas stadial (12.9-11.7 ka) was succeeded by a further long-term, or net, rise of similar to 100 m between similar to 11 k.y. and similar to 500 yr ago. Glacier snowline records in New Zealand show generally coherent Late Glacial and Holocene climate trends. However, the paleoclimate record in the southwest Pacific region shows important differences from that in the Northern Hemisphere.</t>
  </si>
  <si>
    <t>[Kaplan, Michael R.; Schaefer, Joerg M.; Putnam, Aaron E.; Schwartz, Roseanne] Lamont Doherty Earth Observ, Div Geochem, Palisades, NY 10964 USA; [Schaefer, Joerg M.] Columbia Univ, Dept Earth &amp; Environm Sci, New York, NY 10027 USA; [Denton, George H.; Putnam, Aaron E.] Univ Maine, Dept Earth Sci, Orono, ME 04469 USA; [Denton, George H.; Putnam, Aaron E.] Univ Maine, Climate Change Inst, Orono, ME 04469 USA; [Doughty, Alice M.; Mackintosh, Andrew; Anderson, Brian] Victoria Univ Wellington, Antarctic Res Ctr, Wellington 6140, New Zealand; [Doughty, Alice M.; Mackintosh, Andrew; Anderson, Brian] Victoria Univ Wellington, Sch Geog Environm &amp; Earth Sci, Wellington 6140, New Zealand; [Barrell, David J. A.] GNS Sci, Dunedin 9054, New Zealand; [Chinn, Trevor J. H.] Alpine &amp; Polar Proc Consultancy, Lake Hawea 9382, New Zealand; [Andersen, Bjorn G.] Univ Oslo, Dept Geosci, N-0316 Oslo, Norway; [Finkel, Robert C.] Univ Calif Berkeley, Dept Earth &amp; Planetary Sci, Berkeley, CA 95064 USA</t>
  </si>
  <si>
    <t>Columbia University; Columbia University; University of Maine System; University of Maine Orono; University of Maine System; University of Maine Orono; Victoria University Wellington; Victoria University Wellington; GNS Science - New Zealand; University of Oslo; University of California System; University of California Berkeley</t>
  </si>
  <si>
    <t>Kaplan, MR (corresponding author), Lamont Doherty Earth Observ, Div Geochem, Palisades, NY 10964 USA.</t>
  </si>
  <si>
    <t>Kaplan, Michael R/D-4720-2011</t>
  </si>
  <si>
    <t>Putnam, Aaron/0000-0002-5358-1473; Mackintosh, Andrew/0000-0002-6430-4711</t>
  </si>
  <si>
    <t>Gary Comer Science and Education Foundation; U.S. National Oceanographic and Atmospheric Administration; National Science Foundation [EAR-0745781, EAR-0746190, EAR-0936077, EAR-0823521, EAR-1102782]; GNS Science; New Zealand government through the New Zealand International Doctoral Research Scholarships; Directorate For Geosciences [0823693] Funding Source: National Science Foundation; Directorate For Geosciences; Division Of Earth Sciences [0823521, 1102782] Funding Source: National Science Foundation; Division Of Earth Sciences [0823693] Funding Source: National Science Foundation</t>
  </si>
  <si>
    <t>Gary Comer Science and Education Foundation; U.S. National Oceanographic and Atmospheric Administration; National Science Foundation(National Science Foundation (NSF)); GNS Science; New Zealand government through the New Zealand International Doctoral Research Scholarships; Directorate For Geosciences(National Science Foundation (NSF)NSF - Directorate for Geosciences (GEO)); Directorate For Geosciences; Division Of Earth Sciences(National Science Foundation (NSF)NSF - Directorate for Geosciences (GEO)); Division Of Earth Sciences(National Science Foundation (NSF)NSF - Directorate for Geosciences (GEO))</t>
  </si>
  <si>
    <t>We thank the Comer family and W. Broecker for their support of our work. H. and R. Ivey (Glentanner Station), M. Seymour and G. Seymour (Ferintosh Station), the New Zealand Department of Conservation (Te Papa Atawhai), and Te Runanga o Ngai Tahu allowed site access. We thank T. Ritchie and K. Ritchie at Lake Ruataniwha Holiday Park for their hospitality; the Helicopter Line; S. Kelley, D. Sprecher, J. Frisch, and J. Hanley for assistance; and four anonymous reviewers. This research is supported by the Gary Comer Science and Education Foundation, U.S. National Oceanographic and Atmospheric Administration (support to Denton for field work), and National Science Foundation grants EAR-0745781, EAR-0746190, EAR-0936077, EAR-0823521, and EAR-1102782. Barrell was supported by GNS Science's Direct Crown Funded Programme Global Change Through Time, and Doughty was supported by the New Zealand government through the New Zealand International Doctoral Research Scholarships. This is Lamont-Doherty Earth Observatory Contribution 7680.</t>
  </si>
  <si>
    <t>GEOLOGICAL SOC AMER, INC</t>
  </si>
  <si>
    <t>BOULDER</t>
  </si>
  <si>
    <t>PO BOX 9140, BOULDER, CO 80301-9140 USA</t>
  </si>
  <si>
    <t>0091-7613</t>
  </si>
  <si>
    <t>1943-2682</t>
  </si>
  <si>
    <t>10.1130/G34288.1</t>
  </si>
  <si>
    <t>203EV</t>
  </si>
  <si>
    <t>WOS:000323274600018</t>
  </si>
  <si>
    <t>Garand, L; Feng, J; Heilliette, S; Rochon, Y; Trishchenko, AP</t>
  </si>
  <si>
    <t>Garand, L.; Feng, J.; Heilliette, S.; Rochon, Y.; Trishchenko, A. P.</t>
  </si>
  <si>
    <t>Assimilation of Circumpolar Wind Vectors Derived from Highly Elliptical Orbit Imagery: Impact Assessment Based on Observing System Simulation Experiments</t>
  </si>
  <si>
    <t>JOURNAL OF APPLIED METEOROLOGY AND CLIMATOLOGY</t>
  </si>
  <si>
    <t>Cloud tracking; cloud motion winds; Satellite observations; Sensitivity studies; Variational analysis; Numerical weather prediction; forecasting</t>
  </si>
  <si>
    <t>POLAR-REGIONS; RADIANCES; VALIDATION; SATELLITES</t>
  </si>
  <si>
    <t>There is a well-recognized spatiotemporal meteorological observation gap at latitudes higher than 55 degrees, especially in the region 55 degrees-70 degrees. A possible solution to address this issue is a constellation of four satellites in a highly elliptical orbit (HEO), that is, two satellites for each polar region. An important satellite product to support weather prediction is atmospheric motion wind vectors (AMVs). This study uses observing system simulation experiments (OSSEs) to evaluate the benefit to forecasts resulting from the assimilation of HEO AMVs covering one or both polar regions. The OSSE employs the operational global data assimilation system of the Canadian Meteorological Center. HEO AMVs are assimilated north of 50 degrees N and south of 50 degrees S. From 2-month assimilation cycles, the study examines the following three issues: 1) the impact of AMV assimilation in the real system, and how this compares to the impact seen in the simulated system, 2) the added value of HEO AMVs in the Arctic on top of what is currently available, and 3) the relative impact of HEO AMVs in the Arctic and Antarctic in comparison with no AMVs. Although the simulated impact of currently available AMVs is somewhat higher than the real impact, a firm conclusion is that the added value of Arctic HEO AMVs is substantial, improving predictability at days 3-5 by a few hours in terms of 500-hPa geopotential height. The impact of HEO AMVs is relatively stronger in the Southern Hemisphere. Forecast validation of atmospheric profiles against the simulated true state and against analyses generated within the assimilation cycles yields very similar results beyond 48 h.</t>
  </si>
  <si>
    <t>[Garand, L.; Heilliette, S.] Environm Canada, Data Assimilat &amp; Satellite Meteorol Sect, Dorval, PQ H9P 1J3, Canada; [Feng, J.] Environm Canada, Environm Emergency Response Sect, Dorval, PQ H9P 1J3, Canada; [Rochon, Y.] Environm Canada, Air Qual Res Div, Toronto, ON, Canada; [Trishchenko, A. P.] Nat Resources Canada, Canada Ctr Remote Sensing, Ottawa, ON, Canada</t>
  </si>
  <si>
    <t>Environment &amp; Climate Change Canada; Environment &amp; Climate Change Canada; Environment &amp; Climate Change Canada; Natural Resources Canada; Strategic Policy &amp; Results Sector - Natural Resources Canada; Canada Centre for Mapping &amp; Earth Observation (CCMEO)</t>
  </si>
  <si>
    <t>Garand, L (corresponding author), Environm Canada, Data Assimilat &amp; Satellite Meteorol Sect, 2121 Trans Canada Highway, Dorval, PQ H9P 1J3, Canada.</t>
  </si>
  <si>
    <t>louis.garand@ec.gc.ca</t>
  </si>
  <si>
    <t>European Space Agency</t>
  </si>
  <si>
    <t>European Space Agency(European Space Agency)</t>
  </si>
  <si>
    <t>This work benefited from developments at Environment Canada for a PREMIER impact study funded by the European Space Agency. We thank ECMWF and the Joint OSSE program for providing the nature run. We acknowledge the early contribution of Dr. J. W. Kaminski and Dr. R. Errico to the OSSE setup. We thank Mrs. Iriola Mati for her contribution to the preparation of the AMV data files. We also thank Jacques Halle for his support in the modeling of PCW radiances from model output.</t>
  </si>
  <si>
    <t>1558-8424</t>
  </si>
  <si>
    <t>J APPL METEOROL CLIM</t>
  </si>
  <si>
    <t>J. Appl. Meteorol. Climatol.</t>
  </si>
  <si>
    <t>10.1175/JAMC-D-12-0333.1</t>
  </si>
  <si>
    <t>Meteorology &amp; Atmospheric Sciences</t>
  </si>
  <si>
    <t>200BP</t>
  </si>
  <si>
    <t>WOS:000323041800015</t>
  </si>
  <si>
    <t>Nadeau, LP; Straub, DN; Holland, DM</t>
  </si>
  <si>
    <t>Nadeau, Louis-Philippe; Straub, David N.; Holland, David M.</t>
  </si>
  <si>
    <t>Comparing Idealized and Complex Topographies in Quasigeostrophic Simulations of an Antarctic Circumpolar Current</t>
  </si>
  <si>
    <t>JOURNAL OF PHYSICAL OCEANOGRAPHY</t>
  </si>
  <si>
    <t>Channel flows; Eddies; Large-scale motions; Momentum; Ocean dynamics; Quasigeostrophic models</t>
  </si>
  <si>
    <t>WIND-DRIVEN CIRCULATION; SOUTHERN-OCEAN; MESOSCALE EDDIES; CLIMATE-CHANGE; TRANSPORT; MODEL; CHANNEL; STRESS; IMPACT; GYRES</t>
  </si>
  <si>
    <t>The circumpolar transport of a wind-driven quasigeostrophic Antarctic Circumpolar Current is considered. Simple theory suggests transport in a strongly forced regimethe focus of this studyis largely determined by a partitioning of the southward Sverdrup flux into Drake Passage latitudes: some streamlines feed a basin contribution to the circumpolar transport and others feed a large-scale recirculation gyre. Simulations assuming an idealized Scotia Ridge topography are considered to test for sensitivity to resolution. Considerable sensitivity to both vertical and horizontal resolution is found, and associated with this is a tight stationary eddy trapped on the western flank of the ridge. That is, this eddy is sensitive to resolution and exerts an influence that acts to reduce the circumpolar transport. Simulations using the Scotia Ridge-like topography are also compared to others using more realistic topography. In the idealized (ridge) topography experiments, there is only a single ridge against which topographic form drag can act to remove eastward momentum from the system; in the complex topography experiments, there are many. It is found that the experiments assuming realistic topography do not develop an analog to the single topographically trapped eddy prevalent in the Scotia Ridge topography simulations. Additionally, circumpolar transport in these simulations agrees better with the theory. Whether this agreement is simply fortuitous, however, is unclear. To address this, a series of simulations assumes topography that varies smoothly between the idealized ridge and realistic configurations.</t>
  </si>
  <si>
    <t>[Nadeau, Louis-Philippe; Holland, David M.] NYU, Courant Inst Math Sci, New York, NY 10012 USA; [Straub, David N.] McGill Univ, Dept Atmospher &amp; Ocean Sci, Montreal, PQ, Canada</t>
  </si>
  <si>
    <t>New York University; McGill University</t>
  </si>
  <si>
    <t>Nadeau, LP (corresponding author), NYU, Courant Inst Math Sci, 251 Mercer St, New York, NY 10012 USA.</t>
  </si>
  <si>
    <t>nadeau@cims.nyu.edu</t>
  </si>
  <si>
    <t>MCRN; FQRNT; NSERC; Division Of Mathematical Sciences; Direct For Mathematical &amp; Physical Scien [0940241] Funding Source: National Science Foundation</t>
  </si>
  <si>
    <t>MCRN; FQRNT(FQRNT); NSERC(Natural Sciences and Engineering Research Council of Canada (NSERC)); Division Of Mathematical Sciences; Direct For Mathematical &amp; Physical Scien(National Science Foundation (NSF)NSF - Directorate for Mathematical &amp; Physical Sciences (MPS))</t>
  </si>
  <si>
    <t>We thank MCRN, FQRNT, and NSERC for their financial support. We thank two anonymous reviewers for helpful suggestions and healthy skepticism.</t>
  </si>
  <si>
    <t>0022-3670</t>
  </si>
  <si>
    <t>1520-0485</t>
  </si>
  <si>
    <t>J PHYS OCEANOGR</t>
  </si>
  <si>
    <t>J. Phys. Oceanogr.</t>
  </si>
  <si>
    <t>10.1175/JPO-D-12-0142.1</t>
  </si>
  <si>
    <t>Oceanography</t>
  </si>
  <si>
    <t>201JB</t>
  </si>
  <si>
    <t>WOS:000323135400018</t>
  </si>
  <si>
    <t>Teo, PS; Liu, DC</t>
  </si>
  <si>
    <t>Teo, Peishan; Liu, Daicheng</t>
  </si>
  <si>
    <t>Determination of biotin in Antarctic krill (Euphausia superba) by high-performance TLC with different post-chromatographic derivatizations</t>
  </si>
  <si>
    <t>JOURNAL OF SEPARATION SCIENCE</t>
  </si>
  <si>
    <t>Antarctic krill; Biotin; 4-(Dimethylamino)cinnamaldehyde; High performance; TLC; Potassium permanganate</t>
  </si>
  <si>
    <t>WATER-SOLUBLE VITAMINS; LIQUID-CHROMATOGRAPHY; PHARMACEUTICAL FORMULATIONS; LAYER-CHROMATOGRAPHY; ATOMIC-EMISSION; ASSAY; SPECTROMETRY; SEPARATION; ANALOGS; SYSTEM</t>
  </si>
  <si>
    <t>A new efficient method was developed to detect biotin in Antarctic krill by Vis-absorbance detection. DMF was used after chloroform pretreatment to extract biotin and two chromogenic methods were developed. The development system consisted of dichloromethane/dimethylcarbinol/methanol/glacial acetic acid (3:3:2:0.015, v/v/v/v). Samples were separated on precoated silica gel GF254 high-performance TLC plates. Densitometric analysis of biotin was carried out in the absorbance mode at 400 and 530 nm. The biotin content was determined to be 1.0948 +/- 0.0097 and 1.1212 +/- 0.0155 mg/g in Antarctic krill with the two chromogenic methods, which had no significant difference.</t>
  </si>
  <si>
    <t>[Teo, Peishan; Liu, Daicheng] Shandong Normal Univ, Coll Life Sci, Key Lab Anim Resistance, Jinan 250014, Peoples R China</t>
  </si>
  <si>
    <t>Shandong Normal University</t>
  </si>
  <si>
    <t>Liu, DC (corresponding author), Shandong Normal Univ, Coll Life Sci, Key Lab Anim Resistance, 88 East Wenhua Rd, Jinan 250014, Peoples R China.</t>
  </si>
  <si>
    <t>liudch@sdnu.edu.cn</t>
  </si>
  <si>
    <t>WILEY-V C H VERLAG GMBH</t>
  </si>
  <si>
    <t>WEINHEIM</t>
  </si>
  <si>
    <t>POSTFACH 101161, 69451 WEINHEIM, GERMANY</t>
  </si>
  <si>
    <t>1615-9306</t>
  </si>
  <si>
    <t>1615-9314</t>
  </si>
  <si>
    <t>J SEP SCI</t>
  </si>
  <si>
    <t>J. Sep. Sci.</t>
  </si>
  <si>
    <t>10.1002/jssc.201300121</t>
  </si>
  <si>
    <t>Chemistry, Analytical</t>
  </si>
  <si>
    <t>Chemistry</t>
  </si>
  <si>
    <t>199KY</t>
  </si>
  <si>
    <t>WOS:000322994600020</t>
  </si>
  <si>
    <t>Sinha, AK; Pavankumar, TL; Kamisetty, S; Mittal, P; Ray, MK</t>
  </si>
  <si>
    <t>Sinha, Anurag K.; Pavankumar, Theetha L.; Kamisetty, Srinivasulu; Mittal, Pragya; Ray, Malay K.</t>
  </si>
  <si>
    <t>\Replication arrest is a major threat to growth at low temperature in Antarctic Pseudomonas syringae Lz4W</t>
  </si>
  <si>
    <t>MOLECULAR MICROBIOLOGY</t>
  </si>
  <si>
    <t>GRAM-NEGATIVE BACTERIA; ESCHERICHIA-COLI; RECBCD ENZYME; DNA-DAMAGE; METHANOCOCCOIDES-BURTONII; RECOMBINATIONAL REPAIR; HYDROGEN-PEROXIDE; EXORIBONUCLEASE-R; BACILLUS-SUBTILIS; OXIDATIVE DAMAGE</t>
  </si>
  <si>
    <t>Chromosomal damage was detected previously in the recBCD mutants of the Antarctic bacterium Pseudomonas syringae Lz4W, which accumulated linear chromosomal DNA leading to cell death and growth inhibition at 4 C. RecBCD protein generally repairs DNA double-strand breaks by RecA-dependent homologous recombination pathway. Here we show that.recA mutant of P. syringae is not cold-sensitive. Significantly, inactivation of additional DNA repair genes ruvAB rescued the cold-sensitive phenotype of.recBCD mutant. The.recA and.ruvAB mutants were UV-sensitive as expected. We propose that, at low temperature DNA replication encounters barriers leading to frequent replication fork (RF) arrest and fork reversal. RuvAB binds to the reversed RFs (RRFs) having Holliday junction-like structures and resolves them upon association with RuvC nuclease to cause linearization of the chromosome, a threat to cell survival. RecBCD prevents this by degrading the RRFs, and facilitates replication re-initiation. This model is consistent with our observation that low temperature-induced DNA lesions do not evoke SOS response in P. syringae. Additional studies show that two other repair genes, radA (encoding a RecA paralogue) and recF are not involved in providing cold resistance to the Antarctic bacterium.</t>
  </si>
  <si>
    <t>[Sinha, Anurag K.; Pavankumar, Theetha L.; Kamisetty, Srinivasulu; Mittal, Pragya; Ray, Malay K.] CSIR, Ctr Cellular &amp; Mol Biol, Hyderabad 500007, Andhra Pradesh, India</t>
  </si>
  <si>
    <t>Council of Scientific &amp; Industrial Research (CSIR) - India; CSIR - Centre for Cellular &amp; Molecular Biology (CCMB)</t>
  </si>
  <si>
    <t>Ray, MK (corresponding author), CSIR, Ctr Cellular &amp; Mol Biol, Uppal Rd, Hyderabad 500007, Andhra Pradesh, India.</t>
  </si>
  <si>
    <t>malay@ccmb.res.in</t>
  </si>
  <si>
    <t>Sinha, Anurag Kumar/GXA-0049-2022; Pavankumar, Theetha L/R-6118-2017</t>
  </si>
  <si>
    <t>Sinha, Anurag Kumar/0000-0002-6051-4930; Pavankumar, Theetha L/0000-0003-1845-9592; Mittal, Pragya/0000-0002-5881-3739; Sinha, Anurag/0000-0002-1034-6334</t>
  </si>
  <si>
    <t>Council of Scientific and Industrial Research (CSIR), Government of India; Department of Science and Technology (DST), Government of India; CSIR</t>
  </si>
  <si>
    <t>Council of Scientific and Industrial Research (CSIR), Government of India(Council of Scientific &amp; Industrial Research (CSIR) - India); Department of Science and Technology (DST), Government of India(Department of Science &amp; Technology (India)); CSIR(Council of Scientific &amp; Industrial Research (CSIR) - India)</t>
  </si>
  <si>
    <t>We thank Dr J. Gowrishankar (CDFD, India), Dr Manjula Reddy (CCMB), and members of M. K. R. laboratory for discussion and suggestions, and acknowledge Dr M. Hynes (University of Calgary) for plasmid pJQ200SK. Research in M. K. R. laboratory is supported by the Council of Scientific and Industrial Research (CSIR), Government of India. A part of the work was supported by a grant to M. K. R. from Department of Science and Technology (DST), Government of India. A. K. S., T. L. P. and P. M. acknowledge CSIR for research fellowships. S. K. was a summer trainee at CCMB.</t>
  </si>
  <si>
    <t>WILEY</t>
  </si>
  <si>
    <t>HOBOKEN</t>
  </si>
  <si>
    <t>111 RIVER ST, HOBOKEN 07030-5774, NJ USA</t>
  </si>
  <si>
    <t>0950-382X</t>
  </si>
  <si>
    <t>1365-2958</t>
  </si>
  <si>
    <t>MOL MICROBIOL</t>
  </si>
  <si>
    <t>Mol. Microbiol.</t>
  </si>
  <si>
    <t>10.1111/mmi.12315</t>
  </si>
  <si>
    <t>Biochemistry &amp; Molecular Biology; Microbiology</t>
  </si>
  <si>
    <t>198UT</t>
  </si>
  <si>
    <t>WOS:000322948500015</t>
  </si>
  <si>
    <t>Nielsen, H; Leane, E</t>
  </si>
  <si>
    <t>Nielsen, Hanne; Leane, Elizabeth</t>
  </si>
  <si>
    <t>'Scott of the Antarctic' on the German Stage: Reinhard Goering's Die Sudpolexpedition des Kapitans Scott</t>
  </si>
  <si>
    <t>NEW THEATRE QUARTERLY</t>
  </si>
  <si>
    <t>Sudpolexpedition des Kapitans Scott; Reinhard Goering; Robert F. Scott; Antarctic exploration; German Expressionism</t>
  </si>
  <si>
    <t>Reinhard Goering's play Die Sudpolexpedition des Kapitans Scott (1929) tells the story of the famously tragic British polar expedition led by Robert F. Scott in 1911-12. As the first public staging of the story, the play created considerable controversy in Britain when it premiered in Berlin in 1930. A late Expressionist drama, it offered perspectives on the expedition quite different to those coming out of Scott's homeland. In this article, Hanne Nielsen and Elizabeth Leane contextualize the play within Goering's own career; outline its performance history; examine its reception in both Germany and Britain; and analyze the play text in terms of its innovative treatment of Scott's story. Hanne Nielsen is a postgraduate student at Gateway Antarctica, University of Canterbury. Her background is in Antarctic Studies and German literature and she is currently undertaking a study of representations of Antarctica on stage. Elizabeth Leane is a Senior Lecturer in English at the University of Tasmania, where she holds a research position split between the School of Humanities and the Institute of Marine and Antarctic Studies. She has written and edited several books, most recently Antarctica in Fiction (Cambridge University Press).</t>
  </si>
  <si>
    <t>[Nielsen, Hanne] Univ Canterbury, Christchurch, New Zealand; [Leane, Elizabeth] Univ Tasmania, Hobart, Tas 7001, Australia; [Leane, Elizabeth] Univ Tasmania, Sch Humanities, Hobart, Tas 7001, Australia; [Leane, Elizabeth] Univ Tasmania, Inst Marine &amp; Antarctic Studies, Hobart, Tas 7001, Australia</t>
  </si>
  <si>
    <t>University of Canterbury; University of Tasmania; University of Tasmania; University of Tasmania</t>
  </si>
  <si>
    <t>Nielsen, H (corresponding author), Univ Canterbury, Christchurch, New Zealand.</t>
  </si>
  <si>
    <t>Leane, Elizabeth M/J-7138-2014; Nielsen, Hanne E F/I-4472-2014</t>
  </si>
  <si>
    <t>Leane, Elizabeth/0000-0002-7954-6529; Nielsen, Hanne E F/0000-0002-2761-7727</t>
  </si>
  <si>
    <t>CAMBRIDGE UNIV PRESS</t>
  </si>
  <si>
    <t>NEW YORK</t>
  </si>
  <si>
    <t>32 AVENUE OF THE AMERICAS, NEW YORK, NY 10013-2473 USA</t>
  </si>
  <si>
    <t>0266-464X</t>
  </si>
  <si>
    <t>1474-0613</t>
  </si>
  <si>
    <t>NEW THEAT Q</t>
  </si>
  <si>
    <t>New Theatre Q.</t>
  </si>
  <si>
    <t>10.1017/S0266464X13000468</t>
  </si>
  <si>
    <t>Theater</t>
  </si>
  <si>
    <t>Arts &amp; Humanities Citation Index (A&amp;HCI)</t>
  </si>
  <si>
    <t>199RL</t>
  </si>
  <si>
    <t>WOS:000323012700006</t>
  </si>
  <si>
    <t>Delsaute, M; Berlemont, R; Dehareng, D; Van Elder, D; Galleni, M; Bauvois, C</t>
  </si>
  <si>
    <t>Delsaute, Maud; Berlemont, Renaud; Dehareng, Dominique; Van Elder, Dany; Galleni, Moreno; Bauvois, Cedric</t>
  </si>
  <si>
    <t>Three-dimensional structure of RBcel1, a metagenome-derived psychrotolerant family GH5 endoglucanase</t>
  </si>
  <si>
    <t>ACTA CRYSTALLOGRAPHICA SECTION F-STRUCTURAL BIOLOGY COMMUNICATIONS</t>
  </si>
  <si>
    <t>CRYSTAL-STRUCTURE; CELLULOSE BIOSYNTHESIS; CATALYTIC DOMAIN; ALPHA-AMYLASE; ENDOCELLULASE; INSIGHTS; SYSTEM</t>
  </si>
  <si>
    <t>RBcel1 is an endoglucanase belonging to glycoside hydrolase family 5 subfamily 5 (GH5_5) that was recently identified from a soil metagenome library from the Antarctic. Unlike its closest structural homologue (Cel5A from Thermoascus aurantiacus), this enzyme was reported to be able to catalyze transglycosylation reactions and has putatively been implicated in the bacterial cellulose-synthesis process. Here, the structure of RBcel1 at 1.4 angstrom resolution, solved by molecular replacement, is reported. The structure and putative substrate-binding site are described and compared with those of other GH5_5 subfamily members.</t>
  </si>
  <si>
    <t>[Delsaute, Maud; Berlemont, Renaud; Galleni, Moreno] Univ Liege ULg, Ctr Ingn Prot, Lab Macromol Biol, B-4000 Liege, Belgium; [Berlemont, Renaud] Univ Calif Irvine, Dept Earth Syst Sci, Irvine, CA 92617 USA; [Berlemont, Renaud] Univ Calif Irvine, Dept Evolutionary Biol, Irvine, CA 92617 USA; [Dehareng, Dominique] Univ Liege ULg, Ctr Ingn Prot, B-4000 Liege, Belgium; [Van Elder, Dany] Univ Libre Bruxelles, Lab Microbiol, B-1070 Brussels, Belgium; [Bauvois, Cedric] CoCoF, Unite Cristallog Prot, Inst Rech Microbiol JM Wiame IRMW, B-1070 Brussels, Belgium</t>
  </si>
  <si>
    <t>University of Liege; University of California System; University of California Irvine; University of California System; University of California Irvine; University of Liege; Universite Libre de Bruxelles</t>
  </si>
  <si>
    <t>Bauvois, C (corresponding author), CoCoF, Unite Cristallog Prot, Inst Rech Microbiol JM Wiame IRMW, Campus CERIA,Ave E Gryson 1, B-1070 Brussels, Belgium.</t>
  </si>
  <si>
    <t>cedric.bauvois@ulb.ac.be</t>
  </si>
  <si>
    <t>Berlemont, Renaud/0000-0001-9243-5092; Van Elder, Dany/0000-0002-7022-2181</t>
  </si>
  <si>
    <t>Fonds de la Recherche Scientifique [IISN 4.4505.00]; FRIA (Fonds pour la Formation a la Recherche dans l'Industrie et l'Agriculture)</t>
  </si>
  <si>
    <t>Fonds de la Recherche Scientifique(Fonds de la Recherche Scientifique - FNRS); FRIA (Fonds pour la Formation a la Recherche dans l'Industrie et l'Agriculture)(Fonds de la Recherche Scientifique - FNRS)</t>
  </si>
  <si>
    <t>Use of the FIP-BM30a beamline was supported by the Fonds de la Recherche Scientifique under contract IISN 4.4505.00. MD holds a doctoral research fellowship from FRIA (Fonds pour la Formation a la Recherche dans l'Industrie et l'Agriculture). The authors would like to thank Mrs Nathalie Asselberghs for her help during the crystallogenesis experiments. Thanks are also due to Dr Christianne Legrain, Ir Raphael Dutoit and Mrs Virginie Durisotti for stimulating discussions and their help in the preparation of the manuscript.</t>
  </si>
  <si>
    <t>INT UNION CRYSTALLOGRAPHY</t>
  </si>
  <si>
    <t>CHESTER</t>
  </si>
  <si>
    <t>2 ABBEY SQ, CHESTER, CH1 2HU, ENGLAND</t>
  </si>
  <si>
    <t>2053-230X</t>
  </si>
  <si>
    <t>ACTA CRYSTALLOGR F</t>
  </si>
  <si>
    <t>Acta Crystallogr. F-Struct. Biol. Commun.</t>
  </si>
  <si>
    <t>10.1107/S1744309113014565</t>
  </si>
  <si>
    <t>Biochemical Research Methods; Biochemistry &amp; Molecular Biology; Biophysics; Crystallography</t>
  </si>
  <si>
    <t>Biochemistry &amp; Molecular Biology; Biophysics; Crystallography</t>
  </si>
  <si>
    <t>192UU</t>
  </si>
  <si>
    <t>Green Published</t>
  </si>
  <si>
    <t>WOS:000322512300002</t>
  </si>
  <si>
    <t>Joy, KH; Arai, T</t>
  </si>
  <si>
    <t>Joy, Katherine H.; Arai, Tomoko</t>
  </si>
  <si>
    <t>Lunar meteorites: new insights into the geological history of the Moon</t>
  </si>
  <si>
    <t>ASTRONOMY &amp; GEOPHYSICS</t>
  </si>
  <si>
    <t>SURFACE; CRUST; GEOCHEMISTRY; EVOLUTION; HYPOTHESIS; DIVERSITY; BRECCIA; CLASTS; LAUNCH</t>
  </si>
  <si>
    <t>[Joy, Katherine H.] Univ Manchester, Sch Earth Atmospher &amp; Environm Sci, Manchester M13 9PL, Lancs, England; [Arai, Tomoko] Chiba Inst Technol, PERC, Narashino, Chiba 275, Japan</t>
  </si>
  <si>
    <t>University of Manchester; Chiba Institute of Technology</t>
  </si>
  <si>
    <t>Joy, KH (corresponding author), Univ Manchester, Sch Earth Atmospher &amp; Environm Sci, Manchester M13 9PL, Lancs, England.</t>
  </si>
  <si>
    <t>katherine.joy@manchester.ac.uk</t>
  </si>
  <si>
    <t>Joy, Katherine/0000-0003-4992-8750</t>
  </si>
  <si>
    <t>Leverhulme Trust [2011-569]</t>
  </si>
  <si>
    <t>Leverhulme Trust(Leverhulme Trust)</t>
  </si>
  <si>
    <t>We are grateful to the Antarctic Search for Meteorites (ANSMET) programme that gave us the opportunity to discuss this topic at great length during many tent days in the 2012-2013 season at Szabo Bluff. Thank you to Randy Korotev, Clive Neal, Kevin Righter and Chuck Meyer for the excellent lunar resources and databases they have generously provided to the lunar community. KHJ acknowledges Leverhulme Trust grant 2011-569 and would like to thank Prof. Ian Crawford for his support and many informative discussions about lunar meteorites.</t>
  </si>
  <si>
    <t>OXFORD UNIV PRESS</t>
  </si>
  <si>
    <t>OXFORD</t>
  </si>
  <si>
    <t>GREAT CLARENDON ST, OXFORD OX2 6DP, ENGLAND</t>
  </si>
  <si>
    <t>1366-8781</t>
  </si>
  <si>
    <t>1468-4004</t>
  </si>
  <si>
    <t>ASTRON GEOPHYS</t>
  </si>
  <si>
    <t>Astron. Geophys.</t>
  </si>
  <si>
    <t>Astronomy &amp; Astrophysics; Geochemistry &amp; Geophysics</t>
  </si>
  <si>
    <t>191QO</t>
  </si>
  <si>
    <t>WOS:000322427900026</t>
  </si>
  <si>
    <t>King, MA</t>
  </si>
  <si>
    <t>King, Matt A.</t>
  </si>
  <si>
    <t>Progress in modelling and observing Antarctic glacial isostatic adjustment</t>
  </si>
  <si>
    <t>POSTGLACIAL SEA-LEVEL; ICE VOLUME CHANGE; EMBAYMENT CONSTRAINTS; DEGLACIAL HISTORY; AGE EARTH; BENEATH ANTARCTICA; CLIMATE EXPERIMENT; GRAVITY RECOVERY; LATE PLEISTOCENE; MASS-BALANCE</t>
  </si>
  <si>
    <t>[King, Matt A.] Newcastle Univ, Sch Civil Engn &amp; Geosci, Newcastle Upon Tyne NE1 7RU, Tyne &amp; Wear, England; [King, Matt A.] Univ Tasmania, Sch Geog &amp; Environm Studies, Hobart, Tas 7001, Australia</t>
  </si>
  <si>
    <t>Newcastle University - UK; University of Tasmania</t>
  </si>
  <si>
    <t>King, MA (corresponding author), Newcastle Univ, Sch Civil Engn &amp; Geosci, Newcastle Upon Tyne NE1 7RU, Tyne &amp; Wear, England.</t>
  </si>
  <si>
    <t>King, Matt/B-4622-2008</t>
  </si>
  <si>
    <t>King, Matt/0000-0001-5611-9498</t>
  </si>
  <si>
    <t>Australian Research Council [FT110100207]; British Geophysical Association; Australian Research Council [FT110100207] Funding Source: Australian Research Council</t>
  </si>
  <si>
    <t>Australian Research Council(Australian Research Council); British Geophysical Association; Australian Research Council(Australian Research Council)</t>
  </si>
  <si>
    <t>Nick Golledge, Pippa Whitehouse and Erik Ivins kindly supplied model output. ICE-5Gv1.3a grids were helpfully made available by Dick Peltier at http://www.atmosp.physics.utoronto.ca/-peltier/data.php. I thank the BGA for the invitation to write this paper associated with a Bullerwell Lecture at the ECU in 2012. Christopher Watson and Pippa Whitehouse provided helpful comments on a draft of the manuscript. Matt King is a recipient of an Australian Research Council Future Fellowship (project number FT110100207).; The Bullerwell Lecture is awarded annually to an outstanding young British geophysicist, by the British Geophysical Association (http://www.geophysics.org.uk)</t>
  </si>
  <si>
    <t>WOS:000322427900027</t>
  </si>
  <si>
    <t>Hughes, JM; Stewart, J; Lyle, JM; McAllister, J; Stocks, JR; Suthers, IM</t>
  </si>
  <si>
    <t>Hughes, Julian M.; Stewart, John; Lyle, Jeremy M.; McAllister, Jaime; Stocks, Jerom R.; Suthers, Iain M.</t>
  </si>
  <si>
    <t>Latitudinal, ontogenetic, and historical shifts in the diet of a carnivorous teleost, Arripis trutta, in a coastal pelagic ecosystem altered by climate change</t>
  </si>
  <si>
    <t>CANADIAN JOURNAL OF FISHERIES AND AQUATIC SCIENCES</t>
  </si>
  <si>
    <t>AUSTRALIAN SALMON; TRACHURUS-DECLIVIS; JACK MACKEREL; FOOD-HABITS; INTERANNUAL VARIABILITY; FISHERIES MANAGEMENT; POMATOMUS-SALTATRIX; SPAWNING PATTERNS; CONSUMPTION RATES; FEEDING ECOLOGY</t>
  </si>
  <si>
    <t>Changes to the global climate are driving alterations to boundary current-influenced marine ecosystems. The diet of a pelagic teleost, Arripis trutta, was examined in the East Australian Current (EAC)-dominated coastal waters of southeastern (SE) Australia. The diet of A. trutta was dominated by pelagic baitfish, primarily Australian sardine (Sardinops sagax) and scads (Trachurus spp.). Diet varied substantially with both latitude and season linked to variability in the distribution and abundance of key prey species. An ontogenetic diet shift occurred, with crustaceans and polychaetes making up a large proportion of the diet of small fish compared with the dominance of baitfish at larger sizes. The diet of A. trutta has undergone a dramatic shift from one dominated by krill (Nyctiphanes australis) historically to baitfish today. This change is consistent with a well-documented regime shift caused by the increasing intensity of the EAC on coastal SE Australian waters. Understanding the temporal dynamics of this ecosystem is crucial for management of coastal fisheries and also for understanding the impacts of climate change on boundary current-dominated marine ecosystems worldwide.</t>
  </si>
  <si>
    <t>[Hughes, Julian M.; Stewart, John; Stocks, Jerom R.] Cronulla Fisheries Res Ctr Excellence, New South Wales Dept Primary Ind, Cronulla, NSW 2230, Australia; [Hughes, Julian M.; Stocks, Jerom R.; Suthers, Iain M.] Univ New S Wales, Sch Biol Earth &amp; Environm Sci, Fisheries &amp; Marine Environm Res Facil, Sydney, NSW 2052, Australia; [Lyle, Jeremy M.; McAllister, Jaime] Univ Tasmania, Inst Marine &amp; Antarctic Studies, Hobart, Tas 7001, Australia</t>
  </si>
  <si>
    <t>NSW Department of Primary Industries; University of New South Wales Sydney; University of Tasmania</t>
  </si>
  <si>
    <t>Hughes, JM (corresponding author), Sydney Inst Marine Sci, New South Wales Dept Primary Ind, 19 Chowder Bay Rd, Mosman, NSW 2088, Australia.</t>
  </si>
  <si>
    <t>Julian.Hughes@dpi.nsw.gov.au</t>
  </si>
  <si>
    <t>Stewart, John/N-7330-2016; Lyle, Jeremy/J-7170-2014; Hughes, Julian/D-2695-2017; Stocks, Jerom/N-9315-2016; Suthers, Iain/C-4559-2008</t>
  </si>
  <si>
    <t>Lyle, Jeremy/0000-0001-9670-5854; Hughes, Julian/0000-0002-0884-8386; Stocks, Jerom/0000-0001-6425-8869; Suthers, Iain/0000-0002-9340-7461</t>
  </si>
  <si>
    <t>Fisheries Research and Development Corporation [2006/018]; NSW Recreational Saltwater Fishing Trust; NSW Department of Primary Industries</t>
  </si>
  <si>
    <t>Fisheries Research and Development Corporation; NSW Recreational Saltwater Fishing Trust; NSW Department of Primary Industries</t>
  </si>
  <si>
    <t>We thank K. Rowling, M. Ives, and two anonymous reviewers for constructive comments on earlier drafts of this manuscript and P. Geraghty for assistance processing stomach contents. We are also grateful to the commercial salmon fishers of SE Australia for collecting the fish used in this study: Harry Mitchelson, Alf Patane, Stuart Richey, and Gary Warren. This study was funded by the Fisheries Research and Development Corporation (Project No. 2006/018), the NSW Recreational Saltwater Fishing Trust, and the NSW Department of Primary Industries.</t>
  </si>
  <si>
    <t>CANADIAN SCIENCE PUBLISHING</t>
  </si>
  <si>
    <t>OTTAWA</t>
  </si>
  <si>
    <t>65 AURIGA DR, SUITE 203, OTTAWA, ON K2E 7W6, CANADA</t>
  </si>
  <si>
    <t>0706-652X</t>
  </si>
  <si>
    <t>1205-7533</t>
  </si>
  <si>
    <t>CAN J FISH AQUAT SCI</t>
  </si>
  <si>
    <t>Can. J. Fish. Aquat. Sci.</t>
  </si>
  <si>
    <t>10.1139/cjfas-2013-0083</t>
  </si>
  <si>
    <t>Fisheries; Marine &amp; Freshwater Biology</t>
  </si>
  <si>
    <t>193AF</t>
  </si>
  <si>
    <t>WOS:000322528400009</t>
  </si>
  <si>
    <t>Cheng, WH; Sun, LG; Huang, W; Ruan, T; Xie, ZQ; Zhang, PF; Ding, R; Li, M</t>
  </si>
  <si>
    <t>Cheng, Wenhan; Sun, Liguang; Huang, Wen; Ruan, Ting; Xie, Zhouqing; Zhang, Pengfei; Ding, Rui; Li, Ming</t>
  </si>
  <si>
    <t>Detection and distribution of Tris(2-chloroethyl) phosphate on the East Antarctic ice sheet</t>
  </si>
  <si>
    <t>CHEMOSPHERE</t>
  </si>
  <si>
    <t>Organophosphorus esters; Antarctic ice sheet; Long range transport; TCEP</t>
  </si>
  <si>
    <t>ORGANOPHOSPHORUS FLAME RETARDANTS; PLASTICIZERS; ACCUMULATION; DEBRIS; ESTERS; ISLAND; WATER; SEA</t>
  </si>
  <si>
    <t>Use of PBDEs (Polybrominated Diphenyl Ethers) has been restricted in Europe and North America in recent years. As substitute products with similar properties, OPEs (Organophosphate Esters) are now used as alternatives to PBDEs. Recent research has revealed that, similar to PBDEs, OPEs are also environmentally hazardous like PBDEs. Thus knowledge of their distribution and transport is needed to understand the extent of risk. However, studies on environmental OPEs mainly focus on Europe and North America. Knowledge in the southern hemisphere is very limited. In this study, we analyzed fresh snow samples collected along the transect from Zhongshan Station to Kunlun Station, East Antarctica. Several OPEs were detected in this transect, among which Tris(2-chloroethyl) phosphate (TCEP) had the highest frequency of quantification. It was quantified in most samples from the coastal half of the transect and was detected but not quantified in most samples in the inland half. We show that TCEP at this transect probably originated from the ocean around Antarctica. This study is the first to report the presence of TCEP on the Antarctica ice sheet, providing evidence of its long range transport from the source regions. This work also indicate that TCEP can transport hundreds of kilometers in the Antarctica. (C) 2013 Elsevier Ltd. All rights reserved.</t>
  </si>
  <si>
    <t>[Cheng, Wenhan; Sun, Liguang; Huang, Wen; Xie, Zhouqing; Li, Ming] Univ Sci &amp; Technol China, Sch Earth &amp; Space Sci, Inst Polar Environm, Hefei, Peoples R China; [Ruan, Ting] Chinese Acad Sci, Ecoenvironm Sci Res Ctr, State Key Lab Environm Chem &amp; Ecotoxicol, Beijing 100864, Peoples R China; [Zhang, Pengfei; Ding, Rui] CUNY, Dept Earth &amp; Atmospher Sci, New York, NY USA; [Li, Ming] Chinese Acad Sci, Inst Earth Environm, Xian, Shannxi, Peoples R China</t>
  </si>
  <si>
    <t>Chinese Academy of Sciences; University of Science &amp; Technology of China, CAS; Chinese Academy of Sciences; Research Center for Eco-Environmental Sciences (RCEES); City University of New York (CUNY) System; Chinese Academy of Sciences; Institute of Earth Environment, CAS</t>
  </si>
  <si>
    <t>Sun, LG (corresponding author), Univ Sci &amp; Technol China, Sch Earth &amp; Space Sci, Inst Polar Environm, Hefei, Peoples R China.</t>
  </si>
  <si>
    <t>slg@ustc.edu.cn</t>
  </si>
  <si>
    <t>DING, RUI/P-3018-2019; Ruan, Ting/T-1396-2019; Ding, Rui/JSL-0652-2023; cheng, Wen-Han/I-6377-2012; xie, zhouqing/P-9661-2019; Zhang, Pengfei/C-2264-2013</t>
  </si>
  <si>
    <t>DING, RUI/0000-0002-3542-3965; Zhang, Pengfei/0000-0002-1765-5965</t>
  </si>
  <si>
    <t>Chinese Polar Environment Comprehensive Investigation &amp; Assessment Programs [CHINARE2012-02-02-06, CHINARE2012-04-04-09]; National Basic Research Program of China (973 Program) [2009CB421605]; University of Sciences and Technology of China</t>
  </si>
  <si>
    <t>Chinese Polar Environment Comprehensive Investigation &amp; Assessment Programs; National Basic Research Program of China (973 Program)(National Basic Research Program of China); University of Sciences and Technology of China</t>
  </si>
  <si>
    <t>This study is supported by Chinese Polar Environment Comprehensive Investigation &amp; Assessment Programs (CHINARE2012-02-02-06 and CHINARE2012-04-04-09), the National Basic Research Program of China (973 Program, Granted No. 2009CB421605) and Direction Program of University of Sciences and Technology of China. The authors thank the crew of the 26th, 27th and 28th CHINARE for support on sampling.</t>
  </si>
  <si>
    <t>PERGAMON-ELSEVIER SCIENCE LTD</t>
  </si>
  <si>
    <t>THE BOULEVARD, LANGFORD LANE, KIDLINGTON, OXFORD OX5 1GB, ENGLAND</t>
  </si>
  <si>
    <t>0045-6535</t>
  </si>
  <si>
    <t>1879-1298</t>
  </si>
  <si>
    <t>Chemosphere</t>
  </si>
  <si>
    <t>10.1016/j.chemosphere.2013.03.038</t>
  </si>
  <si>
    <t>Environmental Sciences</t>
  </si>
  <si>
    <t>191QU</t>
  </si>
  <si>
    <t>WOS:000322428500020</t>
  </si>
  <si>
    <t>Mohammed, S; Te'o, J; Nevalainen, H</t>
  </si>
  <si>
    <t>Mohammed, Suja; Te'o, Junior; Nevalainen, Helena</t>
  </si>
  <si>
    <t>A gene encoding a new cold-active lipase from an Antarctic isolate of Penicillium expansum</t>
  </si>
  <si>
    <t>CURRENT GENETICS</t>
  </si>
  <si>
    <t>Cold-active lipase; Antarctic; Penicillium expansum; Genomic walking PCR</t>
  </si>
  <si>
    <t>MICROBIAL LIPASES; ALKALINE LIPASE; PURIFICATION; ENZYMES; PCR; BIOTECHNOLOGY; INHIBITION; CLONING</t>
  </si>
  <si>
    <t>Cold-active lipases are of significant interest as biocatalysts in industrial processes. We have identified a lipase that displayed activity towards long carbon-chain-p-nitrophenyl substrates (C12-C18) at 25 A degrees C from the culture supernatant of an Antarctic Penicillium expansum strain assigned P. expansum SM3. Zymography revealed a protein band of around 30 kDa with activity towards olive oil. DNA fragments of a lipase gene designated as lipPE were isolated from the genomic DNA of P. expansum SM3 by genomic walking PCR. Subsequently, the complete genomic lipPE gene was amplified using gene-specific primers designed from the 5'- and 3'-regions. Reverse transcription PCR was used to amplify the lipPE cDNA. The deduced amino acid sequence consisted of 285 residues that included a predicted signal peptide. Three peptides identified by LC/MS/MS analysis of the proteins in the culture supernatant of P. expansum were also present in the deduced amino acid sequence of the lipPE gene suggesting that this gene encoded the lipase identified by initial zymogram activity analysis. Full analysis of the nucleotide and the deduced amino acid sequences indicated that the lipPE gene encodes a novel P. expansum lipase. The lipPE gene was expressed in E. coli for further characterization of the enzyme with a view of assessing its suitability for industrial applications.</t>
  </si>
  <si>
    <t>[Mohammed, Suja] Macquarie Univ, Fac Human Sci, Australian Sch Adv Med, Sydney, NSW 2109, Australia; [Te'o, Junior; Nevalainen, Helena] Macquarie Univ, Biomol Frontiers Res Ctr, Dept Chem &amp; Biomol Sci, Sydney, NSW 2109, Australia</t>
  </si>
  <si>
    <t>Macquarie University; Macquarie University</t>
  </si>
  <si>
    <t>Mohammed, S (corresponding author), Macquarie Univ, Fac Human Sci, Australian Sch Adv Med, Sydney, NSW 2109, Australia.</t>
  </si>
  <si>
    <t>suja.mohammed@mq.edu.au</t>
  </si>
  <si>
    <t>Nevalainen, Helena/0000-0003-0083-4630; Teo, Valentino Setoa Junior/0000-0001-6460-8718</t>
  </si>
  <si>
    <t>Macquarie University</t>
  </si>
  <si>
    <t>We thank Paul Worden from the Macquarie University Sequencing Facility for DNA sequencing. We also thank Dr. Ron Bradner for sharing information about the Antarctic fungal strains and identification of strains. S. Mohammed would like to express her sincere gratitude to Prof. Paul Pilowsky for his enormous support and valuable advice on manuscript preparation. This research has been facilitated by access to the Australian Proteome Analysis Facility established under the Australian Government's Major National Research Facilities Program. S. Mohammed is the recipient of a RAACE (Research Award in Areas and Centres of Excellence) Scholarship awarded by Macquarie University.</t>
  </si>
  <si>
    <t>SPRINGER</t>
  </si>
  <si>
    <t>233 SPRING ST, NEW YORK, NY 10013 USA</t>
  </si>
  <si>
    <t>0172-8083</t>
  </si>
  <si>
    <t>1432-0983</t>
  </si>
  <si>
    <t>CURR GENET</t>
  </si>
  <si>
    <t>Curr. Genet.</t>
  </si>
  <si>
    <t>10.1007/s00294-013-0394-x</t>
  </si>
  <si>
    <t>Genetics &amp; Heredity</t>
  </si>
  <si>
    <t>186AN</t>
  </si>
  <si>
    <t>WOS:000322013700005</t>
  </si>
  <si>
    <t>Morioka, Y; Ratnam, JV; Sasaki, W; Masumoto, Y</t>
  </si>
  <si>
    <t>Morioka, Yushi; Ratnam, J. V.; Sasaki, Wataru; Masumoto, Yukio</t>
  </si>
  <si>
    <t>Generation Mechanism of the South Pacific Subtropical Dipole</t>
  </si>
  <si>
    <t>JOURNAL OF CLIMATE</t>
  </si>
  <si>
    <t>South Pacific Ocean; Mixed layer; Sea surface temperature; Air-sea interaction; Climate variability; Interannual variability</t>
  </si>
  <si>
    <t>ANTARCTIC CIRCUMPOLAR WAVE; VARYING BASIC FLOW; UPPER-OCEAN; KUROSHIO EXTENSION; ACTIVITY FLUX; INDIAN-OCEAN; HEAT-BALANCE; MIXED-LAYER; VARIABILITY; CIRCULATION</t>
  </si>
  <si>
    <t>Distinct pattern of interannual variability in sea surface temperature (SST) in the South Pacific [i.e., the South Pacific subtropical dipole (SPSD)] is examined using outputs from a coupled general circulation model. The SPSD appears as the second empirical orthogonal function (EOF) mode of the SST anomalies in the South Pacific and is associated with a northeast-southwest-oriented dipole of positive and negative SST anomalies in the central basin. The positive and negative SST anomaly poles start to develop during austral spring, reach their peak during austral summer, and gradually decay afterward. Close examination of mixed-layer heat balance yields that the SST anomaly poles develop mainly because warming of the mixed layer by shortwave radiation is modulated by the anomalous mixed-layer thickness. Over the positive (negative) pole, the mixed layer becomes thinner (thicker) than normal and acts to enhance (reduce) the warming of the mixed layer by climatological shortwave radiation. This thinner (thicker) mixed layer may be related to the suppressed (enhanced) evaporation associated with the overlying sea level pressure (SLP) anomalies. Weaker-than-normal surface wind also contributes to the thinner mixed layer in the case of the positive pole. Furthermore, the SLP anomalies are linked with the geopotential height anomalies in the upper troposphere and are associated with a stationary Rossby wave pattern along the westerly jet in the midlatitudes. This suggests that the SLP anomalies that generate the SPSD are not locally excited but remotely induced signals.</t>
  </si>
  <si>
    <t>[Morioka, Yushi; Ratnam, J. V.; Masumoto, Yukio] JAMSTEC, Res Inst Global Change, Yokohama, Kanagawa 2360001, Japan; [Sasaki, Wataru] JAMSTEC, Applicat Lab, Yokohama, Kanagawa 2360001, Japan</t>
  </si>
  <si>
    <t>Japan Agency for Marine-Earth Science &amp; Technology (JAMSTEC); Japan Agency for Marine-Earth Science &amp; Technology (JAMSTEC)</t>
  </si>
  <si>
    <t>Morioka, Y (corresponding author), JAMSTEC, Res Inst Global Change, Kanazawa Ku, 3173-25 Showamachi, Yokohama, Kanagawa 2360001, Japan.</t>
  </si>
  <si>
    <t>morioka@jamstec.go.jp</t>
  </si>
  <si>
    <t>Morioka, Yushi/G-3431-2014; Sasaki, Wataru/P-9663-2019; MASUMOTO, YUKIO/G-5021-2014; Ratnam, J.V./J-3150-2014</t>
  </si>
  <si>
    <t>Morioka, Yushi/0000-0002-2709-4911; Ratnam, J.V./0000-0003-1385-2213</t>
  </si>
  <si>
    <t>Japan Society for the Promotion of Science (JSPS)</t>
  </si>
  <si>
    <t>Japan Society for the Promotion of Science (JSPS)(Ministry of Education, Culture, Sports, Science and Technology, Japan (MEXT)Japan Society for the Promotion of Science)</t>
  </si>
  <si>
    <t>The SINTEX-F2 was run on the Earth Simulator 2 at the Japan Agency for Marine-Earth Science and Technology (JAMSTEC). We thank two anonymous reviewers for their constructive comments. The first author is supported by a research fellowship from the Japan Society for the Promotion of Science (JSPS).</t>
  </si>
  <si>
    <t>0894-8755</t>
  </si>
  <si>
    <t>J CLIMATE</t>
  </si>
  <si>
    <t>J. Clim.</t>
  </si>
  <si>
    <t>10.1175/JCLI-D-12-00648.1</t>
  </si>
  <si>
    <t>196FU</t>
  </si>
  <si>
    <t>WOS:000322759700019</t>
  </si>
  <si>
    <t>Giarolla, E; Matano, RP</t>
  </si>
  <si>
    <t>Giarolla, Emanuel; Matano, Ricardo P.</t>
  </si>
  <si>
    <t>The Low-Frequency Variability of the Southern Ocean Circulation</t>
  </si>
  <si>
    <t>Ocean circulation; Sea level; Interannual variability; Oceanic variability</t>
  </si>
  <si>
    <t>ANTARCTIC CIRCUMPOLAR WAVE; HEMISPHERE ANNULAR MODE; SEA-LEVEL CHANGE; IN-SITU; TEMPERATURE; SATELLITE; EXPANSION; WIND</t>
  </si>
  <si>
    <t>Long time series of sea surface height (SSH), sea surface temperature, and wind stress curl are used to determine the main modes of low-frequency variability of the Southern Ocean (SO) circulation. The dominant mode is a trend of increasing SSH at an average rate of 3.3 mm yr(-1). Similar trends have been reported in previous studies and the analysis indicates that the tendency of sea level increase over the SO has become more spatially homogeneous during the last decade, with changes in the increasing rate in 2000 and 2006. The other modes consist of stationary, basin-type modes, and an eastward-propagating wave. The stationary modes are particularly dominant in the Indian and Atlantic Ocean basins, where their spatial structure appears to be shaped by the basin geometry and the bottom topography. The wavelike patterns travel eastward with a period of approximately 10 years. Two waves were identified in the analysis: a complete cycle between 1997 and 2007 and a second cycle starting in 2000. Such waves have rarely been mentioned or identified in studies using recent satellite-derived SSH products.</t>
  </si>
  <si>
    <t>[Giarolla, Emanuel] CPTEC INPE, BR-12227010 Sao Jose Dos Campos, SP, Brazil; [Matano, Ricardo P.] Oregon State Univ, Coll Earth Ocean &amp; Atmospher Sci, Corvallis, OR 97331 USA</t>
  </si>
  <si>
    <t>Instituto Nacional de Pesquisas Espaciais (INPE); Oregon State University</t>
  </si>
  <si>
    <t>Giarolla, E (corresponding author), CPTEC INPE, Ave Astronautas 1758, BR-12227010 Sao Jose Dos Campos, SP, Brazil.</t>
  </si>
  <si>
    <t>emanuel.giarolla@cptec.inpe.br</t>
  </si>
  <si>
    <t>Giarolla, Emanuel/J-8395-2013</t>
  </si>
  <si>
    <t>Conselho Nacional de Desenvolvimento Cientifico e Tecnologico (CNPQ) [200559/2008-7]; Brazilian National Institute for Space Research (INPE); National Science Foundation [OCE-0928348]; NASA [NNX08AR40G, NNX12AF67G]; NASA [75169, NNX12AF67G, 95461, NNX08AR40G] Funding Source: Federal RePORTER</t>
  </si>
  <si>
    <t>Conselho Nacional de Desenvolvimento Cientifico e Tecnologico (CNPQ)(Conselho Nacional de Desenvolvimento Cientifico e Tecnologico (CNPQ)); Brazilian National Institute for Space Research (INPE); National Science Foundation(National Science Foundation (NSF)); NASA(National Aeronautics &amp; Space Administration (NASA)); NASA(National Aeronautics &amp; Space Administration (NASA))</t>
  </si>
  <si>
    <t>The authors thank the editor and reviewers for their helpful comments and suggestions. E. Giarolla acknowledges the support of the Conselho Nacional de Desenvolvimento Cientifico e Tecnologico (CNPQ) through Grant 200559/2008-7 and of the Brazilian National Institute for Space Research (INPE). R. P. Matano acknowledges the financial support of the National Science Foundation through Grant OCE-0928348 and of NASA through Grants NNX08AR40G and NNX12AF67G.</t>
  </si>
  <si>
    <t>1520-0442</t>
  </si>
  <si>
    <t>10.1175/JCLI-D-12-00293.1</t>
  </si>
  <si>
    <t>Green Submitted, Bronze</t>
  </si>
  <si>
    <t>WOS:000322759700022</t>
  </si>
  <si>
    <t>Tian, BQ; Fan, K</t>
  </si>
  <si>
    <t>Tian, Baoqiang; Fan, Ke</t>
  </si>
  <si>
    <t>Factors favorable to frequent extreme precipitation in the upper Yangtze River Valley</t>
  </si>
  <si>
    <t>METEOROLOGY AND ATMOSPHERIC PHYSICS</t>
  </si>
  <si>
    <t>SUMMER MONSOON CLIMATE; TIBETAN PLATEAU; ANTARCTIC OSCILLATION; SNOW DEPTH; EAST-ASIA; CHINA; RAINFALL; TEMPERATURE; CIRCULATION; HEMISPHERE</t>
  </si>
  <si>
    <t>Extreme precipitation events in the upper Yangtze River Valley (YRV) have recently become an increasingly important focus in China because they often cause droughts and floods. Unfortunately, little is known about the climate processes responsible for these events. This paper investigates factors favorable to frequent extreme precipitation events in the upper YRV. Our results reveal that a weakened South China Sea summer monsoon trough, intensified Eurasian-Pacific blocking highs, an intensified South Asian High, a southward subtropical westerly jet and an intensified Western North Pacific Subtropical High (WNPSH) increase atmospheric instability and enhance the convergence of moisture over the upper YRV, which result in more extreme precipitation events. The snow depth over the eastern Tibetan Plateau (TP) in winter and sea surface temperature anomalies (SSTAs) over three key regions in summer are important external forcing factors in the atmospheric circulation anomalies. Deep snow on the Tibetan Plateau in winter can weaken the subsequent East Asian summer monsoon circulation above by increasing the soil moisture content in summer and weakening the land-sea thermal contrast over East Asia. The positive SSTA in the western North Pacific may affect southwestward extension of the WNPSH and the blocking high over northeastern Asia by arousing the East Asian-Pacific pattern. The positive SSTA in the North Atlantic can affect extreme precipitation event frequency in the upper YRV via a wave train pattern along the westerly jet between the North Atlantic and East Asia. A tripolar pattern from west to east over the Indian Ocean can strengthen moisture transport by enhancing Somali cross-equatorial flow.</t>
  </si>
  <si>
    <t>[Tian, Baoqiang; Fan, Ke] Chinese Acad Sci, Inst Atmospher Phys, Beijing 100029, Peoples R China; [Tian, Baoqiang] Univ Chinese Acad Sci, Beijing 100049, Peoples R China; [Fan, Ke] Chinese Acad Sci, Key Lab Reg Climate Environm East Asia, Beijing 100029, Peoples R China</t>
  </si>
  <si>
    <t>Chinese Academy of Sciences; Institute of Atmospheric Physics, CAS; Chinese Academy of Sciences; University of Chinese Academy of Sciences, CAS; Chinese Academy of Sciences</t>
  </si>
  <si>
    <t>Fan, K (corresponding author), Chinese Acad Sci, Inst Atmospher Phys, Beijing 100029, Peoples R China.</t>
  </si>
  <si>
    <t>fanke@mail.iap.ac.cn</t>
  </si>
  <si>
    <t>Fan, K/GXH-3734-2022; Fan, Ke/AAJ-2315-2020</t>
  </si>
  <si>
    <t>Special Fund for Public Welfare (Meteorology) [GYHY200906018]; National Natural Science Foundation of China [41175071]; Global Climate change research National Basic Research Program of China [2010CB950304]; Chinese Academy of Sciences [KZCX2-YW-BR-14]</t>
  </si>
  <si>
    <t>Special Fund for Public Welfare (Meteorology); National Natural Science Foundation of China(National Natural Science Foundation of China (NSFC)); Global Climate change research National Basic Research Program of China; Chinese Academy of Sciences(Chinese Academy of Sciences)</t>
  </si>
  <si>
    <t>The authors thank two reviewers for their constructive comments to improve our paper. This research was supported by the Special Fund for Public Welfare (Meteorology) under Grant No. GYHY200906018, the National Natural Science Foundation of China (Grant No. 41175071), Global Climate change research National Basic Research Program of China (Grant No. 2010CB950304), and the Chinese Academy of Sciences under Grant No. KZCX2-YW-BR-14.</t>
  </si>
  <si>
    <t>SPRINGER WIEN</t>
  </si>
  <si>
    <t>WIEN</t>
  </si>
  <si>
    <t>SACHSENPLATZ 4-6, PO BOX 89, A-1201 WIEN, AUSTRIA</t>
  </si>
  <si>
    <t>0177-7971</t>
  </si>
  <si>
    <t>METEOROL ATMOS PHYS</t>
  </si>
  <si>
    <t>Meteorol. Atmos. Phys.</t>
  </si>
  <si>
    <t>3-4</t>
  </si>
  <si>
    <t>10.1007/s00703-013-0261-9</t>
  </si>
  <si>
    <t>190KU</t>
  </si>
  <si>
    <t>WOS:000322339700008</t>
  </si>
  <si>
    <t>Di Giuseppe, G; Barbieri, M; Vallesi, A; Luporini, P; Dini, F</t>
  </si>
  <si>
    <t>Di Giuseppe, Graziano; Barbieri, Michele; Vallesi, Adriana; Luporini, Pierangelo; Dini, Fernando</t>
  </si>
  <si>
    <t>Phylogeographical pattern of Euplotes nobilii, a protist ciliate with a bipolar biogeographical distribution</t>
  </si>
  <si>
    <t>MOLECULAR ECOLOGY</t>
  </si>
  <si>
    <t>bipolar species; microbial biogeography; natural hybrids; nuclear and mitochondrial rRNA gene sequences; protists</t>
  </si>
  <si>
    <t>SINGLE NUCLEOTIDE POLYMORPHISMS; RNA GENE SEQUENCE; PHYLOGENETIC-RELATIONSHIPS; RIBOSOMAL DNA; EVOLUTION; DIVERSITY; FORAMINIFERA; DIATOMS; BACILLARIOPHYTA; HYBRIDIZATION</t>
  </si>
  <si>
    <t>Nuclear (18S and ITS) and mitochondrial (16S) ribosomal RNA gene sequences were determined from genetically distinct wild-type strains of Antarctic (nine strains), Fuegian (four strains), Greenland (nine strains) and Svalbard (three strains) populations of the marine ciliate, Euplotes nobilii, and analysed for their nucleotide polymorphisms. A close genetic homogeneity was found within and between the Antarctic and Fuegian populations, while more significant levels of genetic differentiation were detected within and between the two Arctic populations, as well as between these populations and the Antarctic/Fuegian ones. The phylogeographical pattern that was derived from these data indicates that gene flow is not limited among Arctic populations; it equally connects the Arctic and Antarctic populations either directly, or through the Fuegian population. This indication reinforces previous evidence from laboratory assays of mating interactions between some of the strains analysed in this work that Southern and Northern polar populations of E. nobilii belong to a unique, panmictic population that substantially share the same gene pool.</t>
  </si>
  <si>
    <t>[Di Giuseppe, Graziano; Barbieri, Michele; Dini, Fernando] Univ Pisa, Dept Biol, I-56126 Pisa, Italy; [Vallesi, Adriana; Luporini, Pierangelo] Univ Camerino, Dept Environm Sci, Lab Eukaryot Microbiol &amp; Anim Biol, I-62032 Camerino, MC, Italy</t>
  </si>
  <si>
    <t>University of Pisa; University of Camerino</t>
  </si>
  <si>
    <t>Di Giuseppe, G (corresponding author), Univ Pisa, Dept Biol, I-56126 Pisa, Italy.</t>
  </si>
  <si>
    <t>gdigiuseppe@biologia.unipi.it</t>
  </si>
  <si>
    <t>Vallesi, Adriana/I-9933-2016</t>
  </si>
  <si>
    <t>Vallesi, Adriana/0000-0002-4127-090X; Di Giuseppe, Graziano/0000-0002-9999-7650</t>
  </si>
  <si>
    <t>'Programma Nazionale di Ricerche in Antartide' (PNRA)</t>
  </si>
  <si>
    <t>The work was financially supported by the 'Programma Nazionale di Ricerche in Antartide' (PNRA). The authors thank Dr. Sheila Beatty for her editing of the English usage, Mr. Francesco Frontini for excellent care of ciliate cultures and three anonymous reviewers for very helpful conceptual suggestions.</t>
  </si>
  <si>
    <t>0962-1083</t>
  </si>
  <si>
    <t>1365-294X</t>
  </si>
  <si>
    <t>MOL ECOL</t>
  </si>
  <si>
    <t>Mol. Ecol.</t>
  </si>
  <si>
    <t>10.1111/mec.12363</t>
  </si>
  <si>
    <t>Biochemistry &amp; Molecular Biology; Ecology; Evolutionary Biology</t>
  </si>
  <si>
    <t>Biochemistry &amp; Molecular Biology; Environmental Sciences &amp; Ecology; Evolutionary Biology</t>
  </si>
  <si>
    <t>188XA</t>
  </si>
  <si>
    <t>WOS:000322229800013</t>
  </si>
  <si>
    <t>Mager, SM; Smith, IJ; Kempema, EW; Thomson, BJ; Leonard, GH</t>
  </si>
  <si>
    <t>Mager, Sarah M.; Smith, Inga J.; Kempema, Edward W.; Thomson, Benjamin J.; Leonard, Gregory H.</t>
  </si>
  <si>
    <t>Anchor ice in polar oceans</t>
  </si>
  <si>
    <t>PROGRESS IN PHYSICAL GEOGRAPHY-EARTH AND ENVIRONMENT</t>
  </si>
  <si>
    <t>anchor ice; frazil ice; marine sedimentation; platelet ice; sea ice; supercooled water</t>
  </si>
  <si>
    <t>MARINE BENTHIC COMMUNITIES; FAST SEA-ICE; MCMURDO-SOUND; FRAZIL ICE; PLATELET ICE; ANTARCTICA; SEDIMENT; BENEATH; SHELF; WATER</t>
  </si>
  <si>
    <t>One feature of high-latitude areas is the formation of ice clusters attached to the beds of rivers, lakes and the sea. This anchor ice, as it is widely known, plays an important role in mobilizing bed sediments, as well as ecological roles as a food source, habitat and potentially fatal environment. Much work has been devoted to fluvial anchor ice in the Northern Hemisphere, yet comparatively little work has described anchor ice in polar marine environments, despite its description by Antarctic expedition scientists over a century ago. In this paper, we review the current understanding of anchor ice formation in polar marine environments. Supercooled water is a necessity for anchor ice to form and frazil adhesion is the most likely common mechanism for initial anchor ice growth. Strong biological zonation has led some authors to suggest that anchor ice does not form to depths of greater than 33 m, yet in Antarctica there appear to be no physical reasons for such a limit given the production of supercooled water to substantial depths associated with ice shelves. Future work should focus on the potential extent of anchor ice production and identify the key oceanographic, glaciological and meteorological conditions conducive to its formation.</t>
  </si>
  <si>
    <t>[Mager, Sarah M.; Smith, Inga J.; Thomson, Benjamin J.; Leonard, Gregory H.] Univ Otago, Dunedin 9054, New Zealand; [Kempema, Edward W.] Univ Wyoming, Laramie, WY 82071 USA</t>
  </si>
  <si>
    <t>University of Otago; University of Wyoming</t>
  </si>
  <si>
    <t>Mager, SM (corresponding author), Univ Otago, Dept Geog, POB 56, Dunedin 9054, New Zealand.</t>
  </si>
  <si>
    <t>sarah.mager@otago.ac.nz</t>
  </si>
  <si>
    <t>Mager, Sarah/B-9723-2009; Leonard, Greg/F-7157-2010</t>
  </si>
  <si>
    <t>Mager, Sarah/0000-0001-6610-5874; Leonard, Greg/0000-0001-7679-9486</t>
  </si>
  <si>
    <t>University of Otago Polar Environments Research theme; University of Otago Humanities Division</t>
  </si>
  <si>
    <t>The authors wish to thank the University of Otago Polar Environments Research theme for their early support of this project by promoting collaboration through a seed grant, and the University of Otago Humanities Division for supporting a student bursary. We would also like to thank Tracy Connelly for drafting the diagrams, John B Weller for permission to use his photograph of Seastars and Anchor Ice. Lastly, thanks to Pat Langhorne and Vonda Cummings for their expertise and valuable comments on this manuscript.</t>
  </si>
  <si>
    <t>SAGE PUBLICATIONS LTD</t>
  </si>
  <si>
    <t>LONDON</t>
  </si>
  <si>
    <t>1 OLIVERS YARD, 55 CITY ROAD, LONDON EC1Y 1SP, ENGLAND</t>
  </si>
  <si>
    <t>0309-1333</t>
  </si>
  <si>
    <t>1477-0296</t>
  </si>
  <si>
    <t>PROG PHYS GEOG</t>
  </si>
  <si>
    <t>Prog. Phys. Geogr.</t>
  </si>
  <si>
    <t>10.1177/0309133313479815</t>
  </si>
  <si>
    <t>Geography, Physical; Geosciences, Multidisciplinary</t>
  </si>
  <si>
    <t>Physical Geography; Geology</t>
  </si>
  <si>
    <t>187XN</t>
  </si>
  <si>
    <t>WOS:000322155100002</t>
  </si>
  <si>
    <t>D'souza, NA; Kawarasaki, Y; Gantz, JD; Lee, RE; Beall, BFN; Shtarkman, YM; Koçer, ZA; Rogers, SO; Wildschutte, H; Bullerjahn, GS; Mckay, RML</t>
  </si>
  <si>
    <t>D'souza, N. A.; Kawarasaki, Y.; Gantz, J. D.; Lee, R. E., Jr.; Beall, B. F. N.; Shtarkman, Y. M.; Kocer, Z. A.; Rogers, S. O.; Wildschutte, H.; Bullerjahn, G. S.; McKay, R. M. L.</t>
  </si>
  <si>
    <t>Diatom assemblages promote ice formation in large lakes</t>
  </si>
  <si>
    <t>ISME JOURNAL</t>
  </si>
  <si>
    <t>diatoms; ice nucleation; lake; Pseudomonas</t>
  </si>
  <si>
    <t>PATHOGEN PSEUDOMONAS-SYRINGAE; NUCLEATION-ACTIVE BACTERIA; ANTARCTIC SEA-ICE; FRAZIL ICE; SEQUENCE ALIGNMENT; COVERED LAKES; FROST INJURY; NUCLEI; MARINE; PHYTOPLANKTON</t>
  </si>
  <si>
    <t>We present evidence for the directed formation of ice by planktonic communities dominated by filamentous diatoms sampled from the ice-covered Laurentian Great Lakes. We hypothesize that ice formation promotes attachment of these non-motile phytoplankton to overlying ice, thereby maintaining a favorable position for the diatoms in the photic zone. However, it is unclear whether the diatoms themselves are responsible for ice nucleation. Scanning electron microscopy revealed associations of bacterial epiphytes with the dominant diatoms of the phytoplankton assemblage, and bacteria isolated from the phytoplankton showed elevated temperatures of crystallization (T-c) as high as -3 degrees C. Ice nucleation-active bacteria were identified as belonging to the genus Pseudomonas, but we could not demonstrate that they were sufficiently abundant to incite the observed freezing. Regardless of the source of ice nucleation activity, the resulting production of frazil ice may provide a means for the diatoms to be recruited to the overlying lake ice, thereby increasing their fitness. Bacterial epiphytes are likewise expected to benefit from their association with the diatoms as recipients of organic carbon excreted by their hosts. This novel mechanism illuminates a previously undescribed stage of the life cycle of the meroplanktonic diatoms that bloom in Lake Erie and other Great Lakes during winter and offers a model relevant to aquatic ecosystems having seasonal ice cover around the world.</t>
  </si>
  <si>
    <t>[D'souza, N. A.; Beall, B. F. N.; Shtarkman, Y. M.; Kocer, Z. A.; Rogers, S. O.; Wildschutte, H.; Bullerjahn, G. S.; McKay, R. M. L.] Bowling Green State Univ, Dept Biol Sci, Bowling Green, OH 43403 USA; [Kawarasaki, Y.; Gantz, J. D.; Lee, R. E., Jr.] Miami Univ, Dept Zool, Oxford, OH 45056 USA</t>
  </si>
  <si>
    <t>University System of Ohio; Bowling Green State University; University System of Ohio; Miami University</t>
  </si>
  <si>
    <t>Mckay, RML (corresponding author), Bowling Green State Univ, Dept Biol Sci, Life Sci Bldg, Bowling Green, OH 43403 USA.</t>
  </si>
  <si>
    <t>rmmckay@bgsu.edu</t>
  </si>
  <si>
    <t>Kocer, Zeynep A./P-8983-2019; Bullerjahn, George S/F-4428-2010; McKay, Robert Michael/P-3759-2017; Kawarasaki, Yuta/AAD-4032-2019</t>
  </si>
  <si>
    <t>Kocer, Zeynep A./0000-0001-9178-0142; McKay, Robert Michael/0000-0003-2723-5371; Wildschutte, Hans/0000-0003-3723-3820; Bullerjahn, George/0000-0001-5319-7896</t>
  </si>
  <si>
    <t>Ohio Sea Grant College Program [R/ER-081]; National Oceanic and Atmospheric Administration, U.S. Department of Commerce; Ohio Board of Regents; Ohio State University; Ohio State University Extension; Lake Erie Protection Fund [398-11, 430-12]; NSF [IOS-0840772, ANT-0837559, OCE-1230735]; Direct For Biological Sciences; Division Of Integrative Organismal Systems [0840772] Funding Source: National Science Foundation; Directorate For Geosciences; Division Of Ocean Sciences [1230735] Funding Source: National Science Foundation; Directorate For Geosciences; Office of Polar Programs (OPP) [0837559] Funding Source: National Science Foundation</t>
  </si>
  <si>
    <t>Ohio Sea Grant College Program; National Oceanic and Atmospheric Administration, U.S. Department of Commerce(National Oceanic Atmospheric Admin (NOAA) - USA); Ohio Board of Regents; Ohio State University(Ohio State University); Ohio State University Extension(Ohio State University); Lake Erie Protection Fund; NSF(National Science Foundation (NSF)); Direct For Biological Sciences; Division Of Integrative Organismal Systems(National Science Foundation (NSF)NSF - Directorate for Biological Sciences (BIO)NSF - Division of Integrative Organismal Systems (IOS)); Directorate For Geosciences; Division Of Ocean Sciences(National Science Foundation (NSF)NSF - Directorate for Geosciences (GEO)); Directorate For Geosciences; Office of Polar Programs (OPP)(National Science Foundation (NSF)NSF - Directorate for Geosciences (GEO))</t>
  </si>
  <si>
    <t>We thank D Smith, M Saxton, B Oyserman, N Levis, K Rapin, R Edgar, P Morris, M Twiss, S Wilhelm, R Smith, C Binding, S Watson, H Carrick, W Woityra and R Bourbonniere for assistance with field surveys and analyses. M Lee provided bacterial reference strains. B Boese, C Turcotte and L-J Ma and the 454 Life Sciences Early Access Program supported the metagenome analysis. Lake surveys were made possible through the support of the captains and crews of the CCGS GRIFFON, R/V LAKE GUARDIAN, USCGC ALDER, USCGC NEAH BAY and Technical Operations personnel from Environment Canada (B Lalonde and T Breedon) and EPA-GLNPO. We acknowledge the input from two anonymous reviewers whose insights greatly improved the manuscript. This publication is a result of work that was supported in part, by the Ohio Sea Grant College Program (project # R/ER-081 to RMLM, SOR and GSB) from the National Oceanic and Atmospheric Administration, U.S. Department of Commerce. Support is also provided by the Ohio Board of Regents, The Ohio State University, Ohio State University Extension, and participating universities. The Ohio Sea Grant College Program is administered by The Ohio State University. Support was also provided by Lake Erie Protection Fund grants 398-11 and 430-12 (RMLM), and by NSF grants IOS-0840772 (REL), ANT-0837559 (REL) and OCE-1230735 (RMLM and GSB).</t>
  </si>
  <si>
    <t>NATURE PUBLISHING GROUP</t>
  </si>
  <si>
    <t>MACMILLAN BUILDING, 4 CRINAN ST, LONDON N1 9XW, ENGLAND</t>
  </si>
  <si>
    <t>1751-7362</t>
  </si>
  <si>
    <t>ISME J</t>
  </si>
  <si>
    <t>ISME J.</t>
  </si>
  <si>
    <t>10.1038/ismej.2013.49</t>
  </si>
  <si>
    <t>Ecology; Microbiology</t>
  </si>
  <si>
    <t>Environmental Sciences &amp; Ecology; Microbiology</t>
  </si>
  <si>
    <t>187LF</t>
  </si>
  <si>
    <t>WOS:000322119600015</t>
  </si>
  <si>
    <t>Li, C; Notz, D; Tietsche, S; Marotzke, J</t>
  </si>
  <si>
    <t>Li, Chao; Notz, Dirk; Tietsche, Steffen; Marotzke, Jochem</t>
  </si>
  <si>
    <t>The Transient versus the Equilibrium Response of Sea Ice to Global Warming</t>
  </si>
  <si>
    <t>Antarctica; Arctic; Sea ice; Feedback; Fluxes; Stability</t>
  </si>
  <si>
    <t>CLIMATE; MODEL; THERMOBARICITY; FUTURE</t>
  </si>
  <si>
    <t>To examine the long-term stability of Arctic and Antarctic sea ice, idealized simulations are carried out with the climate model ECHAM5/Max Planck Institute Ocean Model (MPI-OM). Atmospheric CO2 concentration is increased over 2000 years from preindustrial levels to quadrupling, is then kept constant for 5940 years, is afterward decreased over 2000 years to preindustrial levels, and is finally kept constant for 3940 years.Despite these very slow changes, the sea ice response significantly lags behind the CO2 concentration change. This lag, which is caused by the ocean's thermal inertia, implies that the sea ice equilibrium response to increasing CO2 concentration is substantially underestimated by transient simulations. The sea ice response to CO2 concentration change is not truly hysteretic and is in principle reversible.The authors find no lag in the evolution of Arctic sea ice relative to changes in annual-mean Northern Hemisphere surface temperature. The summer sea ice cover changes linearly with respect to both CO2 concentration and temperature, while the Arctic winter sea ice cover shows a rapid transition to a very low sea ice coverage. This rapid transition of winter sea ice is associated with a sharply enhanced ice-albedo feedback and a sudden onset of convective-cloud feedback in the Arctic.The Antarctic sea ice cover retreats continuously without any rapid transition during the warming. Compared to Arctic sea ice, Antarctic sea ice shows a much more strongly lagged response to changes in CO2 concentration. It even lags behind the surface temperature change, which is caused by a different response of ocean deep convection during the warming and the cooling periods.</t>
  </si>
  <si>
    <t>[Li, Chao; Notz, Dirk; Tietsche, Steffen; Marotzke, Jochem] Max Planck Inst Meteorol, D-20146 Hamburg, Germany; [Li, Chao; Tietsche, Steffen] Int Max Planck Res Sch Earth Syst Modelling, Hamburg, Germany</t>
  </si>
  <si>
    <t>Max Planck Society; Max Planck Society</t>
  </si>
  <si>
    <t>Li, C (corresponding author), Max Planck Inst Meteorol, Bundesstr 53, D-20146 Hamburg, Germany.</t>
  </si>
  <si>
    <t>chao.li@zmaw.de</t>
  </si>
  <si>
    <t>Li, Chao/L-1915-2015; Li, Chao/M-8501-2013; Notz, Dirk/P-4428-2017; Tietsche, Steffen/F-7633-2015</t>
  </si>
  <si>
    <t>Li, Chao/0000-0003-2556-0891; Li, Chao/0000-0003-2012-0854; Notz, Dirk/0000-0003-0365-5654; Tietsche, Steffen/0000-0002-2961-0289</t>
  </si>
  <si>
    <t>10.1175/JCLI-D-12-00492.1</t>
  </si>
  <si>
    <t>190GP</t>
  </si>
  <si>
    <t>WOS:000322327700019</t>
  </si>
  <si>
    <t>Liu, CS; Xiao, QN</t>
  </si>
  <si>
    <t>Liu, Chengsi; Xiao, Qingnong</t>
  </si>
  <si>
    <t>An Ensemble-Based Four-Dimensional Variational Data Assimilation Scheme. Part III: Antarctic Applications with Advanced Research WRF Using Real Data</t>
  </si>
  <si>
    <t>MONTHLY WEATHER REVIEW</t>
  </si>
  <si>
    <t>Data assimilation; Ensembles; Mesoscale models; Regional models</t>
  </si>
  <si>
    <t>KALMAN FILTER; THEORETICAL ASPECTS; WEATHER PREDICTION; SYSTEM; IMPLEMENTATION; 4D-VAR; MODEL; ADJOINT</t>
  </si>
  <si>
    <t>A four-dimensional ensemble-based variational data assimilation (4DEnVar) algorithm proposed in Part I of the 4DEnVar series (denoted En4DVar in Part I, but here we refer to it as 4DEnVar according to WMO conference recommendation to differentiate it from En4DVar algorithm using adjoint model) uses a flow-dependent background error covariance calculated from ensemble forecasts and performs 4DVar optimization based on an incremental approach and a preconditioning algorithm. In Part II, the authors evaluated 4DEnVar with observing system simulation experiments (OSSEs) using the Advanced Research Weather Research and Forecasting Model (ARW-WRF, hereafter WRF). The current study extends the 4DEnVar to assimilate real observations for a cyclone in the Antarctic and the Southern Ocean in October 2007. The authors performed an intercomparison of four different WRF variational approaches for the case, including three-dimensional variational data assimilation (3DVar), first guess at the appropriate time (FGAT), and ensemble-based three-dimensional (En3DVar) and four-dimensional (4DEnVar) variational data assimilations. It is found that all data assimilation approaches produce positive impacts in this case. Applying the flow-dependent background error covariance in En3DVar and 4DEnVar yields forecast skills superior to those with the homogeneous and isotropic background error covariance in 3DVar and FGAT. In addition, the authors carried out FGAT and 4DEnVar 3-day cycling and 72-h forecasts. The results show that 4DEnVar produces a better performance in the cyclone prediction. The inflation factor on 4DEnVar can effectively improve the 4DEnVar analysis. The authors also conducted a short period (10-day lifetime of the cyclone in the domain) of analysis/forecast intercomparison experiments using 4DEnVar, FGAT, and 3DVar. The 4DEnVar scheme demonstrates overall superior and robust performance.</t>
  </si>
  <si>
    <t>[Liu, Chengsi; Xiao, Qingnong] Univ S Florida, Coll Marine Sci, St Petersburg, FL 33701 USA</t>
  </si>
  <si>
    <t>State University System of Florida; University of South Florida</t>
  </si>
  <si>
    <t>Liu, CS (corresponding author), Univ Oklahoma, Ctr Anal &amp; Predict Storms, Norman, OK 73072 USA.</t>
  </si>
  <si>
    <t>cliu@ou.edu</t>
  </si>
  <si>
    <t>NSF/OPP [ANT-0839068]</t>
  </si>
  <si>
    <t>NSF/OPP(National Science Foundation (NSF))</t>
  </si>
  <si>
    <t>We appreciate the discussions with Bill Kuo, Chris Snyder, Jordan Powers, Dale Barker, and Hans Huang (NCAR) when we proposed to conduct the experiments with the Antarctic Mesoscale Prediction System (AMPS). We are also grateful to Fuqing Zhang (Penn State) and Xuguang Wang (OU) who provided constructive suggestions of our initial results. This work was supported by NSF/OPP under Grants ANT-0839068. Computations were carried out using the IBM supercomputers at NCAR, and supported by NCAR's Computational and Information Systems Laboratory (CISL).</t>
  </si>
  <si>
    <t>0027-0644</t>
  </si>
  <si>
    <t>MON WEATHER REV</t>
  </si>
  <si>
    <t>Mon. Weather Rev.</t>
  </si>
  <si>
    <t>10.1175/MWR-D-12-00130.1</t>
  </si>
  <si>
    <t>188VR</t>
  </si>
  <si>
    <t>WOS:000322225200009</t>
  </si>
  <si>
    <t>Low, C; Ellner, SP; Holden, MH</t>
  </si>
  <si>
    <t>Low, Candace; Ellner, Stephen P.; Holden, Matthew H.</t>
  </si>
  <si>
    <t>Optimal Control and Cold War Dynamics between Plant and Herbivore</t>
  </si>
  <si>
    <t>AMERICAN NATURALIST</t>
  </si>
  <si>
    <t>game theory; leaf economics; Nash equilibrium; phenology; photoperiod</t>
  </si>
  <si>
    <t>EVOLUTIONARY ECOLOGY; NATURAL ENEMIES; ANTISPILA-NYSAEFOLIELLA; RESOURCE AVAILABILITY; ANTARCTIC KRILL; DIET QUALITY; PARASITOIDS; DEFENSE; TOLERANCE; COEVOLUTION</t>
  </si>
  <si>
    <t>Herbivores eat the leaves that a plant needs for photosynthesis. However, the degree of antagonism between plant and herbivore may depend critically on the timing of their interactions and the intrinsic value of a leaf. We present a model that investigates whether and when the timing of plant defense and herbivore feeding activity can be optimized by evolution so that their interactions can move from antagonistic to neutral. We assume that temporal changes in environmental conditions will affect intrinsic leaf value, measured as potential carbon gain. Using optimal-control theory, we model herbivore evolution, first in response to fixed plant strategies and then under coevolutionary dynamics in which the plant also evolves in response to the herbivore. In the latter case, we solve for the evolutionarily stable strategies of plant defense induction and herbivore hatching rate under different ecological conditions. Our results suggest that the optimal strategies for both plant and herbivore are to avoid direct conflict. As long as the plant has the capability for moderately lethal defense, the herbivore will modify its hatching rate to avoid plant defenses, and the plant will never have to use them. Insights from this model offer a possible solution to the paradox of sublethal defenses and provide a mechanism for stable plant-herbivore interactions without the need for natural enenmy control.</t>
  </si>
  <si>
    <t>[Low, Candace; Ellner, Stephen P.] Cornell Univ, Dept Ecol &amp; Evolutionary Biol, Ithaca, NY 14853 USA; [Ellner, Stephen P.; Holden, Matthew H.] Cornell Univ, Ctr Appl Math, Ithaca, NY 14853 USA</t>
  </si>
  <si>
    <t>Cornell University; Cornell University</t>
  </si>
  <si>
    <t>Low, C (corresponding author), Cornell Univ, Dept Ecol &amp; Evolutionary Biol, Ithaca, NY 14853 USA.</t>
  </si>
  <si>
    <t>cl754@cornell.edu</t>
  </si>
  <si>
    <t>Holden, Matthew/C-4592-2016</t>
  </si>
  <si>
    <t>Holden, Matthew/0000-0001-5135-9433</t>
  </si>
  <si>
    <t>US National Science Foundation [NSF DBI-0904395]</t>
  </si>
  <si>
    <t>US National Science Foundation(National Science Foundation (NSF))</t>
  </si>
  <si>
    <t>We wish to thank C. Glanville, J. Sparks, and members of the Ellner eco-theory snackpack for their suggestions. We are grateful to S. Alonso, M. Mangel, J. McNamara, and especially A. Vladimirsky (Department of Mathematics, Cornell) for advice about numerical solution of dynamic games. Blandy Experimental Farm provided logistical support and facilities for fieldwork, and Stonebridge Farm provided access to its property for data collection. This work was funded by a US National Science Foundation postdoctoral fellowship to C.L. (NSF DBI-0904395).</t>
  </si>
  <si>
    <t>UNIV CHICAGO PRESS</t>
  </si>
  <si>
    <t>CHICAGO</t>
  </si>
  <si>
    <t>1427 E 60TH ST, CHICAGO, IL 60637-2954 USA</t>
  </si>
  <si>
    <t>0003-0147</t>
  </si>
  <si>
    <t>1537-5323</t>
  </si>
  <si>
    <t>AM NAT</t>
  </si>
  <si>
    <t>Am. Nat.</t>
  </si>
  <si>
    <t>E25</t>
  </si>
  <si>
    <t>E39</t>
  </si>
  <si>
    <t>10.1086/670810</t>
  </si>
  <si>
    <t>Ecology; Evolutionary Biology</t>
  </si>
  <si>
    <t>Environmental Sciences &amp; Ecology; Evolutionary Biology</t>
  </si>
  <si>
    <t>181XI</t>
  </si>
  <si>
    <t>WOS:000321703400001</t>
  </si>
  <si>
    <t>Burgette, RJ; Watson, CS; Church, JA; White, NJ; Tregoning, P; Coleman, R</t>
  </si>
  <si>
    <t>Burgette, Reed J.; Watson, Christopher S.; Church, John A.; White, Neil J.; Tregoning, Paul; Coleman, Richard</t>
  </si>
  <si>
    <t>Characterizing and minimizing the effects of noise in tide gauge time series: relative and geocentric sea level rise around Australia</t>
  </si>
  <si>
    <t>GEOPHYSICAL JOURNAL INTERNATIONAL</t>
  </si>
  <si>
    <t>Time-series analysis; Sea level change; Space geodetic surveys; Global change from geodesy; Australia</t>
  </si>
  <si>
    <t>LAND SUBSIDENCE; ERROR ANALYSIS; GPS; TRENDS</t>
  </si>
  <si>
    <t>We quantify the rate of sea level rise around the Australian continent from an analysis of tide gauge and Global Positioning System (GPS) data sets. To estimate the underlying linear rates of sea level change in the presence of significant interannual and decadal variability (treated here as noise), we adopt and extend a novel network adjustment approach. We simultaneously estimate time-correlated noise as well as linear model parameters and realistic uncertainties from sea level time series at individual gauges, as well as from time-series differences computed between pairs of gauges. The noise content at individual gauges is consistent with a combination of white and time-correlated noise. We find that the noise in time series from the western coast of Australia is best described by a first-order Gauss-Markov model, whereas east coast stations generally exhibit lower levels of time-correlated noise that is better described by a power-law process. These findings suggest several decades of monthly tide gauge data are needed to reduce rate uncertainties to &lt; 0.5 mm yr(-1) for undifferenced single site time series with typical noise characteristics. Our subsequent adjustment strategy exploits the more precise differential rates estimated from differenced time series from pairs of tide gauges to estimate rates among the network of 43 tide gauges that passed a stability analysis. We estimate relative sea level rates over three temporal windows (1900-2011, 1966-2011 and 1993-2011), accounting for covariance between time series. The resultant adjustment reduces the rate uncertainty across individual gauges, and partially mitigates the need for century-scale time series at all sites in the network. Our adjustment reveals a spatially coherent pattern of sea level rise around the coastline, with the highest rates in northern Australia. Over the time periods beginning in 1900, 1966 and 1993, we find weighted average rates of sea level rise of 1.4 +/- 0.6, 1.7 +/- 0.6 and 4.6 +/- 0.8 mm yr(-1), respectively. While the temporal pattern of the rate estimates is consistent with acceleration in sea level rise, it may not be significant, as the uncertainties for the shorter analysis periods may not capture the full range of temporal variation. Analysis of the available continuous GPS records that have been collected within 80 km of Australian tide gauges suggests that rates of vertical crustal motion are generally low, with the majority of sites showing motion statistically insignificant from zero. A notable exception is the significant component of vertical land motion that contributes to the rapid rate of relative sea level change (&gt; 4 mm yr(-1)) at the Hillarys site in the Perth area. This corresponds to crustal subsidence that we estimate in our GPS analysis at a rate of -3.1 +/- 0.7 mm yr(-1), and appears linked to groundwater withdrawal. Uncertainties on the rates of vertical displacement at GPS sites collected over a decade are similar to what we measure in several decades of tide gauge data. Our results motivate continued observations of relative sea level using tide gauges, maintained with high-accuracy terrestrial and continuous co-located satellite-based surveying.</t>
  </si>
  <si>
    <t>[Burgette, Reed J.; Watson, Christopher S.] Univ Tasmania, Surveying &amp; Spatial Sci Grp, Sch Geog &amp; Environm Studies, Hobart, Tas 7001, Australia; [Church, John A.; White, Neil J.] CSIRO Marine &amp; Atmospher Res, Ctr Australian Weather &amp; Climate Res, Hobart, Tas 7001, Australia; [Tregoning, Paul] Australian Natl Univ, Res Sch Earth Sci, Canberra, ACT, Australia; [Coleman, Richard] Univ Tasmania, Inst Marine &amp; Antarctic Studies, Hobart, Tas 7001, Australia</t>
  </si>
  <si>
    <t>University of Tasmania; Commonwealth Scientific &amp; Industrial Research Organisation (CSIRO); Australian National University; University of Tasmania</t>
  </si>
  <si>
    <t>Burgette, RJ (corresponding author), Univ Oregon, Dept Geol Sci, Eugene, OR 97403 USA.</t>
  </si>
  <si>
    <t>Reed.Burgette@utas.edu.au</t>
  </si>
  <si>
    <t>Tregoning, Paul/N-4842-2018; Watson, Christopher S/D-4707-2013; Church, John A/A-1541-2012; Tregoning, Paul/D-9283-2013; Coleman, Richard/H-4425-2012</t>
  </si>
  <si>
    <t>Tregoning, Paul/0000-0001-7192-5391; Church, John A/0000-0002-7037-8194; Tregoning, Paul/0000-0001-7192-5391; Coleman, Richard/0000-0002-9731-7498; Watson, Christopher/0000-0002-7464-4592</t>
  </si>
  <si>
    <t>Australian Research Council [DP0877381]; Australian Research Council [DP0877381] Funding Source: Australian Research Council</t>
  </si>
  <si>
    <t>Australian Research Council(Australian Research Council); Australian Research Council(Australian Research Council)</t>
  </si>
  <si>
    <t>This project was supported under the Australian Research Council's Discovery Projects funding scheme (DP0877381). We thank the Australian National Tidal Centre and the Permanent Service for Mean Sea Level for making the tide gauge observations available. We acknowledge the International GNSS Service for distributing the raw GPS data. We are grateful to Simon Williams for creating and sharing the CATS program and providing important clarifications and insights. We thank Alvaro Santamaria-Gomez, Matt Chamberlain and an anonymous reviewer for constructive reviews that improved the clarity and accuracy of the manuscript. Map figures were made with the Generic Mapping Tools software (Wessel &amp; Smith 1991).</t>
  </si>
  <si>
    <t>0956-540X</t>
  </si>
  <si>
    <t>1365-246X</t>
  </si>
  <si>
    <t>GEOPHYS J INT</t>
  </si>
  <si>
    <t>Geophys. J. Int.</t>
  </si>
  <si>
    <t>10.1093/gji/ggt131</t>
  </si>
  <si>
    <t>Geochemistry &amp; Geophysics</t>
  </si>
  <si>
    <t>182VS</t>
  </si>
  <si>
    <t>WOS:000321773500011</t>
  </si>
  <si>
    <t>Ramli, ANM; Azhar, MA; Shamsir, MS; Rabu, A; Murad, AMA; Mahadi, NM; Illias, RM</t>
  </si>
  <si>
    <t>Ramli, Aizi Nor Mazila; Azhar, Mohd Akmal; Shamsir, Mohd Shahir; Rabu, Amir; Murad, Abdul Munir Abdul; Mahadi, Nor Muhammad; Illias, Rosli Md</t>
  </si>
  <si>
    <t>Sequence and structural investigation of a novel psychrophilic α-amylase from Glaciozyma antarctica PI12 for cold-adaptation analysis</t>
  </si>
  <si>
    <t>JOURNAL OF MOLECULAR MODELING</t>
  </si>
  <si>
    <t>Cold-adapted alpha-amylase; Glaciozyma antarctica PI12; Cold-adaptation; Flexibility</t>
  </si>
  <si>
    <t>PROTEIN-STRUCTURE PREDICTION; MOLECULAR ADAPTATIONS; STABILITY; BACTERIUM; HOMOLOGY; ENZYMES; DEHYDROGENASE; PURIFICATION; CHITINASE; CLONING</t>
  </si>
  <si>
    <t>A novel alpha-amylase was isolated successfully from Glaciozyma antarctica PI12 using DNA walking and reverse transcription-polymerase chain reaction (RT-PCR) methods. The structure of this psychrophilic alpha-amylase (AmyPI12) from G. antarctica PI12 has yet to be studied in detail. A 3D model of AmyPI12 was built using a homology modelling approach to search for a suitable template and to generate an optimum target-template alignment, followed by model building using MODELLER9.9. Analysis of the AmyPI12 model revealed the presence of binding sites for a conserved calcium ion (CaI), non-conserved calcium ions (CaII and CaIII) and a sodium ion (Na). Compared with its template-the thermostable alpha-amylase from Bacillus stearothermophilus (BSTA)-the binding of CaII, CaIII and Na ions in AmyPI12 was observed to be looser, which suggests that the low stability of AmyPI12 allows the protein to work at different temperature scales. The AmyPI12 amino acid sequence and model were compared with thermophilic alpha-amylases from Bacillus species that provided the highest structural similarities with AmyPI12. These comparative studies will enable identification of possible determinants of cold adaptation.</t>
  </si>
  <si>
    <t>[Ramli, Aizi Nor Mazila; Azhar, Mohd Akmal; Illias, Rosli Md] Univ Teknol Malaysia, Fac Chem Engn, Dept Bioproc Engn, Skudai 81310, Johor, Malaysia; [Shamsir, Mohd Shahir] Univ Teknol Malaysia, Fac Biosci &amp; Med Engn, Skudai 81310, Johor, Malaysia; [Rabu, Amir; Murad, Abdul Munir Abdul] Univ Kebangsaan Malaysia, Sch Biosci &amp; Biotechnol, Fac Sci &amp; Technol, Bangi 43600, Selangor, Malaysia; [Mahadi, Nor Muhammad] MGI, Bangi 43600, Selangor, Malaysia</t>
  </si>
  <si>
    <t>Universiti Teknologi Malaysia; Universiti Teknologi Malaysia; Universiti Kebangsaan Malaysia</t>
  </si>
  <si>
    <t>Illias, RM (corresponding author), Univ Teknol Malaysia, Fac Chem Engn, Dept Bioproc Engn, Skudai 81310, Johor, Malaysia.</t>
  </si>
  <si>
    <t>r-rosli@utm.my</t>
  </si>
  <si>
    <t>Shamsir, Mohd Shahir/H-7100-2012; Azhar, Mohd Akmal/IVH-0927-2023; Murad, Abdul/CAG-9324-2022; Shamsir, Mohd Shahir/AAG-1097-2021; Abdul Murad, Abdul Munir/L-8575-2017</t>
  </si>
  <si>
    <t>Shamsir, Mohd Shahir/0000-0002-1191-1294; Azhar, Mohd Akmal/0000-0001-5195-9690; Abdul Murad, Abdul Munir/0000-0001-6402-7198; ramli, aizi nor mazila/0000-0001-5593-9515</t>
  </si>
  <si>
    <t>Molecular Biology and Genomic Initiative Program of the Malaysia Genome Institute [10-05-16-MB002, 07-05-MGI-GMB014]; Malaysia Antarctic Research Programme</t>
  </si>
  <si>
    <t>Molecular Biology and Genomic Initiative Program of the Malaysia Genome Institute; Malaysia Antarctic Research Programme</t>
  </si>
  <si>
    <t>Special thanks to thank my colleagues Nazihah Abdul Hamid from the Universiti Teknologi Malaysia and Fathin Nur Syafiqah Jafri from the Universiti Putra Malaysia for their help and valuable discussions. This work was supported by a research grant from the Molecular Biology and Genomic Initiative Program of the Malaysia Genome Institute (Project No. 10-05-16-MB002 and 07-05-MGI-GMB014). We would also like to express our appreciation to the Malaysia Antarctic Research Programme for their support. Aizi Nor Mazila Ramli is a researcher of Universiti Teknologi Malaysia under the Post-Doctoral Fellowship Scheme.</t>
  </si>
  <si>
    <t>1610-2940</t>
  </si>
  <si>
    <t>0948-5023</t>
  </si>
  <si>
    <t>J MOL MODEL</t>
  </si>
  <si>
    <t>J. Mol. Model.</t>
  </si>
  <si>
    <t>10.1007/s00894-013-1861-5</t>
  </si>
  <si>
    <t>Biochemistry &amp; Molecular Biology; Biophysics; Chemistry, Multidisciplinary; Computer Science, Interdisciplinary Applications</t>
  </si>
  <si>
    <t>Biochemistry &amp; Molecular Biology; Biophysics; Chemistry; Computer Science</t>
  </si>
  <si>
    <t>184VU</t>
  </si>
  <si>
    <t>WOS:000321922600042</t>
  </si>
  <si>
    <t>Patrick, MR; Smellie, JL</t>
  </si>
  <si>
    <t>Patrick, Matthew R.; Smellie, John L.</t>
  </si>
  <si>
    <t>Synthesis A spaceborne inventory of volcanic activity in Antarctica and southern oceans, 2000-10</t>
  </si>
  <si>
    <t>ANTARCTIC SCIENCE</t>
  </si>
  <si>
    <t>ASTER; fumaroles; lava-ice interaction; MODIS; satellite thermal monitoring; volcano remote sensing</t>
  </si>
  <si>
    <t>MOUNT EREBUS VOLCANO; LAVA LAKE; SATELLITE-OBSERVATIONS; ERUPTION; ISLAND; REMOTE; PRODUCTS; EXAMPLES; SNOW</t>
  </si>
  <si>
    <t>Of the more than twenty historically active volcanoes in Antarctica and the sub-Antarctic region only two, to our knowledge, host any ground-based monitoring instruments. Moreover, because of their remoteness, most of the volcanoes are seldom visited, thus relegating the monitoring of volcanism in this region almost entirely to satellites. In this study, high temporal resolution satellite data from the Hawaii Institute of Geophysics and Planetology's MODVOLC system using MODIS (Moderate Resolution Imaging Spectroradiometer) are complemented with high spatial resolution data (ASTER, or Advanced Spaceborne Thermal Emission and Reflection Radiometer, and similar sensors) to document volcanic activity throughout the region during the period 2000-10. Five volcanoes were observed in eruption (Mount Erebus, Mount Belinda, Mount Michael, Heard Island and McDonald Island), which were predominantly low-level and effusive in nature. Mount Belinda produced tephra, building a cinder cone in addition to an extensive lava field. Five volcanoes exhibited detectable thermal, and presumed fumarolic, activity (Deception, Zavodovski, Candlemas, Bristol, and Bellingshausen islands). A minor eruption reported at Marion Island was not detected in our survey due to its small size. This study also discovered a new active vent on Mount Michael, tracked dramatic vent enlargement on Heard Island, and provides an improved picture of the morphology of some of the volcanoes.</t>
  </si>
  <si>
    <t>[Patrick, Matthew R.] US Geol Survey, Hawaiian Volcano Observ, Hawaii Natl Pk, HI 96718 USA; [Smellie, John L.] Univ Leicester, Dept Geol, Leicester LE1 7RH, Leics, England</t>
  </si>
  <si>
    <t>United States Department of the Interior; United States Geological Survey; University of Leicester</t>
  </si>
  <si>
    <t>Patrick, MR (corresponding author), US Geol Survey, Hawaiian Volcano Observ, POB 51, Hawaii Natl Pk, HI 96718 USA.</t>
  </si>
  <si>
    <t>mpatrick@usgs.gov</t>
  </si>
  <si>
    <t>Patrick, Matthew/0000-0002-8042-6639</t>
  </si>
  <si>
    <t>0954-1020</t>
  </si>
  <si>
    <t>1365-2079</t>
  </si>
  <si>
    <t>ANTARCT SCI</t>
  </si>
  <si>
    <t>Antarct. Sci.</t>
  </si>
  <si>
    <t>10.1017/S0954102013000436</t>
  </si>
  <si>
    <t>Environmental Sciences; Geography, Physical; Geosciences, Multidisciplinary</t>
  </si>
  <si>
    <t>Environmental Sciences &amp; Ecology; Physical Geography; Geology</t>
  </si>
  <si>
    <t>182QY</t>
  </si>
  <si>
    <t>WOS:000321760000002</t>
  </si>
  <si>
    <t>Majewska, R; Gambi, MC; Totti, CM; De Stefano, M</t>
  </si>
  <si>
    <t>Majewska, Roksana; Gambi, Maria Cristina; Totti, Cecilia Maria; De Stefano, Mario</t>
  </si>
  <si>
    <t>Epiphytic diatom communities of Terra Nova Bay, Ross Sea, Antarctica: structural analysis and relations to algal host</t>
  </si>
  <si>
    <t>biodiversity; macroalgae; marine diatoms; SEM</t>
  </si>
  <si>
    <t>KING-GEORGE-ISLAND; BENTHIC DIATOMS; AUSTRAL SUMMER; POTTER COVE; PREFERENCES; DIVERSITY; GROWTH; WATERS; BACILLARIOPHYCEAE; FRAGILARIOPSIS</t>
  </si>
  <si>
    <t>Epiphytic diatoms are important constituents of the Southern Ocean coastal water ecosystem, being a key element in many of the Antarctic trophic chains. However, only limited information exists relating to these microalgal communities. Here we describe our findings of a study on epiphytic diatoms from Terra Nova Bay (Ross Sea, Antarctica) based on material collected during the summer campaigns spanning from 1990-2004. Observations of diatoms associated with three rhodophyte species (Iridaea cordata (Turner) Bory, Phyllophora antarctica Gepp &amp; Gepp, and Plocamium cartilagineum (L.) Dixon) were carried out with the use of a scanning electron microscope. A total of 73 diatom taxa (32 genera) were distinguished, of which 20 taxa exceeded 3% of total abundance. Cocconeis fasciolata (Ehrenberg) Brown, Navicula perminuta Grunow, and Fragilariopsis nana (Steemann Nielsen) Paasche appeared in every sample. The analysis of similarities (ANOSIM) test as well as non-metric multidimensional scaling analysis indicated the nature of host organism as a major factor influencing associated diatom community structure, whereas depth, site, and time of sampling seemed to be less important. The epizooic communities associated with sessile fauna epiphytic on macroalgae differed significantly from those associated with macroalgal surface. A pronounced difference between the communities epiphytic on various host macroalgae species was also observed, although most of the dissimilarities occurred between diatom taxa of the same growth form.</t>
  </si>
  <si>
    <t>[Majewska, Roksana; De Stefano, Mario] Univ Naples 2, I-81100 Caserta, Italy; [Gambi, Maria Cristina] Stn Zool A Dohrn, I-80077 Naples, Italy; [Totti, Cecilia Maria] Marche Polytech Univ, I-60121 Ancona, Italy</t>
  </si>
  <si>
    <t>Universita della Campania Vanvitelli; Stazione Zoologica Anton Dohrn di Napoli; Marche Polytechnic University</t>
  </si>
  <si>
    <t>Majewska, R (corresponding author), Univ Naples 2, I-81100 Caserta, Italy.</t>
  </si>
  <si>
    <t>roksana.majewska@unina2.it</t>
  </si>
  <si>
    <t>Majewska, Roksana/P-1280-2015; Gambi, Maria Cristina/AFO-0958-2022; TOTTI, Cecilia Maria/A-9178-2016; Gambi, Maria Cristina/L-8246-2014</t>
  </si>
  <si>
    <t>Majewska, Roksana/0000-0003-2681-4304; TOTTI, Cecilia Maria/0000-0002-1532-6009; Gambi, Maria Cristina/0000-0002-0168-776X; DE STEFANO, Mario/0000-0003-0342-192X</t>
  </si>
  <si>
    <t>Second University of Naples; Italian National Program of Research in Antarctica (PNRA)</t>
  </si>
  <si>
    <t>Second University of Naples; Italian National Program of Research in Antarctica (PNRA)(Ministry of Education, Universities and Research (MIUR))</t>
  </si>
  <si>
    <t>We acknowledge financial support from the Second University of Naples and from the Italian National Program of Research in Antarctica (PNRA) co-ordinated by the Italian National Research Council (CNR). We thank our colleagues who contributed to the collection of macroalgae from Terra Nova Bay during the summers considered in this study: M.C. Buia (collection in 1995), M. Nigro and F. Regoli (1997/98, 1999/2000), G. Micaletto (2000/01), S. Piraino (2001/02), and F.P. Patti (2004). The constructive comments of the reviewers are also gratefully acknowledged. This work is dedicated to the memory of Lucia Mazzella (1947-1999), who collected the samples in the summer of 1993/94, and contributed initially to the study of benthic diatoms from Terra Nova Bay.</t>
  </si>
  <si>
    <t>10.1017/S0954102012001101</t>
  </si>
  <si>
    <t>WOS:000321760000003</t>
  </si>
  <si>
    <t>Southwell, C; Emmerson, L</t>
  </si>
  <si>
    <t>Southwell, Colin; Emmerson, Louise</t>
  </si>
  <si>
    <t>Large-scale occupancy surveys in East Antarctica discover new Adelie penguin breeding sites and reveal an expanding breeding distribution</t>
  </si>
  <si>
    <t>colonization; metapopulation; population dynamics; Pygoscelis adeliae; spatial ecology</t>
  </si>
  <si>
    <t>PYGOSCELIS-ADELIAE; LAND; ISLANDS</t>
  </si>
  <si>
    <t>Knowledge of spatial distribution is fundamental to ecological studies and crucial for conservation and management of species and biodiversity, but detailed, large-scale spatial data are lacking for most taxa. Although the Adelie penguin is one of the most intensively studied Antarctic vertebrates, spatial data that could aid in ecological study and conservation management are incomplete. We undertook a large-scale survey of the current breeding distribution of Adelie penguins along 3800 km of the East Antarctic coastline. The survey increased the number of known breeding locations by 50% and revealed that the breeding distribution has expanded in some parts of the survey region over the past two to three decades. The expanding breeding distribution may reflect underlying population dynamics of sustained growth and resultant density dependent effect on dispersal and movement from established breeding sites to new sites. The comprehensive, large-scale distribution data from this study will form a baseline for assessing any future changes in Adelie penguin breeding distribution, provide data for developing spatial models for predicting future changes in breeding distribution under plausible scenarios of environmental change, and contribute to the development of metapopulation models by providing estimates of local colonization and extinction probabilities under specific conditions of metapopulation change.</t>
  </si>
  <si>
    <t>[Southwell, Colin; Emmerson, Louise] Australian Antarctic Div, Kingston, Tas 7050, Australia</t>
  </si>
  <si>
    <t>Australian Antarctic Division</t>
  </si>
  <si>
    <t>Southwell, C (corresponding author), Australian Antarctic Div, 203 Channel Highway, Kingston, Tas 7050, Australia.</t>
  </si>
  <si>
    <t>colin.southwell@aad.gov.au</t>
  </si>
  <si>
    <t>AAD ASAC [2722]</t>
  </si>
  <si>
    <t>AAD ASAC</t>
  </si>
  <si>
    <t>Matt Low, Lisa Meyer, Rhonda Pike, David Wilson, Darren Southwell, Barbara Wienecke, Tony Fleming and Chris Gallagher assisted in observations. Staff from Helicopter Resources and SkyTraders provided aerial support. Angela Bender and David Smith produced site maps. Staff from the Australian Antarctic Division, and Mawson, Davis and Casey stations provided co-ordination and support. This work was conducted as part of AAD ASAC project 2722 in accordance with permits issued under the Antarctic Treaty (Environmental Protection) Act 1980 and was approved by the Australian Antarctic Animal Ethics Committee. The manuscript was improved by the comments of two anonymous reviewers.</t>
  </si>
  <si>
    <t>10.1017/S0954102012001174</t>
  </si>
  <si>
    <t>WOS:000321760000005</t>
  </si>
  <si>
    <t>Pienkowski, AJ; Marret, F; Scourse, JD; Thomas, DN</t>
  </si>
  <si>
    <t>Pienkowski, Anna J.; Marret, Fabienne; Scourse, James D.; Thomas, David N.</t>
  </si>
  <si>
    <t>Organic-walled microfossils from the north-west Weddell Sea, Antarctica: records from surface sediments after the collapse of the Larsen-A and Prince Gustav Channel ice shelves</t>
  </si>
  <si>
    <t>Antarctic Peninsula; cysts; dinoflagellates; Islandinium minutum; non-pollen palynomorphs; Southern Ocean</t>
  </si>
  <si>
    <t>DINOFLAGELLATE CYSTS; SOUTHWESTERN ATLANTIC; SPECIES COMPOSITION; FALKLAND TROUGH; LATE QUATERNARY; MARINE; PALYNOMORPHS; RECONSTRUCTION; ASSEMBLAGES; ABUNDANCE</t>
  </si>
  <si>
    <t>Surface sediments from six box cores along the north-eastern Antarctic Peninsula document the dinoflagellate cyst (=dinocyst) and other non-pollen palynomorph (NPP) content soon after overlying ice shelves collapsed. Prince Gustav Channel (PGC) and Larsen-A (LA) areas exhibited markedly different dinocyst abundances, concentrations being low in LA (0-20 cysts g(-1)) and high in PGC (2600-9100 cysts g(-1), average: c. 3800 cysts g(-1)). Since similar water masses impact both areas, differences may be due to low biological productivity, limited sediment accumulation, and/or restricted fine-grain deposition at Larsen-A. Islandinium minutum (Harland &amp; Reid in Harland et al.) Head et al. dominated dinocyst assemblages, occurring as both excysted and encysted forms (lesser abundance). Other taxa (Echinidinium cf. transparantum Zonneveld, Impagidinium pallidum Bujak, Bitectatodinium tepikiense Wilson, Operculodinium centrocarpum Wall &amp; Dale, Brigantedinium spp., Selenopemphix antarctica Marret &amp; de Vernal, Polykrikos? sp. A, and Polykrikos schwartzii Butschli) were rare. Such assemblage composition is unusual compared to previously published Southern Ocean data, but may be specific to ice shelf and/or recently ice-free environments. Alternatively, it may be attributable to excessive production facilitated by environmental factors and/or abundant food, or similar cyst morphologies produced by different dinoflagellates. Accompanying NPPs included zooplankton remains, acritarchs, and freshwater algae. Tintinnid loricae were most abundant (max. 800 g(-1)), followed by foraminiferal linings (max. 320 g(-1)), and the acritarch Palaeostomocystis fritilla (Bujak) Roncaglia (max. 150 g(-1)). Collectively, NPPs were more abundant in PGC compared to LA samples.</t>
  </si>
  <si>
    <t>[Pienkowski, Anna J.; Scourse, James D.; Thomas, David N.] Bangor Univ, Coll Nat Sci, Sch Ocean Sci, Menai Bridge LL59 5AB, Anglesey, Wales; [Marret, Fabienne] Univ Liverpool, Sch Environm Sci, Liverpool L69 7ZT, Merseyside, England; [Thomas, David N.] Finnish Environm Inst, Ctr Marine Res, Helsinki, Finland; [Thomas, David N.] Aarhus Univ, Arctic Res Ctr, Aarhus, Denmark</t>
  </si>
  <si>
    <t>Bangor University; University of Liverpool; Finnish Environment Institute; Aarhus University</t>
  </si>
  <si>
    <t>Pienkowski, AJ (corresponding author), Bangor Univ, Coll Nat Sci, Sch Ocean Sci, Menai Bridge LL59 5AB, Anglesey, Wales.</t>
  </si>
  <si>
    <t>a.pienkowski@bangor.ac.uk</t>
  </si>
  <si>
    <t>Thomas, David Neville/B-1448-2010; Pienkowski, Anna/J-9339-2013; Pieńkowski, Anna J./AAL-1312-2020</t>
  </si>
  <si>
    <t>Thomas, David Neville/0000-0001-8832-5907; Pienkowski, Anna/0000-0002-3606-7130; Pieńkowski, Anna J./0000-0002-3606-7130; Marret-Davies, Fabienne/0000-0003-4244-0437</t>
  </si>
  <si>
    <t>10.1017/S0954102012001186</t>
  </si>
  <si>
    <t>WOS:000321760000009</t>
  </si>
  <si>
    <t>Marinova, MM; McKay, CP; Pollard, WH; Heldmann, JL; Davila, AF; Andersen, DT; Jackson, WA; Lacelle, D; Paulsen, G; Zacny, K</t>
  </si>
  <si>
    <t>Marinova, Margarita M.; McKay, Christopher P.; Pollard, Wayne H.; Heldmann, Jennifer L.; Davila, Alfonso F.; Andersen, Dale T.; Jackson, W. Andrew; Lacelle, Denis; Paulsen, Gale; Zacny, Kris</t>
  </si>
  <si>
    <t>Distribution of depth to ice-cemented soils in the high-elevation Quartermain Mountains, McMurdo Dry Valleys, Antarctica</t>
  </si>
  <si>
    <t>dry permafrost; Mars; University Valley; vapour diffusion</t>
  </si>
  <si>
    <t>SOUTHERN VICTORIA LAND; MIOCENE GLACIER ICE; BEACON VALLEY; GROUND ICE; OLDEST ICE; STABILITY; SUBLIMATION; PERMAFROST; MARS; TEMPERATURES</t>
  </si>
  <si>
    <t>We report on 475 measurements of depth to ice-cemented ground in four high-elevation valleys of the Quartermain Mountains, McMurdo Dry Valleys, Antarctica. These valleys have pervasive ice-cemented ground, and the depth to ice-cemented ground and the ice composition may be indicators of climate change. In University Valley, the measured depth to ice-cemented ground ranges from 0-98 cm. There is an overall trend of increasing depth to ice-cemented ground with distance from a small glacier at the head of the valley, with a slope of 32 cm depth per kilometre along the valley floor. For Farnell Valley, the depth to ice-cemented ground is roughly constant (c. 30 cm) in the upper and central parts of the valley, but increases sharply as the valley descends into Beacon Valley. The two valleys north of University Valley also have extensive ice-cemented ground, with depths of 20-40 cm, but exhibit no clear patterns of ice depth with location. For all valleys there is a tendency for the variability in depth to ice-cemented ground at a site to increase with increasing depth to ice. Snow recurrence, solar insolation, and surface albedo may all be factors that cause site to site variations in these valleys.</t>
  </si>
  <si>
    <t>[Marinova, Margarita M.] Bay Area Environm Res Inst, Sonoma, CA 95476 USA; [Marinova, Margarita M.; McKay, Christopher P.; Heldmann, Jennifer L.; Davila, Alfonso F.] NASA, Ames Res Ctr, Div Space Sci, Moffett Field, CA 94035 USA; [Pollard, Wayne H.] McGill Univ, Dept Geog, Montreal, PQ H3A 2K6, Canada; [Davila, Alfonso F.; Andersen, Dale T.] SETI Inst, Mountain View, CA 94043 USA; [Jackson, W. Andrew] Texas Tech Univ, Lubbock, TX 79401 USA; [Lacelle, Denis] Univ Ottawa, Dept Geog, Ottawa, ON K1N 6N5, Canada; [Paulsen, Gale; Zacny, Kris] Honeybee Robot, Pasadena, CA 91103 USA</t>
  </si>
  <si>
    <t>National Aeronautics &amp; Space Administration (NASA); NASA Ames Research Center; McGill University; Texas Tech University System; Texas Tech University; University of Ottawa</t>
  </si>
  <si>
    <t>Marinova, MM (corresponding author), Bay Area Environm Res Inst, Sonoma, CA 95476 USA.</t>
  </si>
  <si>
    <t>margarita.m.marinova@gmail.com</t>
  </si>
  <si>
    <t>Davila, Alfonso F/A-2198-2013; Andersen, Dale T/B-4816-2013; Jackson, William/B-8999-2009</t>
  </si>
  <si>
    <t>Andersen, Dale T/0000-0001-8827-1259; Jackson, William/0000-0003-4232-4364; Lacelle, Denis/0000-0002-6691-8717; McKay, Christopher/0000-0002-6243-1362</t>
  </si>
  <si>
    <t>NASA ASTEP program; US Antarctic Program; NSF Office of Polar Programs; USAP [B-302]</t>
  </si>
  <si>
    <t>NASA ASTEP program(National Aeronautics &amp; Space Administration (NASA)); US Antarctic Program; NSF Office of Polar Programs(National Science Foundation (NSF)); USAP</t>
  </si>
  <si>
    <t>This fieldwork and research was supported by the NASA ASTEP program, in collaboration with the NSF Office of Polar Programs and the US Antarctic Program. This work was conducted as part of USAP project B-302. We thank the awesome USAP staff and helicopter crews for their extensive support. We gratefully acknowledge the comments of the reviewers.</t>
  </si>
  <si>
    <t>10.1017/S095410201200123X</t>
  </si>
  <si>
    <t>WOS:000321760000010</t>
  </si>
  <si>
    <t>Coggins, JHJ; McDonald, AJ; Plank, G; Pannell, M; Jolly, B; Parsons, S; Delany, T</t>
  </si>
  <si>
    <t>Coggins, J. H. J.; McDonald, A. J.; Plank, G.; Pannell, M.; Jolly, B.; Parsons, S.; Delany, T.</t>
  </si>
  <si>
    <t>SNOW-WEB: a new technology for Antarctic meteorological monitoring</t>
  </si>
  <si>
    <t>AMPS; mesh-networking; mesoscale; Ross Island; weather station</t>
  </si>
  <si>
    <t>MCMURDO DRY VALLEYS; WEATHER RESEARCH; VICTORIA LAND; ROSS ISLAND; PREDICTION; SYSTEM; REGION; WINDS; CLIMATE; EVENT</t>
  </si>
  <si>
    <t>This study describes SNOW-WEB, a distributed system of atmospheric sensors, which is cost-effective and can be efficiently deployed in Antarctica. The system supports traditional atmospheric sensors and has built-in redundancy as many units can be deployed in a relatively small area for a similar cost to one conventional weather station. Furthermore, each unit is equipped with wireless mesh-networking capabilities and so is able to share information with those units in its direct vicinity. This allows for the ferrying of collected information to a manned observation station and hence the ability to monitor data in real-time. GPS hardware installed on each unit also allows for high-resolution glacier or ice shelf tracking. As a testing study, eighteen such weather stations were deployed in the vicinity of Scott Base, Ross Island, Antarctica over the 2011/12 summer season. This paper reports on the successful development and deployment of the system, results from the testing period and challenges encountered during the experiment. Collected data is validated against automatic weather stations already operating in the region and an intercomparison is performed between SNOW-WEB data and forecast output from the Antarctic Mesoscale Prediction System. A high degree of agreement is found between data sources. We conclude that SNOW-WEB data is suitable for use in studies of mesoscale meteorology.</t>
  </si>
  <si>
    <t>[Coggins, J. H. J.; McDonald, A. J.; Plank, G.; Pannell, M.; Jolly, B.; Parsons, S.; Delany, T.] Univ Canterbury, Dept Phys &amp; Astron, Christchurch 8140, New Zealand</t>
  </si>
  <si>
    <t>University of Canterbury</t>
  </si>
  <si>
    <t>Coggins, JHJ (corresponding author), Univ Canterbury, Dept Phys &amp; Astron, Private Bag 4800, Christchurch 8140, New Zealand.</t>
  </si>
  <si>
    <t>jack.coggins@pg.canterbury.ac.nz</t>
  </si>
  <si>
    <t>McDonald, Adrian/0000-0002-1456-6254; Parsons, Simon/0000-0003-4878-9779</t>
  </si>
  <si>
    <t>10.1017/S0954102013000011</t>
  </si>
  <si>
    <t>WOS:000321760000011</t>
  </si>
  <si>
    <t>Vera, EI</t>
  </si>
  <si>
    <t>Ignacio Vera, Ezequiel</t>
  </si>
  <si>
    <t>New cyathealean tree fern, Yavanna chimaerica gen. et sp nov., from the Early Cretaceous of Livingston Island, Antarctica</t>
  </si>
  <si>
    <t>CRETACEOUS RESEARCH</t>
  </si>
  <si>
    <t>Cyatheales; Aptian; Antarctica; Livingston Island; South Shetland Islands; Cerro Negro Formation</t>
  </si>
  <si>
    <t>CERRO-NEGRO FORMATION; SOUTH SHETLAND ISLANDS; BYERS PENINSULA; CYATHEACEAE; STEM; OSMUNDACEAE; VEGETATION</t>
  </si>
  <si>
    <t>A new genus and species of cyathealean fern, Yavanna chimaerica gen. et sp. nov., is erected for several permineralized stems recovered from the Early Cretaceous (Aptian) Cerro Negro Formation, which crops out at the South Shetland Islands, Antarctica. The new species is characterized by solenostelic erect stems with medullary bundles traversing the pith, and surrounded by persistent petiole bases and adventitious roots. Proximal petiole bases present a one-parted modified omega-shaped trace, which becomes three-parted distally. The anatomy of the new fern show similarities with both Thyrsopteris elegans Kunze and with the Cyatheaceae s.s., suggesting that it is a representative of an extinct lineage among the Cyatheales. (C) 2013 Elsevier Ltd. All rights reserved.</t>
  </si>
  <si>
    <t>[Ignacio Vera, Ezequiel] CONICET Museo Argentino Ciencias Nat Bernardino R, Buenos Aires, DF, Argentina; [Ignacio Vera, Ezequiel] Univ Buenos Aires, Dept Geol, Area Paleontol, Buenos Aires, DF, Argentina</t>
  </si>
  <si>
    <t>Museo Argentino de Ciencias Naturales Bernardino Rivadavia (MACN); University of Buenos Aires</t>
  </si>
  <si>
    <t>Vera, EI (corresponding author), CONICET Museo Argentino Ciencias Nat Bernardino R, Av Angel Gallardo 470,C1405DJR, Buenos Aires, DF, Argentina.</t>
  </si>
  <si>
    <t>evera@macn.gov.ar</t>
  </si>
  <si>
    <t>Vera, Ezequiel/0000-0002-0267-5277</t>
  </si>
  <si>
    <t>[PICT 32320]; [PIP 0512]</t>
  </si>
  <si>
    <t>;</t>
  </si>
  <si>
    <t>Thanks are due to Drs. M. Remesal, F. Salani and C. Parica, which collected the studied specimens under an Antarctic campaign of the Instituto Antartico Argentino. Thanks are also to Dr. S. Cesari for critical comments on early drafts of this manuscript. The comments made by two anonymous reviewers, as well as photographs of extant Thyrsopteris kindly provided by one of the reviewers, greatly improved the final version of this manuscript. Drs. T. Sen and S.P. Khullar kindly helped me obtaining critical bibliography for comparisons. Lic. S. Echarri kindly suggested the specific epithet of the new taxon. This work was a contribution for the Research Grants PICT 32320 and PIP 0512.</t>
  </si>
  <si>
    <t>ACADEMIC PRESS LTD- ELSEVIER SCIENCE LTD</t>
  </si>
  <si>
    <t>24-28 OVAL RD, LONDON NW1 7DX, ENGLAND</t>
  </si>
  <si>
    <t>0195-6671</t>
  </si>
  <si>
    <t>1095-998X</t>
  </si>
  <si>
    <t>CRETACEOUS RES</t>
  </si>
  <si>
    <t>Cretac. Res.</t>
  </si>
  <si>
    <t>10.1016/j.cretres.2013.04.011</t>
  </si>
  <si>
    <t>Geology; Paleontology</t>
  </si>
  <si>
    <t>176PE</t>
  </si>
  <si>
    <t>WOS:000321315800017</t>
  </si>
  <si>
    <t>Waller, RG; Feehan, KA</t>
  </si>
  <si>
    <t>Waller, Rhian G.; Feehan, Keri A.</t>
  </si>
  <si>
    <t>Reproductive ecology of a polar deep-sea scleractinian, Fungiacyathus marenzelleri (Vaughan, 1906)</t>
  </si>
  <si>
    <t>DEEP-SEA RESEARCH PART II-TOPICAL STUDIES IN OCEANOGRAPHY</t>
  </si>
  <si>
    <t>Cold water coral; Deep sea; Reproduction; Polar</t>
  </si>
  <si>
    <t>WATER; SEASONALITY; PERIODICITY; CONSTRAINTS; STRATEGIES; PACIFIC; BIOLOGY</t>
  </si>
  <si>
    <t>The deep-sea solitary scleractinian, Fungiacyathus marenzelleri (Vaughan, 1906) is found at depths of 300-6328 m, and is cosmopolitan in distribution. Previously this species had been examined from 2200 m depth in the Northeast Atlantic and 4100 m in the Northeast Pacific. This study examines gametogenesis and fecundity of this species from its shallowest occurrences worldwide, from similar to 600 m depth in the Southern Ocean. Samples were collected during three cruises to the Western Antarctic Peninsula during 2008 and processed for histological analysis. Similar to studies of other populations, F. marenzelleri in the Southern Ocean is gonochoric with gametes forming in clusters within the mesenteries. Samples numbers were low, but oocyte size-frequency patterns suggest irregular spawning (no larvae were detected) with no differences between the three months analyzed. Though fecundity (2837 +/- 121 per polyp) was similar to that seen in the NE Atlantic (2892 +/- 44.4 per polyp), oocyte sizes were much larger in this southern population. Maximum oocyte size was 1400 mu m (750 mu m NE Atlantic and NE Pacific), with previtellogenic oocytes reaching a size of around 300 mu m before undergoing vitellogenesis. This study demonstrates phylogenetically constrained reproductive mode across three oceans, with local environmental adaptations such as increased lipid loading during vitellogenesis, potentially enhancing cold-water survivorship by increased food availability in juvenile stages. (C) 2013 Elsevier Ltd. All rights reserved.</t>
  </si>
  <si>
    <t>[Waller, Rhian G.; Feehan, Keri A.] Univ Maine, Darling Marine Ctr, Walpole, ME 04573 USA</t>
  </si>
  <si>
    <t>University of Maine System; University of Maine Orono</t>
  </si>
  <si>
    <t>Waller, RG (corresponding author), Univ Maine, Darling Marine Ctr, Walpole, ME 04573 USA.</t>
  </si>
  <si>
    <t>rhian.waller@maine.edu</t>
  </si>
  <si>
    <t>Waller, Rhian G/C-9000-2009</t>
  </si>
  <si>
    <t>NSF [ANT 0636773, ANT 0636806, LMG08-02, NBP08-08]; Office of Polar Programs (OPP); Directorate For Geosciences [1127582] Funding Source: National Science Foundation</t>
  </si>
  <si>
    <t>NSF(National Science Foundation (NSF)); Office of Polar Programs (OPP); Directorate For Geosciences(National Science Foundation (NSF)NSF - Directorate for Geosciences (GEO))</t>
  </si>
  <si>
    <t>The authors would like to thank Craig Smith and Dave DeMaster for facilitating the collection of samples used for this study through their NSF funded FOODBANCS (ANT 0636773 to D. DeMaster and C. Thomas; and ANT 0636806 to C. Smith) program, including research cruises LMG08-02 and NBP08-08. Samples from research cruise NBP08-05 (ANT 0944356 award to L. Robinson and R. Waller) were also used for this study and K. Feehan was supported for this work under that research grant. Ryan MacLeod, Dana DeGraaf and Julia Johnstone aided in processing samples. The authors would also like to thank the Captains, crew and research technicians of the National Science Foundation Antarctic Program for aiding in the collection of samples.</t>
  </si>
  <si>
    <t>0967-0645</t>
  </si>
  <si>
    <t>1879-0100</t>
  </si>
  <si>
    <t>DEEP-SEA RES PT II</t>
  </si>
  <si>
    <t>Deep-Sea Res. Part II-Top. Stud. Oceanogr.</t>
  </si>
  <si>
    <t>SI</t>
  </si>
  <si>
    <t>10.1016/j.dsr2.2013.03.006</t>
  </si>
  <si>
    <t>174SZ</t>
  </si>
  <si>
    <t>WOS:000321177000023</t>
  </si>
  <si>
    <t>Stroble, ST; McElhoney, KM; Kounaves, SP</t>
  </si>
  <si>
    <t>Stroble, Shannon T.; McElhoney, Kyle M.; Kounaves, Samuel P.</t>
  </si>
  <si>
    <t>Comparison of the Phoenix Mars Lander WCL soil analyses with Antarctic Dry Valley soils, Mars meteorite EETA79001 sawdust, and a Mars simulant</t>
  </si>
  <si>
    <t>ICARUS</t>
  </si>
  <si>
    <t>Mars, Surface; Meteorites; Geological processes; Regoliths; Astrobiology</t>
  </si>
  <si>
    <t>CALCIUM-CARBONATE; MARTIAN SOIL; SHERGOTTITE</t>
  </si>
  <si>
    <t>The results of the Mars Phoenix Lander's Wet Chemistry Laboratory (WCL) for the analyses of the soluble ionic species present in the soil at the northern polar plains of Mars are compared to soil from the Antarctic Dry Valleys (ADVs), martian meteorite EETA79001 sawdust, and a Mars simulant. The ADV soil was compared to the Phoenix site by averaging the samples at analogous 0-5 cm depths and also all the samples from the pavement to the ice-table. Results from each analysis reveal similar ion concentrations ranging plus or minus one order-of-magnitude for all ions except perchlorate (ClO4-), which was three orders-of-magnitude greater in the Phoenix soil. The pH and solution electrical conductivity were also found to be similar for the ADV and Mars soils. The ADV profiles confirm that ClO4- gradients are sensitive indicators for the presence and form of liquid H2O on both Earth and Mars. The Phoenix and meteorite samples contained similar species and ratios but the meteorite concentrations were on average similar to 4% of those for the Phoenix soil. The only exception was the similar to 16% higher level of Ca2+ in the meteorite due to the CaCO3 druse. The ADV results imply that the Phoenix site is significantly more arid than University Valley, and has been for a greater period of time, as evidenced by the lack of salt gradients and the age of the soils. A Mars simulant was also formulated according to a MINEQL equilibrium model of the WCL results, and its analysis provides confidence that the soluble composition and parent salts at the Phoenix site are reasonably constrained. Overall, comparison of these samples of soil and sawdust indicates that not only does the martian meteorite EETA79001 contain similar soluble ionic species as the martian soil from the northern polar plains, but also that the soils from the ADV are similar to both, thus strengthening the argument for the ADV as a suitable terrestrial Mars analog environment. (C) 2012 Elsevier Inc. All rights reserved.</t>
  </si>
  <si>
    <t>[Stroble, Shannon T.; McElhoney, Kyle M.; Kounaves, Samuel P.] Tufts Univ, Dept Chem, Medford, MA 02155 USA</t>
  </si>
  <si>
    <t>Tufts University</t>
  </si>
  <si>
    <t>Kounaves, SP (corresponding author), Tufts Univ, Dept Chem, Medford, MA 02155 USA.</t>
  </si>
  <si>
    <t>samuel.kounaves@tufts.edu</t>
  </si>
  <si>
    <t>Kounaves, Samuel/0000-0002-2629-4831</t>
  </si>
  <si>
    <t>Department of Education GAANN Fellowship; Massachusetts Space Grant Consortium Award; NASA Phoenix Mars Scout Mission; NSF International Polar Year Program</t>
  </si>
  <si>
    <t>Department of Education GAANN Fellowship(US Department of Education); Massachusetts Space Grant Consortium Award; NASA Phoenix Mars Scout Mission; NSF International Polar Year Program</t>
  </si>
  <si>
    <t>We wish to acknowledge the help of Jen Shusterman and Jody Maisano with the simulant analysis, Rachel Anderson and Quincy Moore with the ADV soil analyses, and Brandi Carrier and Glen O'Neil with the meteorite IC analysis. We also wish to thank the reviewers for their thoughtful suggestions in helping to greatly improve this manuscript. This work was supported in part by a Department of Education GAANN Fellowship (STS), a Massachusetts Space Grant Consortium Award (STS), and the NASA Phoenix Mars Scout Mission and NSF International Polar Year Program (SPK).</t>
  </si>
  <si>
    <t>ACADEMIC PRESS INC ELSEVIER SCIENCE</t>
  </si>
  <si>
    <t>SAN DIEGO</t>
  </si>
  <si>
    <t>525 B ST, STE 1900, SAN DIEGO, CA 92101-4495 USA</t>
  </si>
  <si>
    <t>0019-1035</t>
  </si>
  <si>
    <t>1090-2643</t>
  </si>
  <si>
    <t>Icarus</t>
  </si>
  <si>
    <t>10.1016/j.icarus.2012.08.040</t>
  </si>
  <si>
    <t>183GL</t>
  </si>
  <si>
    <t>WOS:000321802400007</t>
  </si>
  <si>
    <t>Griener, KW; Nelson, DM; Warny, S</t>
  </si>
  <si>
    <t>Griener, Kathryn W.; Nelson, David M.; Warny, Sophie</t>
  </si>
  <si>
    <t>Declining moisture availability on the Antarctic Peninsula during the Late Eocene</t>
  </si>
  <si>
    <t>PALAEOGEOGRAPHY PALAEOCLIMATOLOGY PALAEOECOLOGY</t>
  </si>
  <si>
    <t>Nothofagus; Nothofagidites; Antarctica; Moisture availability; Eocene; delta C-13</t>
  </si>
  <si>
    <t>CARBON-ISOTOPE DISCRIMINATION; CO2 CONCENTRATIONS; ATMOSPHERIC CO2; POLLEN GRAINS; C3 PLANTS; NOTHOFAGUS; CLIMATE; RECORD; RATIO; C-3</t>
  </si>
  <si>
    <t>Paleobotanical data have indicated that the Antarctic landscape shifted from a beech (Nothofagus)-dominated forest to a more sparsely vegetated taiga-like woodland and tundra during the Late Eocene, coincident with progressive cooling and glacial growth. Reduced moisture availability may have contributed to this vegetation change, but there is limited evidence for assessing the Late Eocene hydrologic regime. We evaluated the relationship between Nothofagus delta C-13 and moisture availability by determining delta C-13 of modern Nothofagus pollen, sporopollenin, and leaves and comparing these results to precipitation data. To assess plant moisture availability and vegetation composition just prior to the Eocene-Oligocene boundary, we measured delta C-13 of fossil Nothofagus sporopollenin (Nothofagidites) from the SHALDRIL 3C cores (which date to similar to 35.9 My) and evaluated these results in the context of temporal variation in pollen assemblages from the same sediments. Values of carbon isotope discrimination (Delta) for modern Nothofagus sporopollenin range between 18.1 and 22.4 parts per thousand. These values are positively correlated with precipitation amount, as well as pollen and leaf Delta, which suggests that fossil sporopollenin Delta records the level of plant moisture availability. Delta values obtained from Nothofagidites sporopollenin from the SHALDRIL 3C sediments range between 17.9 and 20.2 parts per thousand and generally decline through time. These results suggest a decrease in plant moisture availability on the Antarctic Peninsula during the Late Eocene, perhaps as a result of declining precipitation and/or soil moisture. Therefore, moisture stress experienced by Nothofagus likely contributed to the shift to a more sparsely vegetated Late Eocene landscape. Our results show that carbon isotopic analysis of pollen from C-3 plants may aid understanding how variations in moisture availability contribute to shifts in plant community composition in the paleorecord. (C) 2013 Elsevier B.V. All rights reserved.</t>
  </si>
  <si>
    <t>[Griener, Kathryn W.; Warny, Sophie] Louisiana State Univ, Dept Geol &amp; Geophys, Baton Rouge, LA 70803 USA; [Nelson, David M.] Univ Maryland, Ctr Environm Sci, Appalachian Lab, Frostburg, MD 21532 USA</t>
  </si>
  <si>
    <t>Louisiana State University System; Louisiana State University; University System of Maryland; University of Maryland Center for Environmental Science</t>
  </si>
  <si>
    <t>Griener, KW (corresponding author), Louisiana State Univ, E235 Howe Russell Geosci Complex, Baton Rouge, LA 70803 USA.</t>
  </si>
  <si>
    <t>kgrien4@lsu.edu</t>
  </si>
  <si>
    <t>Nelson, David M/D-5596-2009; Nelson, David/AAP-9412-2020; Warny, Sophie A/A-8226-2013</t>
  </si>
  <si>
    <t>Nelson, David M/0000-0003-2755-5535; Nelson, David/0000-0003-2755-5535; Warny, Sophie/0000-0002-3451-040X</t>
  </si>
  <si>
    <t>NSF [1048343]; Marathon GeoDE Fellowship; Directorate For Geosciences; Office of Polar Programs (OPP) [1048343] Funding Source: National Science Foundation</t>
  </si>
  <si>
    <t>NSF(National Science Foundation (NSF)); Marathon GeoDE Fellowship; Directorate For Geosciences; Office of Polar Programs (OPP)(National Science Foundation (NSF)NSF - Directorate for Geosciences (GEO))</t>
  </si>
  <si>
    <t>We thank the Harvard University Herbarium and the Herbarium at the Museum of New Zealand for providing modern Nothofagus specimens and Lowell Urbatsch and Jennifer Kluse of the LSU Herbarium for assistance in obtaining the material. Additionally, thanks to the SHALDRIL research team for core collection and to the Antarctic Research Facility in Florida for their assistance with core sampling. Funding for this project was provided through the NSF CAREER grant #1048343 to SW and the Marathon GeoDE Fellowship to KWG at Louisiana State University. Robin Paulman provided assistance with isotopic analysis, and Daniel Buechmann assisted with accessing BIOCLIM data and using GIS software. Rosemary Askin and two reviewers provided helpful feedback on the manuscript.</t>
  </si>
  <si>
    <t>0031-0182</t>
  </si>
  <si>
    <t>1872-616X</t>
  </si>
  <si>
    <t>PALAEOGEOGR PALAEOCL</t>
  </si>
  <si>
    <t>Paleogeogr. Paleoclimatol. Paleoecol.</t>
  </si>
  <si>
    <t>10.1016/j.palaeo.2013.05.004</t>
  </si>
  <si>
    <t>Geography, Physical; Geosciences, Multidisciplinary; Paleontology</t>
  </si>
  <si>
    <t>Physical Geography; Geology; Paleontology</t>
  </si>
  <si>
    <t>178CJ</t>
  </si>
  <si>
    <t>WOS:000321421400007</t>
  </si>
  <si>
    <t>Walton, D; Xavier, J; May, I; Huffman, L</t>
  </si>
  <si>
    <t>Walton, David; Xavier, Jose; May, Inga; Huffman, Louise</t>
  </si>
  <si>
    <t>Polar Educators International - a new initiative for schools</t>
  </si>
  <si>
    <t>Editorial Material</t>
  </si>
  <si>
    <t>Xavier, José/KFB-6739-2024</t>
  </si>
  <si>
    <t>/0000-0002-9621-6660; Walton, David/0000-0002-7103-4043</t>
  </si>
  <si>
    <t>NERC [bas010011] Funding Source: UKRI; Natural Environment Research Council [bas010011] Funding Source: researchfish</t>
  </si>
  <si>
    <t>NERC(UK Research &amp; Innovation (UKRI)Natural Environment Research Council (NERC)); Natural Environment Research Council(UK Research &amp; Innovation (UKRI)Natural Environment Research Council (NERC))</t>
  </si>
  <si>
    <t>10.1017/S0954102013000485</t>
  </si>
  <si>
    <t>Bronze, Green Submitted</t>
  </si>
  <si>
    <t>WOS:000321760000001</t>
  </si>
  <si>
    <t>O'Neill, TA; Balks, MR; López-Martínez, J</t>
  </si>
  <si>
    <t>O'Neill, Tanya A.; Balks, Megan R.; Lopez-Martinez, Jeronimo</t>
  </si>
  <si>
    <t>Visual recovery of desert pavement surfaces following impacts from vehicle and foot traffic in the Ross Sea region of Antarctica</t>
  </si>
  <si>
    <t>foot-tracking; human impacts; surface morphology; surface recovery; tracks</t>
  </si>
  <si>
    <t>MCMURDO DRY VALLEYS; SOILS; LAND; SITE</t>
  </si>
  <si>
    <t>Sites of past human activity were investigated to assess the visual recovery of the desert pavement following impacts from human trampling and vehicle traffic. Visually disturbed and nearby control sites were assessed using comparative photographic records, a field-based Visual Site Assessment, and Desert Pavement Recovery Assessment. Sites included: vehicle and walking tracks at Marble Point and Taylor Valley; a campsite, experimental treading trial site, and vehicle tracks in Wright Valley; and vehicle and walking tracks at Cape Roberts. The time since last disturbance ranged from three months to over 50 years. This investigation also attempted to determine what has the greatest lasting visual impact on soil surfaces in the Ross Sea region: dispersed trafficking or track formation? Walking tracks remained visible in the landscape (due to larger clasts concentrating along track margins) long after the desert pavement surface had recovered. However, randomly dispersed footprints were undetectable within five years. For many sites, allowing widespread trampling will give lower medium-term visible impact than concentrating traffic flow by track formation. For steep slopes and sites where repeated visits occur, use of a single track is recommended. Some 1950s vehicle tracks remain visible in the Antarctic landscape, but where visually obvious impacts were remediated, evidence of former occupation was almost undetectable.</t>
  </si>
  <si>
    <t>[O'Neill, Tanya A.; Balks, Megan R.] Univ Waikato, Hamilton, New Zealand; [Lopez-Martinez, Jeronimo] Univ Autonoma Madrid, Fac Sci, E-28049 Madrid, Spain</t>
  </si>
  <si>
    <t>University of Waikato; Autonomous University of Madrid</t>
  </si>
  <si>
    <t>O'Neill, TA (corresponding author), Univ Waikato, Hamilton, New Zealand.</t>
  </si>
  <si>
    <t>oneilltanya@hotmail.com</t>
  </si>
  <si>
    <t>O'Neill, Tanya/AAD-3240-2020; Lopez-Martinez, Jeronimo/C-5744-2011; O'Neill, Tanya/I-3045-2017</t>
  </si>
  <si>
    <t>Lopez-Martinez, Jeronimo/0000-0002-1750-8287; O'Neill, Tanya/0000-0001-8181-4249</t>
  </si>
  <si>
    <t>Landcare Research Murray Jessen Memorial Doctoral Scholarship</t>
  </si>
  <si>
    <t>The authors wish to thank Antarctica New Zealand for logistic support over the summers of 2008/09 and 2009/10. Funding was provided by the Landcare Research Murray Jessen Memorial Doctoral Scholarship. We are grateful to Errol Balks for field assistance, Margaret Auger and Nathan Cross for science support at Scott Base, and Jana Newman for technical advice. We appreciate the useful comments from reviewers.</t>
  </si>
  <si>
    <t>10.1017/S0954102012001125</t>
  </si>
  <si>
    <t>Green Submitted</t>
  </si>
  <si>
    <t>WOS:000321760000004</t>
  </si>
  <si>
    <t>Thiebot, JB; Lescroël, A; Barbraud, C; Bost, CA</t>
  </si>
  <si>
    <t>Thiebot, Jean-Baptiste; Lescroel, Amelie; Barbraud, Christophe; Bost, Charles-Andre</t>
  </si>
  <si>
    <t>Three-dimensional use of marine habitats by juvenile emperor penguins Aptenodytes forsteri during post-natal dispersal</t>
  </si>
  <si>
    <t>diving; foraging ecology; immaturity period; migration; seabirds; Southern Ocean; tracking</t>
  </si>
  <si>
    <t>POINTE GEOLOGIE; ADELIE PENGUINS; KING PENGUINS; ROSS SEA; SEGREGATION; CAPACITY; COLONY; ISLAND; AREAS; DIET</t>
  </si>
  <si>
    <t>The juvenile phase is poorly known in Antarctic seabirds, despite being a critical period for individual survival. To better understand the ecology of young Antarctic seabirds, we surveyed for the first time the three-dimensional habitat use of six juvenile emperor penguins during their post-natal dispersal from Terre Adelie, using bio-telemetric tags. The tags transmitted location and activity data for nearly 100 days on average. One individual was followed during eight months and covered 7000 km, which represents the longest continuous individual survey for the species. Studied individuals first dispersed away from Antarctica, up to 54.7 degrees S and 1250 km north of the pack-ice edge, in the Polar Frontal Zone. This highlighted a much looser association with sea ice and a greater at-sea range compared to previous knowledge on breeding adults. Juvenile penguins then moved southwards close to the extending pack-ice during autumn and winter. Over the survey duration, juveniles showed a contrasting use of marine habitats, with less mobility, less time underwater, and shallower dives (generally not over 50-100 m) in the pack ice, versus greater distances travelled, more time spent underwater, especially deeper than 100m (up to 250-300 m) in open water. We discuss hypotheses which could explain the northward exodus of juvenile emperor penguins across contrasting habitats.</t>
  </si>
  <si>
    <t>[Thiebot, Jean-Baptiste; Barbraud, Christophe; Bost, Charles-Andre] CNRS, UPR 1934, Ctr Etud Biol Chize, F-79360 Villiers En Bois, France; [Lescroel, Amelie] Univ Rennes 1, UMR 7204, Museum Natl Hist Nat, F-35042 Rennes, France</t>
  </si>
  <si>
    <t>Centre National de la Recherche Scientifique (CNRS); Universite de Rennes; Centre National de la Recherche Scientifique (CNRS); CNRS - Institute of Ecology &amp; Environment (INEE); Museum National d'Histoire Naturelle (MNHN); Sorbonne Universite</t>
  </si>
  <si>
    <t>Thiebot, JB (corresponding author), CNRS, UPR 1934, Ctr Etud Biol Chize, F-79360 Villiers En Bois, France.</t>
  </si>
  <si>
    <t>thiebot@cebc.cnrs.fr</t>
  </si>
  <si>
    <t>Barbraud, Christophe/A-5870-2012</t>
  </si>
  <si>
    <t>Barbraud, Christophe/0000-0003-0146-212X</t>
  </si>
  <si>
    <t>ANR 07 Biodiv 'GLIDES'; Zone Atelier Antarctique (INSU-CNRS); Institut Polaire Francais Paul-Emile Victor (IPEV) [394, 109]; Terres Australes et Antarctiques Francaises (TAAF) administration</t>
  </si>
  <si>
    <t>ANR 07 Biodiv 'GLIDES'(Agence Nationale de la Recherche (ANR)); Zone Atelier Antarctique (INSU-CNRS); Institut Polaire Francais Paul-Emile Victor (IPEV); Terres Australes et Antarctiques Francaises (TAAF) administration</t>
  </si>
  <si>
    <t>This work benefited from an Antarctic Science Bursary to AL for purchasing the tags. The Ethics Committee of Institut Polaire Francais Paul-Emile Victor approved all field procedures. The authors thank M. Kriloff, M. Pelle and D. Filippi for their help in the field, and A. Goarant and C. Peron for their help and advice with analyses. The present work was supported financially and logistically by the ANR 07 Biodiv 'GLIDES', the Zone Atelier Antarctique (INSU-CNRS), the Institut Polaire Francais Paul-Emile Victor ( IPEV, programme nos 394: resp. C.A. Bost, and 109: resp. H. Weimerskirch) and the Terres Australes et Antarctiques Francaises (TAAF) administration. The constructive comments of the reviewers are gratefully acknowledged.</t>
  </si>
  <si>
    <t>10.1017/S0954102012001198</t>
  </si>
  <si>
    <t>WOS:000321760000006</t>
  </si>
  <si>
    <t>Cipro, CVZ; Colabuono, FI; Taniguchi, S; Montone, RC</t>
  </si>
  <si>
    <t>Cipro, Caio V. Z.; Colabuono, Fernanda I.; Taniguchi, Satie; Montone, Rosalinda Carmela</t>
  </si>
  <si>
    <t>Persistent organic pollutants in bird, fish and invertebrate samples from King George Island, Antarctica</t>
  </si>
  <si>
    <t>Antarctic biota; DDTs; marine pollution; organochlorine pesticides; PBDEs; PCBs</t>
  </si>
  <si>
    <t>POLYBROMINATED DIPHENYL ETHERS; SOUTH POLAR SKUA; CONTAMINATION; ECOSYSTEMS; PATTERN; LIMPET; PREY; DIET; EGG</t>
  </si>
  <si>
    <t>Despite small direct anthropic/anthropogenic influence, Antarctica cannot be considered out of the reach of pollutants. The present study evaluated the distribution and transfer of the following organic pollutants: PCBs (polychlorinated biphenyls), organochlorine pesticides and PBDEs (polybrominated diphenyl ethers) in invertebrates, fish, bird eggs and liver samples from Admiralty Bay, King George Island, South Shetland Islands. The prevailing compounds were (in ng g(-1) wet weight for species averages): PCBs up to 1821 for birds, 6.82 for fish and 41.3 for invertebrates, HCB (hexachlorobenzene) up to 69.8 for birds, 0.66 for fish and 0.56 for invertebrates and DDTs (dichlorodiphenyltrichloroethane) up to 524 for birds, 3.04 for fish and 0.74 for invertebrates. PBDEs (detected only in bird eggs and liver, up to 39.1 and 7.95, respectively) occurred in levels one or two orders of magnitude lower than organochlorines, probably due to the lower and more recent usage of PBDEs. The qualitative profiles of PCBs agree with trophic level and diet data. PBDEs showed small difference in composition when compared to the technical product available in the Americas, especially in endemic species, which could indicate that fractionation does not have a major role for this contaminant group. Trophic level, but also and more importantly, diet, range, ecological niche and growth dilution effect explain the variation of pollutants concentrations found in this study.</t>
  </si>
  <si>
    <t>[Cipro, Caio V. Z.; Colabuono, Fernanda I.; Taniguchi, Satie; Montone, Rosalinda Carmela] Univ Sao Paulo, Inst Oceanog, BR-05508900 Sao Paulo, Brazil; [Cipro, Caio V. Z.] Univ La Rochelle, CNRS, UMR 7266, Littoral Environm &amp; Soc LIENSs, F-17042 La Rochelle 01, France</t>
  </si>
  <si>
    <t>Universidade de Sao Paulo; La Rochelle Universite; Centre National de la Recherche Scientifique (CNRS)</t>
  </si>
  <si>
    <t>Cipro, CVZ (corresponding author), Univ Sao Paulo, Inst Oceanog, Praca Oceanog 191, BR-05508900 Sao Paulo, Brazil.</t>
  </si>
  <si>
    <t>caiovzc@usp.br</t>
  </si>
  <si>
    <t>Colabuono, Fernanda Imperatrice/B-7197-2012; Montone, Rosalinda/J-9110-2012; Taniguchi, Satie/D-2552-2013; Zecchin Cipro, Caio Vinicius/C-6338-2014</t>
  </si>
  <si>
    <t>Montone, Rosalinda/0000-0002-9586-1000; Taniguchi, Satie/0000-0002-6825-6390; Zecchin Cipro, Caio Vinicius/0000-0002-7028-6353</t>
  </si>
  <si>
    <t>Brazilian Antarctic Program (PROANTAR); Ministry of the Environment (MMA); Conselho Nacional de Desenvolvimento Cientifico e Tecnologico (CNPq); FAPESP [2007/55956-0]; CAPES; University of La Rochelle</t>
  </si>
  <si>
    <t>Brazilian Antarctic Program (PROANTAR); Ministry of the Environment (MMA); Conselho Nacional de Desenvolvimento Cientifico e Tecnologico (CNPq)(Conselho Nacional de Desenvolvimento Cientifico e Tecnologico (CNPQ)); FAPESP(Fundacao de Amparo a Pesquisa do Estado de Sao Paulo (FAPESP)); CAPES(Coordenacao de Aperfeicoamento de Pessoal de Nivel Superior (CAPES)); University of La Rochelle</t>
  </si>
  <si>
    <t>The present work is a result of the projects Environmental Management of Admiralty Bay, King George Island, Antarctica: persistent organic pollutants and sewage (CNPq No. 55.0348/2002-6), and Modeling the bioaccumulation of organic pollutants throughout an Antarctic food web'' (CNPq 550018/2007-7) and also contributes to the Brazilian National Science and Technology Institute on Antarctic Environmental Research (INCT-APA). Financial support was obtained from the Brazilian Antarctic Program (PROANTAR), Ministry of the Environment (MMA) and Conselho Nacional de Desenvolvimento Cientifico e Tecnologico (CNPq). Antarctic logistics was provided by Secretaria da Comissao Interministerial para os Recursos do Mar (SECIRM). C.V.Z. Cipro was funded by FAPESP (2007/55956-0) and CAPES. The first author also received financial support from the University of La Rochelle during the course of this publication. Special thanks to Prof Martin Sander and his team (Ana Paula Carneiro, Cesar Rodrigo dos Santos, Erli Schneider Costa) for their help during sampling of seabirds, to Dr Edson Rodrigues for fish samples and to eternal members of the Lab-QOM (Dr Cesar C. Martins, Dr Gilvan Y. Takeshi, Dr Juliana Leonel, Dr Rafael A. Lourenco and Vera Lucia da Silva Campos) for their valuable collaboration in the fieldwork. The constructive comments of the reviewers are gratefully acknowledged.</t>
  </si>
  <si>
    <t>10.1017/S0954102012001149</t>
  </si>
  <si>
    <t>WOS:000321760000007</t>
  </si>
  <si>
    <t>Pertierra, LR; Hughes, KA</t>
  </si>
  <si>
    <t>Pertierra, L. R.; Hughes, K. A.</t>
  </si>
  <si>
    <t>Management of Antarctic Specially Protected Areas: permitting, visitation and information exchange practices</t>
  </si>
  <si>
    <t>ASPAs; Antarctic Treaty; Environmental Information Exchange System; environmental management; environmental protocol; permits</t>
  </si>
  <si>
    <t>Antarctic Specially Protected Areas (ASPAs) represent the highest level of area protection within the Antarctic Treaty area. To reduce environmental impacts, ASPA visitors must comply with the Area's management plan and receive an entry permit from an appropriate national authority. Parties to the Protocol on Environmental Protection to the Antarctic Treaty are obliged to exchange information on: i) the number of permits allocated for the forthcoming season, and ii) the number of visits to ASPAs during the previous season. We assessed the effectiveness of current permitting and information exchange practices by examining ASPA visitation data supplied to the Antarctic Treaty System's Electronic Information Exchange System during 2008/09-2010/11. We found that Parties have interpreted and implemented the protected area legislation inconsistently. Furthermore, some Parties did not fulfil their obligations under the Protocol by failing to provide full information on ASPA visitation. Estimations suggested that the level of ASPA visitation varied with ASPA location and the main value being protected. However, without full disclosure by Parties, ASPA visitation data is of limited use for informing general and ASPA-specific environmental management practices. Improved provision and formal interpretation of ASPA visitation data are recommended to enable more co-ordinated and effective management of activities within ASPAs.</t>
  </si>
  <si>
    <t>[Pertierra, L. R.] Univ Autonoma Madrid, Dept Ecol, E-28049 Madrid, Spain; [Hughes, K. A.] British Antarctic Survey, NERC, Cambridge CB3 0ET, England</t>
  </si>
  <si>
    <t>Autonomous University of Madrid; UK Research &amp; Innovation (UKRI); Natural Environment Research Council (NERC); NERC British Antarctic Survey</t>
  </si>
  <si>
    <t>Hughes, KA (corresponding author), British Antarctic Survey, NERC, Madingley Rd, Cambridge CB3 0ET, England.</t>
  </si>
  <si>
    <t>kehu@bas.ac.uk</t>
  </si>
  <si>
    <t>Pertierra, Luis R./K-3727-2017; Hughes, Kevin/JVZ-0793-2024</t>
  </si>
  <si>
    <t>Pertierra, Luis R./0000-0002-2232-428X;</t>
  </si>
  <si>
    <t>NERC [bas010011, bas010013] Funding Source: UKRI; Natural Environment Research Council [bas010011, bas010013] Funding Source: researchfish</t>
  </si>
  <si>
    <t>10.1017/S0954102012001204</t>
  </si>
  <si>
    <t>Green Accepted</t>
  </si>
  <si>
    <t>WOS:000321760000008</t>
  </si>
  <si>
    <t>Barrantes, O; Reiné, R; Ferrer, C</t>
  </si>
  <si>
    <t>Barrantes, O.; Reine, R.; Ferrer, C.</t>
  </si>
  <si>
    <t>Changes in Land Use of Pyrenean Mountain Pastures - Ski Runs and Livestock Management - Between 1972 and 2005 and the Effects on Subalpine Grasslands</t>
  </si>
  <si>
    <t>ARCTIC ANTARCTIC AND ALPINE RESEARCH</t>
  </si>
  <si>
    <t>NITROGEN MINERALIZATION; SPECIES RICHNESS; WHISTLER MOUNTAIN; UPLAND GRASSLAND; VEGETATION; SOIL; LANDSCAPE; COMMUNITY; FOREST; RESTORATION</t>
  </si>
  <si>
    <t>In recent decades, the use of some subalpine mountain grasslands in the Central Spanish Pyrenees has changed. Ski resorts have been developed and cattle herd management has shifted from the traditional rotational-type system in which grazing cattle are overseen by a herder to a continuous-type system that does not involve a herder. In 2005, the locations of 30 floristic inventories performed in 1972 were revisited and inventories were repeated in two adjacent similar areas, although one had been used for the development of ski runs and the other had not. The objective was to assess the effects of those changes on plant diversity and other characteristics of the grasslands. In both areas, plant diversity was significantly higher in 2005 than it was in 1972. Both areas had been grazed by cattle to a similar extent; thus, the results suggest that diversity was affected primarily by the change in the livestock grazing system. Livestock grazing within the skiing area appears to have counterbalanced any reduction in plant diversity that would have occurred because of the construction and use of ski runs. In the skiing area, legume cover and pastoral value decreased, the Ellenberg Nitrogen Index reflected lower soil nutrients available to plants, and the cover of plant species that regenerate by seeds increased between 1972 and 2005; such changes did not occur in the non-skiing area. The abundance of ruderal species increased more in the skiing area than in the non-skiing area. Between 1981 and 2000, the amount of bare ground increased only in the skiing area.</t>
  </si>
  <si>
    <t>[Barrantes, O.; Ferrer, C.] Univ Zaragoza, Dept Agr &amp; Environm Sci, E-50013 Zaragoza, Spain; [Reine, R.] Univ Zaragoza, Dept Agr &amp; Environm Sci, Huesca 22071, Spain</t>
  </si>
  <si>
    <t>University of Zaragoza; University of Zaragoza</t>
  </si>
  <si>
    <t>Barrantes, O (corresponding author), Univ Zaragoza, Dept Agr &amp; Environm Sci, Miguel Servet 177, E-50013 Zaragoza, Spain.</t>
  </si>
  <si>
    <t>olivia.barrantes@unizar.es</t>
  </si>
  <si>
    <t>Reiné, Ramón/ABA-7030-2020</t>
  </si>
  <si>
    <t>Barrantes Diaz, Olivia/0000-0002-4877-5249</t>
  </si>
  <si>
    <t>University of Zaragoza-Ibercaja Research Project [IBE2004-TEC-02]</t>
  </si>
  <si>
    <t>University of Zaragoza-Ibercaja Research Project</t>
  </si>
  <si>
    <t>This study was supported by a University of Zaragoza-Ibercaja Research Project (number IBE2004-TEC-02). We thank D. Luis Pueyo, a cattle farmer in the study area, for providing useful information and guiding us in the field. In addition, we thank Drs. Asuncion Uson and Sergio Gonzalo for their assistance with the fieldwork, and Dr. Ana Olaziola for her help with the livestock censuses.</t>
  </si>
  <si>
    <t>TAYLOR &amp; FRANCIS LTD</t>
  </si>
  <si>
    <t>ABINGDON</t>
  </si>
  <si>
    <t>2-4 PARK SQUARE, MILTON PARK, ABINGDON OR14 4RN, OXON, ENGLAND</t>
  </si>
  <si>
    <t>1523-0430</t>
  </si>
  <si>
    <t>1938-4246</t>
  </si>
  <si>
    <t>ARCT ANTARCT ALP RES</t>
  </si>
  <si>
    <t>Arct. Antarct. Alp. Res.</t>
  </si>
  <si>
    <t>10.1657/1938-4246-45.3.318</t>
  </si>
  <si>
    <t>Environmental Sciences; Geography, Physical</t>
  </si>
  <si>
    <t>Environmental Sciences &amp; Ecology; Physical Geography</t>
  </si>
  <si>
    <t>287HR</t>
  </si>
  <si>
    <t>WOS:000329533200002</t>
  </si>
  <si>
    <t>Ingvander, S; Brown, IA; Jansson, P; Holmlund, P; Johansson, C; Rosqvist, G</t>
  </si>
  <si>
    <t>Ingvander, Susanne; Brown, Ian A.; Jansson, Peter; Holmlund, Per; Johansson, Cecilia; Rosqvist, Gunhild</t>
  </si>
  <si>
    <t>Particle Size Sampling and Object-Oriented Image Analysis for Field Investigations of Snow Particle Size, Shape, and Distribution</t>
  </si>
  <si>
    <t>DRONNING-MAUD-LAND; SURFACE-AREA; GRAIN-SIZE; INFRARED REFLECTANCE; PHYSICAL-PROPERTIES; STORGLACIAREN; MODEL; STRATIGRAPHY; SUBLIMATION; ALBEDO</t>
  </si>
  <si>
    <t>Snow particle size is an important parameter strongly affecting snow cover broadband albedo from seasonally snow covered areas and ice sheets. It is also important in remote sensing analyses because it influences the reflectance and scattering properties of the snow. We have developed a digital image processing method for the capture and analysis of data of snow particle size and shape. The method is suitable for quick and reliable data capture in the field. Traditional methods based on visual inspection of samples have been used but do not yield quantitative data. Our method provides an alternative to both simpler and more complex methods by providing a tool that limits the subjective effect of the visual analysis and provides a quantitative particle size distribution. The method involves image analysis software and field efficient instrumentation in order to develop a complete process-chain easily implemented under field conditions. The output from the analysis is a two-dimensional analysis of particle size, shape, and distributions for each sample. The results of the segmentation process were validated against manual delineation of snow particles. The developed method improves snow particle analysis because it is quantitative, reproducible, and applicable for different types of field sites.</t>
  </si>
  <si>
    <t>[Ingvander, Susanne; Brown, Ian A.; Jansson, Peter; Holmlund, Per; Rosqvist, Gunhild] Stockholm Univ, Dept Phys Geog &amp; Quaternary Geol, S-10691 Stockholm, Sweden; [Johansson, Cecilia] Uppsala Univ, Dept Earth Sci, SE-75236 Uppsala, Sweden</t>
  </si>
  <si>
    <t>Stockholm University; Uppsala University</t>
  </si>
  <si>
    <t>Ingvander, S (corresponding author), Stockholm Univ, Dept Phys Geog &amp; Quaternary Geol, S-10691 Stockholm, Sweden.</t>
  </si>
  <si>
    <t>susanne.ingvander@natgeo.su.se</t>
  </si>
  <si>
    <t>Jansson, Peter/B-5761-2012</t>
  </si>
  <si>
    <t>Jansson, Peter/0000-0002-8832-8806; Rosqvist, Gunhild/0000-0002-9195-607X</t>
  </si>
  <si>
    <t>Swedish Research Council; Swedish National Space Board; Tarfala Research Station; Bert Bolin Centre for Climate Research; SSAG; Ymer-80; Helge Ax:son Johnson foundation</t>
  </si>
  <si>
    <t>Swedish Research Council(Swedish Research Council); Swedish National Space Board(Swedish National Space Agency (SNSA)); Tarfala Research Station; Bert Bolin Centre for Climate Research; SSAG; Ymer-80; Helge Ax:son Johnson foundation</t>
  </si>
  <si>
    <t>The authors would like to thank the Swedish Polar Research Secretariat for logistic support and Swedish Research Council, Swedish National Space Board, Tarfala Research Station, Bert Bolin Centre for Climate Research, SSAG, Ymer-80, and Helge Ax:son Johnson foundation for financial support. Acknowledgments to colleagues participating in the field for making the measurements possible. The authors would also like to thank Dr. Charles Fierz at the Institute for Snow and Avalanche Research, Davos, Switzerland, for valuable comments on the method and the nomenclature at an early stage.</t>
  </si>
  <si>
    <t>INST ARCTIC ALPINE RES</t>
  </si>
  <si>
    <t>UNIV COLORADO, BOULDER, CO 80309 USA</t>
  </si>
  <si>
    <t>10.1657/1938-4246-45.3.330</t>
  </si>
  <si>
    <t>WOS:000329533200003</t>
  </si>
  <si>
    <t>Olsen, SL; Sandvik, SM; Totland, O</t>
  </si>
  <si>
    <t>Olsen, Siri L.; Sandvik, Sylvi M.; Totland, Orjan</t>
  </si>
  <si>
    <t>Influence of Two N-Fixing Legumes on Plant Community Properties and Soil Nutrient Levels in an Alpine</t>
  </si>
  <si>
    <t>ACETYLENE-REDUCTION ACTIVITY; SIMULATED CLIMATE-CHANGE; MOUNT ST-HELENS; NITROGEN ACCUMULATION; POSITIVE INTERACTIONS; SPECIES COMPOSITION; MICROBIAL ACTIVITY; ARCTIC TUNDRA; FIXATION; FACILITATION</t>
  </si>
  <si>
    <t>Low nitrogen (N) supply is a limiting factor for plant growth in most terrestrial ecosystems. N-fixing legumes therefore have the potential to facilitate surrounding vegetation by increasing soil N levels. This effect should be especially pronounced in low-productivity habitats where ambient soil N levels are low, such as in alpine areas. We examined whether plant species composition, community diversity measures, and soil N levels differed with and without the presence of two alpine legumes, Oxytropis lapponica (Wahlenb.) Gay and Astragalus alpinus L., in a Dryas octopetala heath at Finse, Norway. Species composition and richness differed between plots with and without Oxytropis in one of two study sites, as other plant species were positively associated with the legume. None of the measured community properties differed between plots with and without the presence of Astragalus. The contrasting influence of the two legume species corresponds to our findings of higher soil N levels below Oxytropis, but not Astragalus. Differences in microhabitat N levels may explain why only Oxytropis acts as a facilitator. By affecting local species composition Oxytropis increases spatial heterogeneity, which may increase total species richness of the ecosystem.</t>
  </si>
  <si>
    <t>[Olsen, Siri L.; Totland, Orjan] Norwegian Univ Life Sci, Dept Ecol &amp; Nat Resource Management, N-1432 As, Norway; [Sandvik, Sylvi M.] Univ Agder, Dept Nat Sci, N-4604 Kristiansand, Norway</t>
  </si>
  <si>
    <t>Norwegian University of Life Sciences; University of Agder</t>
  </si>
  <si>
    <t>Olsen, SL (corresponding author), Norwegian Univ Life Sci, Dept Ecol &amp; Nat Resource Management, POB 5003, N-1432 As, Norway.</t>
  </si>
  <si>
    <t>siri.lie.olsen@umb.no</t>
  </si>
  <si>
    <t>Olsen, Siri Lie/0000-0002-4443-8261</t>
  </si>
  <si>
    <t>10.1657/1938-4246-45.3.363</t>
  </si>
  <si>
    <t>WOS:000329533200006</t>
  </si>
  <si>
    <t>Weisberg, PJ; Shandra, O; Becker, ME</t>
  </si>
  <si>
    <t>Weisberg, Peter J.; Shandra, Oleksandra; Becker, Miles E.</t>
  </si>
  <si>
    <t>Landscape Influences on Recent Timberline Shifts in the Carpathian Mountains: Abiotic Influences Modulate Effects of Land-Use Change</t>
  </si>
  <si>
    <t>FOREST COVER CHANGE; UKRAINIAN CARPATHIANS; WESTERN CARPATHIANS; REGRESSION TREES; CLIMATE-CHANGE; SUB-ALPINE; SWISS ALPS; DISTURBANCES; ABANDONMENT; TREELINES</t>
  </si>
  <si>
    <t>Expected shifts in the upper forest limit of many mountain ranges due to anthropogenic climate change will likely be constrained by current and historical land-use practices. We used historical maps and Landsat satellite imagery to analyze timberline change for the entire Carpathian range in Eastern Europe. Our objectives were (1) to compare 19th and 20th century timberline elevations across regions differing in sociopolitical history and land-use trends; and (2) to quantify how land-use patterns and environmental influences were associated with changes in timberline position. Timberline changes across geopolitical regions were consistent with regional variations in re-settlement rates and population shifts following World War II. Important predictors for timberline rise were the mainly biophysical factors of slope steepness, timberline elevation, shrub cover, topographic curvature, aspect, and proximity to roads. For horizontal migration, important predictors were proximity to shepherd's huts, elevation, population density, forest composition, and shrub cover. Overall, cultural influences were critical for understanding the response of Carpathian timberlines to global change, yet biophysical influences proved important where reforestation was already occurring. In mountain ranges with prevalent agricultural abandonment, forest migration associated with climate warming may lead to increased contrast in the forest-alpine ecotone between areas with and without intensive land-use.</t>
  </si>
  <si>
    <t>[Weisberg, Peter J.; Becker, Miles E.] Univ Nevada, Dept Nat Resources &amp; Environm Sci, Reno, NV 89557 USA; [Shandra, Oleksandra] Ukrainian Acad Sci, Ukrainian Hydrometeorol Inst, Dept Climat Res &amp; Long Range Forecasting, UA-03028 Kiev, Ukraine; [Becker, Miles E.] Univ Nevada, Ecol Evolut &amp; Conservat Biol Grad Program, Reno, NV 89557 USA</t>
  </si>
  <si>
    <t>Nevada System of Higher Education (NSHE); University of Nevada Reno; National Academy of Sciences Ukraine; Ukrainian Hydrometeorological Institute of the State Emergency Service of Ukraine &amp; National Academy of Sciences of Ukraine; Nevada System of Higher Education (NSHE); University of Nevada Reno</t>
  </si>
  <si>
    <t>Weisberg, PJ (corresponding author), Univ Nevada, Dept Nat Resources &amp; Environm Sci, 1664 North Virginia St, Reno, NV 89557 USA.</t>
  </si>
  <si>
    <t>pweisberg@cabnr.unr.edu</t>
  </si>
  <si>
    <t>CRDF foundation; Ministry of Education and Science of Ukraine [UKG2-2957-KV-08]</t>
  </si>
  <si>
    <t>CRDF foundation; Ministry of Education and Science of Ukraine</t>
  </si>
  <si>
    <t>Funding was provided by an award from the CRDF foundation and Ministry of Education and Science of Ukraine (award #UKG2-2957-KV-08). Tom Diits assisted with GIS analysis and Vazira Martazinova assisted with project development and logistical support. Two anonymous reviewers provided useful comments and suggestions. We would also like to thank the people at mapywig.org and geo-spatial.org for making historical maps accessible to the public.</t>
  </si>
  <si>
    <t>10.1657/1938-4246-45.3.404</t>
  </si>
  <si>
    <t>WOS:000329533200010</t>
  </si>
  <si>
    <t>Laparie, M; Renault, D; Lebouvier, M; Delattre, T</t>
  </si>
  <si>
    <t>Laparie, M.; Renault, D.; Lebouvier, M.; Delattre, T.</t>
  </si>
  <si>
    <t>Is dispersal promoted at the invasion front? Morphological analysis of a ground beetle invading the Kerguelen Islands, Merizodus soledadinus (Coleoptera, Carabidae)</t>
  </si>
  <si>
    <t>BIOLOGICAL INVASIONS</t>
  </si>
  <si>
    <t>Biological invasion; Body size evolution; Dispersal syndrome; Insect; Invasion succession; Sub-Antarctic islands</t>
  </si>
  <si>
    <t>STARVATION RESISTANCE; ENERGY RESERVES; EVOLUTION; BEHAVIOR; ECOLOGY; RESPONSES</t>
  </si>
  <si>
    <t>As a biological invasion proceeds, the spread of the alien may promote dispersal ability at the front by direct and indirect selection, thereby altering the dynamics of the invasion. Morphology correlates with dispersal in numerous taxa, and represents a relevant integration of temporal or geographical changes in dispersal. Using data from Laparie et al. (Biol Invasions 12:3405-3417, 2010) in a ground beetle introduced to a single location of the Kerguelen Islands in 1913, we examined the quantitative relationship between distance in residence time and morphological distance (computed from a multivariate combination of parameters). A consistent relationship depicted a quantitative match between differences in morphology and residence time. Body size increased from the founder population to successive child populations (femur, thorax, abdomen and head), which may indicate increasing dispersal ability along the colonization history of the species. The morphological differentiation may result from a combination of both dispersal pattern and residency effect in former populations, the latter leading to decreasing size when residence time increases, due to alteration of trophic conditions following invasion by the beetle. Our results offer a fertile ground for investigating spatial selection and promotion of dispersers on front margins, as they highlight the dynamic fashion of dispersal ability during invasions.</t>
  </si>
  <si>
    <t>[Laparie, M.; Renault, D.; Lebouvier, M.] Univ Rennes 1, UMR CNRS Ecobio 6553, Stn Biol Paimpont, F-35380 Paimpont, France; [Laparie, M.; Renault, D.; Delattre, T.] Univ Rennes 1, UMR CNRS Ecobio 6553, F-35042 Rennes, France</t>
  </si>
  <si>
    <t>Universite de Rennes; Centre National de la Recherche Scientifique (CNRS); Universite de Rennes</t>
  </si>
  <si>
    <t>Laparie, M (corresponding author), Univ Rennes 1, UMR CNRS Ecobio 6553, Stn Biol Paimpont, F-35380 Paimpont, France.</t>
  </si>
  <si>
    <t>mathieu.laparie@gmail.com</t>
  </si>
  <si>
    <t>RENAULT, David/0000-0003-3644-1759</t>
  </si>
  <si>
    <t>Institut Polaire Francais (IPEV) [136]; CNRS (Zone-Atelier de Recherches sur l'Environnement Antarctique et Subantarctique); Agence Nationale de la Recherche [ANR-07-VULN-004]</t>
  </si>
  <si>
    <t>Institut Polaire Francais (IPEV); CNRS (Zone-Atelier de Recherches sur l'Environnement Antarctique et Subantarctique)(Centre National de la Recherche Scientifique (CNRS)); Agence Nationale de la Recherche(Agence Nationale de la Recherche (ANR))</t>
  </si>
  <si>
    <t>This research was supported by the Institut Polaire Francais (IPEV, programme 136 coordinated by Marc Lebouvier), the CNRS (Zone-Atelier de Recherches sur l'Environnement Antarctique et Subantarctique), and the Agence Nationale de la Recherche (ANR-07-VULN-004, Vulnerability of native communities to invasive insects and climate change in sub-Antarctic Islands, EVINCE).</t>
  </si>
  <si>
    <t>DORDRECHT</t>
  </si>
  <si>
    <t>VAN GODEWIJCKSTRAAT 30, 3311 GZ DORDRECHT, NETHERLANDS</t>
  </si>
  <si>
    <t>1387-3547</t>
  </si>
  <si>
    <t>1573-1464</t>
  </si>
  <si>
    <t>BIOL INVASIONS</t>
  </si>
  <si>
    <t>Biol. Invasions</t>
  </si>
  <si>
    <t>10.1007/s10530-012-0403-x</t>
  </si>
  <si>
    <t>Biodiversity Conservation; Ecology</t>
  </si>
  <si>
    <t>Biodiversity &amp; Conservation; Environmental Sciences &amp; Ecology</t>
  </si>
  <si>
    <t>175WM</t>
  </si>
  <si>
    <t>WOS:000321264300001</t>
  </si>
  <si>
    <t>Straneo, F; Heimbach, P; Sergienko, O; Hamilton, G; Catania, G; Griffies, S; Hallberg, R; Jenkins, A; Joughin, I; Motyka, R; Pfeffer, WT; Price, SF; Rignot, E; Scambos, T; Truffer, M; Vieli, A</t>
  </si>
  <si>
    <t>Straneo, Fiammetta; Heimbach, Patrick; Sergienko, Olga; Hamilton, Gordon; Catania, Ginny; Griffies, Stephen; Hallberg, Robert; Jenkins, Adrian; Joughin, Ian; Motyka, Roman; Pfeffer, W. Tad; Price, Stephen F.; Rignot, Eric; Scambos, Ted; Truffer, Martin; Vieli, Andreas</t>
  </si>
  <si>
    <t>Challenges to Understanding the Dynamic Response of Greenland's Marine Terminating Glaciers to Oceanic and Atmospheric Forcing</t>
  </si>
  <si>
    <t>BULLETIN OF THE AMERICAN METEOROLOGICAL SOCIETY</t>
  </si>
  <si>
    <t>FULL STOKES MODEL; SEA-LEVEL RISE; ICE-SHEET; JAKOBSHAVN ISBRAE; THERMOHALINE CIRCULATION; OUTLET GLACIERS; WEST GREENLAND; SPEED-UP; FJORD; MELT</t>
  </si>
  <si>
    <t>The recent retreat and speedup of outlet glaciers, as well as enhanced surface melting around the ice sheet margin, have increased Greenland's contribution to sea level rise to 0.6 +/- 0.1 mm yr(-1) and its discharge of freshwater into the North Atlantic. The widespread, near-synchronous glacier retreat, and its coincidence with a period of oceanic and atmospheric warming, suggests a common climate driver. Evidence points to the marine margins of these glaciers as the region from which changes propagated inland. Yet, the forcings and mechanisms behind these dynamic responses are poorly understood and are either missing or crudely parameterized in climate and ice sheet models. Resulting projected sea level rise contributions from Greenland by 2100 remain highly uncertain. This paper summarizes the current state of knowledge and highlights key physical aspects of Greenland's coupled ice sheet-ocean-atmosphere system. Three research thrusts are identified to yield fundamental insights into ice sheet, ocean, sea ice, and atmosphere interactions, their role in Earth's climate system, and probable trajectories of future changes: 1) focused process studies addressing critical glacier, ocean, atmosphere, and coupled dynamics; 2) sustained observations at key sites; and 3) inclusion of relevant dynamics in Earth system models. Understanding the dynamic response of Greenland's glaciers to climate forcing constitutes both a scientific and technological frontier, given the challenges of obtaining the appropriate measurements from the glaciers' marine termini and the complexity of the dynamics involved, including the coupling of the ocean, atmosphere, glacier, and sea ice systems. Interdisciplinary and international cooperation are crucial to making progress on this novel and complex problem.</t>
  </si>
  <si>
    <t>[Straneo, Fiammetta] Woods Hole Oceanog Inst, Woods Hole, MA 02543 USA; [Heimbach, Patrick] MIT, Cambridge, MA 02139 USA; [Sergienko, Olga] Princeton Univ, Princeton, NJ 08544 USA; [Sergienko, Olga; Griffies, Stephen; Hallberg, Robert] NOAA, Geophys Fluid Dynam Lab, Princeton, NJ USA; [Hamilton, Gordon] Univ Maine, Orono, ME USA; [Catania, Ginny] Univ Texas Austin, Austin, TX 78712 USA; [Jenkins, Adrian] British Antarctic Survey, Cambridge CB3 0ET, England; [Joughin, Ian] Univ Washington, Seattle, WA 98195 USA; [Motyka, Roman; Truffer, Martin] Univ Alaska Fairbanks, Fairbanks, AK USA; [Pfeffer, W. Tad] Univ Colorado, Boulder, CO 80309 USA; [Price, Stephen F.] Los Alamos Natl Lab, Los Alamos, NM USA; [Rignot, Eric] Univ Calif Irvine, Irvine, CA USA; [Rignot, Eric] CALTECH, Jet Prop Lab, Pasadena, CA USA; [Scambos, Ted] Univ Colorado, Natl Snow &amp; Ice Data Ctr, Boulder, CO 80309 USA; [Vieli, Andreas] Univ Durham, Durham, England</t>
  </si>
  <si>
    <t>Woods Hole Oceanographic Institution; Massachusetts Institute of Technology (MIT); Princeton University; National Oceanic Atmospheric Admin (NOAA) - USA; University of Maine System; University of Maine Orono; University of Texas System; University of Texas Austin; UK Research &amp; Innovation (UKRI); Natural Environment Research Council (NERC); NERC British Antarctic Survey; University of Washington; University of Washington Seattle; University of Alaska System; University of Alaska Fairbanks; University of Colorado System; University of Colorado Boulder; United States Department of Energy (DOE); Los Alamos National Laboratory; University of California System; University of California Irvine; National Aeronautics &amp; Space Administration (NASA); NASA Jet Propulsion Laboratory (JPL); California Institute of Technology; University of Colorado System; University of Colorado Boulder; Durham University</t>
  </si>
  <si>
    <t>Straneo, F (corresponding author), Woods Hole Oceanog Inst, Mail Stop 21,266 Woods Hole Rd, Woods Hole, MA 02543 USA.</t>
  </si>
  <si>
    <t>fstraneo@whoi.edu</t>
  </si>
  <si>
    <t>Joughin, Ian/AAR-7778-2021; Sergienko, Olga/HII-8500-2022; Joughin, Ian R/A-2998-2008; Jenkins, Adrian/IUN-2406-2023; Rignot, Eric/A-4560-2014; Griffies, Stephen Matthew/N-9144-2019; Vieli, Andreas/A-6767-2011; Catania, Ginny/B-9787-2008; Price, Stephen/E-1568-2013; Heimbach, Patrick/K-3530-2013</t>
  </si>
  <si>
    <t>Joughin, Ian/0000-0001-6229-679X; Sergienko, Olga/0000-0002-5764-8815; Joughin, Ian R/0000-0001-6229-679X; Rignot, Eric/0000-0002-3366-0481; Griffies, Stephen Matthew/0000-0002-3711-236X; Straneo, Fiammetta/0000-0002-1735-2366; SCAMBOS, Ted A./0000-0003-4268-6322; Jenkins, Adrian/0000-0002-9117-0616; Vieli, Andreas/0000-0002-2870-5921; Catania, Ginny/0000-0002-7561-5902; Price, Stephen/0000-0001-6878-2553; Heimbach, Patrick/0000-0003-3925-6161</t>
  </si>
  <si>
    <t>Norwegian Centre for International Cooperation in Education (SiU); Natural Environment Research Council [bas0100028] Funding Source: researchfish; Directorate For Geosciences; Office of Polar Programs (OPP) [0934404, 0934534] Funding Source: National Science Foundation; Division Of Ocean Sciences; Directorate For Geosciences [1130008, 1550290] Funding Source: National Science Foundation; Office of Polar Programs (OPP); Directorate For Geosciences [0909552] Funding Source: National Science Foundation; NERC [bas0100028] Funding Source: UKRI</t>
  </si>
  <si>
    <t>Norwegian Centre for International Cooperation in Education (SiU); Natural Environment Research Council(UK Research &amp; Innovation (UKRI)Natural Environment Research Council (NERC));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 NERC(UK Research &amp; Innovation (UKRI)Natural Environment Research Council (NERC))</t>
  </si>
  <si>
    <t>This is a contribution to the activity of the U.S. CLIVAR Working Group on Greenland Ice Sheet-Ocean Interactions (GRISO). Mike Patterson is thanked for his engagement and guidance. The idea for establishment of such a working group originated during the Advanced Climate Dynamics Course (ACDC) 2010 on Ice Sheet-Ocean Interactions at the MIT-Fablab in Lyngen, Norway (see http://onlinelibrary.wiley.com/doi/10.1029/2010EO450006/abstract), with the Norwegian Centre for International Cooperation in Education (SiU) as its main sponsor. We thank three anonymous reviewers for their comments.</t>
  </si>
  <si>
    <t>0003-0007</t>
  </si>
  <si>
    <t>1520-0477</t>
  </si>
  <si>
    <t>B AM METEOROL SOC</t>
  </si>
  <si>
    <t>Bull. Amer. Meteorol. Soc.</t>
  </si>
  <si>
    <t>10.1175/BAMS-D-12-00100.1</t>
  </si>
  <si>
    <t>205YZ</t>
  </si>
  <si>
    <t>Green Published, Bronze, Green Accepted</t>
  </si>
  <si>
    <t>WOS:000323482200005</t>
  </si>
  <si>
    <t>Blunden, J; Arndt, DS; Achberger, C; Ackerman, SA; Albanil, A; Alexander, P; Alfaro, EJ; Allan, R; Alves, LM; Amador, JA; Ambenje, P; Andrianjafinirina, S; Antonov, J; Aravequia, JA; Arendt, A; Arévalo, J; Ashik, I; Atheru, Z; Banzon, V; Baringer, MO; Barreira, S; Barriopedro, DE; Beard, G; Becker, A; Behrenfeld, MJ; Bell, GD; Benedetti, A; Bernhard, G; Berrisford, P; Berry, DI; Bhatt, U; Bidegain, M; Bindoff, N; Bissolli, P; Blake, ES; Booneeady, R; Bosilovich, M; Box, JE; Boyer, T; Braathen, GO; Bromwich, DH; Brown, R; Brown, L; Bruhwiler, L; Bulygina, ON; Burgess, D; Burrows, J; Calderón, B; Camargo, SJ; Campbell, J; Cao, Y; Cappelen, J; Carrasco, G; Chambers, DP; Chang'a, L; Chappell, P; Chehade, W; Cheliah, M; Christiansen, HH; Christy, JR; Ciais, P; Coelho, CAS; Cogley, JG; Colwell, S; Cross, JN; Crouch, J; Cunningham, SA; Dacic, M; De Jeu, RAM; Dekaa, FS; Demircan, M; Derksen, C; Diamond, HJ; Dlugokencky, EJ; Dohan, K; Dolman, AJ; Domingues, CM; Dong, SF; Dorigo, WA; Drozdov, DS; Duguay, CR; Dunn, RJH; Dúran-Quesada, AM; Dutton, GS; Ehmann, C; Elkins, JW; Euscátegui, C; Famiglietti, JS; Fang, F; Fauchereau, N; Feely, RA; Fekete, BM; Fenimore, C; Fioletov, VE; Fogarty, CT; Fogt, RL; Folland, CK; Foster, MJ; Frajka-Williams, E; Franz, BA; Frith, SH; Frolov, I; Ganter, C; Garzoli, S; Geai, ML; Gerland, S; Gitau, W; Gleason, KL; Gobron, N; Goldenberg, SB; Goni, G; Good, SA; Gottschalck, J; Gregg, MC; Griffiths, G; Grooss, JU; Guard, C; Gupta, SK; Hall, BD; Halpert, MS; Harada, Y; Hauri, C; Heidinger, AK; Heikkilä, A; Heim, RR; Heimbach, P; Hidalgo, HG; Hilburn, K; Ho, SP; Hobbs, WR; Holgate; Hovsepyan, A; Hu, ZZ; Hughes, P; Hurst, DF; Ingvaldsen, R; Inness, A; Jaimes, E; Jakobsson, M; James, AI; Jeffries, MO; Johns, WE; Johnsen, B; Johnson, GC; Johnson, B; Jones, LT; Jumaux, G; Kabidi, K; Kaiser, JW; Kamga, A; Kang, KK; Kanzow, TO; Kao, HY; Keller, LM; Kennedy, JJ; Key, J; Khatiwala, S; Pour, HK; Kholodov, AL; Khoshkam, M; Kijazi, A; Kikuchi, T; Kim, BM; Kim, SJ; Kimberlain, TB; Knaff, JA; Korshunova, NN; Koskela, T; Kousky, VE; Kramarova, N; Kratz, DP; Krishfield, R; Kruger, A; Kruk, MC; Kumar, A; Lagerloef, GSE; Lakkala, K; Lander, MA; Landsea, CW; Lankhorst, M; Laurila, T; Lazzara, MA; Lee, C; Leuliette, E; Levitus, S; L'Heureux, M; Lieser, J; Lin, II; Liu, YY; Liu, Y; Liu, HX; Liu, YJ; Lobato-Sánchez, R; Locarnini, R; Loeb, NG; Loeng, H; Long, CS; Lorrey, AM; Luhunga, P; Lumpkin, R; Luo, JJ; Lyman, JM; Macdonald, AM; Maddux, BC; Malekela, C; Manney, G; Marchenko, SS; Marengo, JA; Marotzke, J; Marra, JJ; Martínez-Güingla, R; Massom, RA; Mathis, JT; McBride, C; McCarthy, G; McVicar, TR; Mears, C; Meier, W; Meinen, CS; Menéndez, M; Merrifield, MA; Mitchard, E; Mitchum, GT; Montzka, SA; Morcrette, JJ; Mote, T; Mühle, J; Mühr, B; Mullan, AB; Müller, R; Nash, ER; Nerem, RS; Newlin, ML; Newman, PA; Ng'ongolo, H; Nieto, JJ; Nishino, S; Nitsche, H; Noetzli, J; Oberman, NG; Obregón, A; Ogallo, LA; Oludhe, CS; Omar, MI; Overland, J; Oyunjargal, L; Parinussa, RM; Park, GH; Park, EH; Parker, D; Pasch, RJ; Pascual-Ramírez, R; Pelto, MS; Penalba, O; Peng, L; Perovich, DK; Pezza, AB; Phillips, D; Pickart, R; Pinty, B; Pitts, MC; Purkey, SG; Quegan, S; Quintana, J; Rabe, B; Rahimzadeh, F; Raholijao, N; Raiva, I; Rajeevan, M; Ramiandrisoa, V; Ramos, A; Ranivoarissoa, S; Rayner, NA; Rayner, D; Razuveav, VN; Reagan, J; Reid, P; Renwick, J; Revedekar, J; Richter-Menge, J; Rivera, IL; Robinson, DA; Rodell, M; Romanovsky, VE; Ronchail, J; Rosenlof, KH; Sabine, CL; Salvador, MA; Sánchez-Lugo, A; Santee, ML; Sasgen, I; Sawaengphokhai, P; Sayouri, A; Scambos, TA; Schauer, U; Schemm, J; Schlosser, P; Schmid, C; Schreck, C; Semiletov, I; Send, U; Sensoy, S; Setzer, A; Severinghaus, J; Shakhova, N; Sharp, M; Shiklomanov, NI; Siegel, DA; Silva, VBS; Silva, FDS; Sima, F; Simeonov, P; Simmonds, I; Simmons, A; Skansi, M; Smeed, DA; Smethie, WM; Smith, AB; Smith, C; Smith, SL; Smith, TM; Sokolov, V; Srivastava, AK; Stackhouse PW Jr; Stammerjohn, S; Steele, M; Steffen, K; Steinbrecht, W; Stephenson, T; Su, J; Svendby, T; Sweet, W; Takahashi, T; Tanabe, RM; Taylor, MA; Tedesco, M; Teng, WL; Thépaut, JN; Thiaw, WM; Thoman, R; Thompson, P; Thorne, PW; Timmermans, ML; Tobin, S; Toole, J; Trewin, BC; Trigo, RM; Trotman, A; Tschudi, M; van de Wal, RSW; Van der Werf, GR; Vautard, R; Vazquez, JL; Vieira, G; Vincent, L; Vose, RS; Wagner, WW; Wahr, J; Walsh, J; Wang, JH; Wang, CZ; Wang, M; Wang, SH; Wang, L; Wanninkhof, R; Weaver, S; Weber, M; Werdell, PJ; Whitewood, R; Wijffels, S; Wilber, AC; Wild, JD; Willett, KM; Williams, W; Willis, JK; Wolken, G; Wong, T; Woodgate, R; Worthy, D; Wouters, B; Wovrosh, AJ; Xue, Y; Yamada, R; Yin, ZG; Yu, LS; Zhang, LY; Zhang, PQ; Zhao, L; Zhao, J; Zhong, W; Ziemke, J; Zimmermann, S</t>
  </si>
  <si>
    <t>Blunden, Jessica; Arndt, Derek S.; Achberger, Christine; Ackerman, Stephen A.; Albanil, Adelina; Alexander, P.; Alfaro, Eric J.; Allan, Rob; Alves, Lincoln M.; Amador, Jorge A.; Ambenje, Peter; Andrianjafinirina, Solonomenjanahary; Antonov, John; Aravequia, Jose A.; Arendt, A.; Arevalo, Juan; Ashik, I.; Atheru, Zachary; Banzon, Viva; Baringer, Molly O.; Barreira, Sandra; Barriopedro, David E.; Beard, Grant; Becker, Andreas; Behrenfeld, Michael J.; Bell, Gerald D.; Benedetti, Angela; Bernhard, Germar; Berrisford, Paul; Berry, David I.; Bhatt, U.; Bidegain, Mario; Bindoff, Nathan; Bissolli, Peter; Blake, Eric S.; Booneeady, Raj; Bosilovich, Michael; Box, J. E.; Boyer, Tim; Braathen, Geir O.; Bromwich, David H.; Brown, R.; Brown, L.; Bruhwiler, Lori; Bulygina, Olga N.; Burgess, D.; Burrows, John; Calderon, Blanca; Camargo, Suzana J.; Campbell, Jayaka; Cao, Y.; Cappelen, J.; Carrasco, Gualberto; Chambers, Don P.; Chang'a, L.; Chappell, Petra; Chehade, Wissam; Cheliah, Muthuvel; Christiansen, Hanne H.; Christy, John R.; Ciais, Phillipe; Coelho, Caio A. S.; Cogley, J. G.; Colwell, Steve; Cross, J. N.; Crouch, Jake; Cunningham, Stuart A.; Dacic, Milan; De Jeu, Richard A. M.; Dekaa, Francis S.; Demircan, Mesut; Derksen, C.; Diamond, Howard J.; Dlugokencky, Ed J.; Dohan, Kathleen; Dolman, A. Johannes; Domingues, Catia M.; Dong Shenfu; Dorigo, Wouter A.; Drozdov, D. S.; Duguay, Claude R.; Dunn, Robert J. H.; Duran-Quesada, Ana M.; Dutton, Geoff S.; Ehmann, Christian; Elkins, James W.; Euscategui, Christian; Famiglietti, James S.; Fang Fan; Fauchereau, Nicolas; Feely, Richard A.; Fekete, Balazs M.; Fenimore, Chris; Fioletov, Vitali E.; Fogarty, Chris T.; Fogt, Ryan L.; Folland, Chris K.; Foster, Michael J.; Frajka-Williams, Eleanor; Franz, Bryan A.; Frith, Stacey H.; Frolov, I.; Ganter, Catherine; Garzoli, Silvia; Geai, M. -L.; Gerland, S.; Gitau, Wilson; Gleason, Karin L.; Gobron, Nadine; Goldenberg, Stanley B.; Goni, Gustavo; Good, Simon A.; Gottschalck, Jonathan; Gregg, Margarita C.; Griffiths, Georgina; Grooss, Jens-Uwe; Guard, Charles 'Chip'; Gupta, Shashi K.; Hall, Bradley D.; Halpert, Michael S.; Harada, Yayoi; Hauri, C.; Heidinger, Andrew K.; Heikkila, Anu; Heim, Richard R., Jr.; Heimbach, Patrick; Hidalgo, Hugo G.; Hilburn, Kyle; Ho, Shu-peng (Ben); Hobbs, Will R.; Holgate, Simon; Hovsepyan, Anahit; Hu Zeng-Zhen; Hughes, P.; Hurst, Dale F.; Ingvaldsen, R.; Inness, Antje; Jaimes, Ena; Jakobsson, Martin; James, Adamu I.; Jeffries, Martin O.; Johns, William E.; Johnsen, Bjorn; Johnson, Gregory C.; Johnson, Bryan; Jones, Luke T.; Jumaux, Guillaume; Kabidi, Khadija; Kaiser, Johannes W.; Kamga, Andre; Kang, Kyun-Kuk; Kanzow, Torsten O.; Kao, Hsun-Ying; Keller, Linda M.; Kennedy, John J.; Key, J.; Khatiwala, Samar; Pour, H. Kheyrollah; Kholodov, A. L.; Khoshkam, Mahbobeh; Kijazi, Agnes; Kikuchi, T.; Kim, B. -M.; Kim, S. -J.; Kimberlain, Todd B.; Knaff, John A.; Korshunova, Natalia N.; Koskela, T.; Kousky, Vernon E.; Kramarova, Natalya; Kratz, David P.; Krishfield, R.; Kruger, Andries; Kruk, Michael C.; Kumar, Arun; Lagerloef, Gary S. E.; Lakkala, K.; Lander, Mark A.; Landsea, Chris W.; Lankhorst, Matthias; Laurila, T.; Lazzara, Matthew A.; Lee, Craig; Leuliette, Eric; Levitus, Sydney; L'Heureux, Michelle; Lieser, Jan; Lin, I-I; Liu, Y. Y.; Liu, Y.; Liu Hongxing; Liu Yanju; Lobato-Sanchez, Rene; Locarnini, Ricardo; Loeb, Norman G.; Loeng, H.; Long, Craig S.; Lorrey, Andrew M.; Luhunga, P.; Lumpkin, Rick; Luo Jing-Jia; Lyman, John M.; Macdonald, Alison M.; Maddux, Brent C.; Malekela, C.; Manney, Gloria; Marchenko, S. S.; Marengo, Jose A.; Marotzke, Jochem; Marra, John J.; Martinez-Gueingla, Rodney; Massom, Robert A.; Mathis, Jeremy T.; McBride, Charlotte; McCarthy, Gerard; McVicar, Tim R.; Mears, Carl; Meier, W.; Meinen, Christopher S.; Menendez, Melisa; Merrifield, Mark A.; Mitchard, Edward; Mitchum, Gary T.; Montzka, Stephen A.; Morcrette, Jean-Jacques; Mote, Thomas; Muehle, Jens; Muehr, Bernhard; Mullan, A. Brett; Mueller, Rolf; Nash, Eric R.; Nerem, R. Steven; Newlin, Michele L.; Newman, Paul A.; Ng'ongolo, H.; Nieto, Juan Jose; Nishino, S.; Nitsche, Helga; Noetzli, Jeannette; Oberman, N. G.; Obregon, Andre'; Ogallo, Laban A.; Oludhe, Christopher S.; Omar, Mohamed, I; Overland, James; Oyunjargal, Lamjav; Parinussa, Robert M.; Park, Geun-Ha; Park, E-Hyung; Parker, David; Pasch, Richard J.; Pascual-Ramirez, Reynaldo; Pelto, Mauri S.; Penalba, Olga; Peng, L.; Perovich, Don K.; Pezza, Alexandre B.; Phillips, David; Pickart, R.; Pinty, Bernard; Pitts, Michael C.; Purkey, Sarah G.; Quegan, Shaun; Quintana, Juan; Rabe, B.; Rahimzadeh, Fatemeh; Raholijao, Nirivololona; Raiva, I.; Rajeevan, Madhavan; Ramiandrisoa, Voahanginirina; Ramos, Alexandre; Ranivoarissoa, Sahondra; Rayner, Nick A.; Rayner, Darren; Razuveav, Vyacheslav N.; Reagan, James; Reid, Phillip; Renwick, James; Revedekar, Jayashree; Richter-Menge, Jacqueline; Rivera, Ingrid L.; Robinson, David A.; Rodell, Matthew; Romanovsky, Vladimir E.; Ronchail, Josyane; Rosenlof, Karen H.; Sabine, Christopher L.; Salvador, Mozar A.; Sanchez-Lugo, Ahira; Santee, Michelle L.; Sasgen, I.; Sawaengphokhai, P.; Sayouri, Amal; Scambos, Ted A.; Schauer, U.; Schemm, Jae; Schlosser, P.; Schmid, Claudia; Schreck, Carl; Semiletov, Igor; Send, Uwe; Sensoy, Serhat; Setzer, Alberto; Severinghaus, Jeffrey; Shakhova, Natalia; Sharp, M.; Shiklomanov, Nicolai I.; Siegel, David A.; Silva, Viviane B. S.; Silva, Frabricio D. S.; Sima, Fatou; Simeonov, Petio; Simmonds, I.; Simmons, Adrian; Skansi, Maria; Smeed, David A.; Smethie, W. M.; Smith, Adam B.; Smith, Cathy; Smith, Sharon L.; Smith, Thomas M.; Sokolov, V.; Srivastava, A. K.; Stackhouse, Paul W., Jr.; Stammerjohn, Sharon; Steele, M.; Steffen, Konrad; Steinbrecht, Wolfgang; Stephenson, Tannecia; Su, J.; Svendby, T.; Sweet, William; Takahashi, Taro; Tanabe, Raymond M.; Taylor, Michael A.; Tedesco, Marco; Teng, William L.; Thepaut, Jean-Noel; Thiaw, Wassila M.; Thoman, R.; Thompson, Philip; Thorne, Peter W.; Timmermans, M. -L.; Tobin, Skie; Toole, J.; Trewin, Blair C.; Trigo, Ricardo M.; Trotman, Adrian; Tschudi, M.; van de Wal, Roderik S. W.; Van der Werf, Guido R.; Vautard, Robert; Vazquez, J. L.; Vieira, Goncalo; Vincent, Lucie; Vose, Russ S.; Wagner, Wolfgang W.; Wahr, John; Walsh, J.; Wang Junhong; Wang Chunzai; Wang, M.; Wang Sheng-Hung; Wang Lei; Wanninkhof, Rik; Weaver, Scott; Weber, Mark; Werdell, P. Jeremy; Whitewood, Robert; Wijffels, Susan; Wilber, Anne C.; Wild, J. D.; Willett, Kate M.; Williams, W.; Willis, Joshua K.; Wolken, G.; Wong, Takmeng; Woodgate, R.; Worthy, D.; Wouters, B.; Wovrosh, Alex J.; Xue Yan; Yamada, Ryuji; Yin Zungang; Yu Lisan; Zhang Liangying; Zhang Peiqun; Zhao Lin; Zhao, J.; Zhong, W.; Ziemke, Jerry; Zimmermann, S.</t>
  </si>
  <si>
    <t>State of the Climate in 2012</t>
  </si>
  <si>
    <t>SEA-SURFACE-TEMPERATURE; WESTERN NORTH PACIFIC; MADDEN-JULIAN OSCILLATION; OUTGOING LONGWAVE RADIATION; MERIDIONAL HEAT-TRANSPORT; OCEAN THERMAL STRUCTURE; COUPLED KELVIN WAVES; TROPOSPHERIC OZONE CHANGES; BIOMASS BURNING EMISSIONS; FLORIDA CURRENT TRANSPORT</t>
  </si>
  <si>
    <t>For the first time in serveral years, the El Nino-Southern Oscillation did not dominate regional climate conditions around the globe. A weak La Ni a dissipated to ENSOneutral conditions by spring, and while El Nino appeared to be emerging during summer, this phase never fully developed as sea surface temperatures in the eastern conditions. Nevertheless, other large-scale climate patterns and extreme weather events impacted various regions during the year. A negative phase of the Arctic Oscillation from mid-January to early February contributed to frigid conditions in parts of northern Africa, eastern Europe, and western Asia. A lack of rain during the 2012 wet season led to the worst drought in at least the past three decades for northeastern Brazil. Central North America also experienced one of its most severe droughts on record. The Caribbean observed a very wet dry season and it was the Sahel's wettest rainy season in 50 years. Overall, the 2012 average temperature across global land and ocean surfaces ranked among the 10 warmest years on record. The global land surface temperature alone was also among the 10 warmest on record. In the upper atmosphere, the average stratospheric temperature was record or near-record cold, depending on the dataset. After a 30-year warming trend from 1970 to 1999 for global sea surface temperatures, the period 2000-12 had little further trend. This may be linked to the prevalence of La Ni a-like conditions during the 21st century. Heat content in the upper 700 m of the ocean remained near record high levels in 2012. Net increases from 2011 to 2012 were observed at 700-m to 2000-m depth and even in the abyssal ocean below. Following sharp decreases in to the effects of La Ni a, sea levels rebounded to reach records highs in 2012. The increased hydrological cycle seen in recent years continued, with more evaporation in drier locations and more precipitation in rainy areas. In a pattern that has held since 2004, salty areas of the ocean surfaces and subsurfaces were anomalously salty on average, while fresher areas were anomalously fresh. Global tropical cyclone activity during 2012 was near average, with a total of 84 storms compared with the 1981-2010 average of 89. Similar to 2010 and 2011, the North Atlantic was the only hurricane basin that experienced above-normal activity. In this basin, Sandy brought devastation to Cuba and parts of the eastern North American seaboard. All other basins experienced either near-or below-normal tropical cyclone activity. Only three tropical cyclones reached Category 5 intensity-all in Bopha became the only storm in the historical record to produce winds greater than 130 kt south of 7 N. It was also the costliest storm to affect the Philippines and killed more than 1000 residents. Minimum Arctic sea ice extent in September and Northern Hemisphere snow cover extent in June both reached new record lows. June snow cover extent is now declining at a faster rate (-17.6% per decade) than September sea ice extent (-13.0% per decade). Permafrost temperatures reached record high values in northernmost Alaska. A new melt extent record occurred on 11-12 July on the Greenland ice sheet; 97% of the ice sheet showed some form of melt, four times greater than the average melt for this time of year. The climate in Antarctica was relatively stable overall. The largest maximum sea ice extent since records begain in 1978 was observed in September 2012. In the stratosphere, warm air led to the second smallest ozone hole in the past two decades. Even so, the springtime ozone layer above Antarctica likely will not return to its early 1980s state until about 2060. Following a slight decline associated with the global 2 emissions from fossil fuel combustion and cement production reached a record 9.5 +/- 0.5 Pg C in 2011 and a new record of 9.7 +/- 0.5 Pg C is estimated for 2012. Atmospheric CO2 concentrations increased by 2.1 ppm in 2012, to 392.6 ppm. In spring 2012, 2 concentration exceeded 400 ppm at 7 of the 13 Arctic observation sites. Globally, other greenhouse gases including methane and nitrous oxide also continued to rise in concentration and the combined effect now represents a 32% increase in radiative forcing over a 1990 baseline. Concentrations of most ozone depleting substances continued to fall.</t>
  </si>
  <si>
    <t>[Achberger, Christine] Univ Gothenburg, Dept Earth Sci, Gothenburg, Sweden; [Ackerman, Stephen A.; Foster, Michael J.; Heidinger, Andrew K.; Liu, Y.; Pascual-Ramirez, Reynaldo] Univ Wisconsin, Cooperat Inst Meteorol Satellite Studies, Madison, WI USA; [Albanil, Adelina; Lobato-Sanchez, Rene; Vazquez, J. L.] Natl Meteorol Serv Mexico, Mexico City, DF, Mexico; [Alexander, P.; Tedesco, Marco] CUNY City Coll, Dept Earth &amp; Atmospher Sci, New York, NY USA; [Alfaro, Eric J.; Amador, Jorge A.; Calderon, Blanca; Duran-Quesada, Ana M.; Hidalgo, Hugo G.; Rivera, Ingrid L.] Univ Costa Rica, Ctr Geophys Res, San Jose, Costa Rica; [Alfaro, Eric J.; Amador, Jorge A.; Duran-Quesada, Ana M.; Hidalgo, Hugo G.; Parker, David] Univ Costa Rica, Sch Phys, San Jose, Costa Rica; [Allan, Rob; Dunn, Robert J. H.; Folland, Chris K.; Good, Simon A.; Kennedy, John J.; Rayner, Nick A.; Willett, Kate M.] Met Off Hadley Ctr, Exeter, Devon, England; [Alves, Lincoln M.] INPE, CCST, Sao Paulo, Brazil; [Ambenje, Peter] KMD, Nairobi, Kenya; [Andrianjafinirina, Solonomenjanahary; Newlin, Michele L.; Raholijao, Nirivololona; Ramiandrisoa, Voahanginirina; Ranivoarissoa, Sahondra] Direct Meteorol Natl Madagascar, Antananarivo, Madagascar; [Antonov, John; Boyer, Tim; Gregg, Margarita C.; Levitus, Sydney; Locarnini, Ricardo] NOAA NESDIS Natl Oceanog Data Ctr, Silver Spring, MD USA; [Antonov, John] Univ Corp Atmospher Res, Boulder, CO USA; [Aravequia, Jose A.; Marchenko, S. S.] INPE, Ctr Previsao Tempo &amp; Estudos Climat, Sao Paulo, Brazil; [Arendt, A.; Bhatt, U.; Jeffries, Martin O.; Kholodov, A. L.; Romanovsky, Vladimir E.] Univ Alaska Fairbanks, Geophys Inst, Fairbanks, AK USA; [Arevalo, Juan] Inst Nacl Meteorol &amp; Hidrol Venezuela INAMEH, Caracas, Venezuela; [Arndt, Derek S.; Banzon, Viva; Crouch, Jake; Fenimore, Chris; Gleason, Karin L.; Heim, Richard R., Jr.; Hughes, P.; Reagan, James; Sanchez-Lugo, Ahira; Smith, Adam B.; Vose, Russ S.] NOAA NESDIS Natl Climat Data Ctr, Asheville, NC USA; [Ashik, I.; Frolov, I.; Sokolov, V.] Arctic &amp; Antarctic Res Inst, St Petersburg, Russia; [Atheru, Zachary; Meinen, Christopher S.; Park, Geun-Ha] IGAD Climate Predict &amp; Applicat Ctr ICPAC, Nairobi, Kenya; [Baringer, Molly O.; Dong Shenfu; Garzoli, Silvia; Goldenberg, Stanley B.; Goni, Gustavo; Lumpkin, Rick; Schmid, Claudia; Wang Chunzai; Wanninkhof, Rik] NOAA OAR Atlantic Oceanog &amp; Meteorol Lab, Miami, FL USA; [Barreira, Sandra] Argentine Naval Hydrog Serv, Buenos Aires, DF, Argentina; [Barriopedro, David E.] UCM, Madrid, Spain; [Beard, Grant; Ganter, Catherine; Obregon, Andre'] Bur Meteorol, Melbourne, Vic, Australia; [Becker, Andreas] Deutsch Wetterdienst DWD, Offenbach, Germany; [Behrenfeld, Michael J.] Oregon State Univ, Portland, OR USA; [Bell, Gerald D.; Gottschalck, Jonathan; Halpert, Michael S.; Hu Zeng-Zhen; Kousky, Vernon E.; Kumar, Arun; L'Heureux, Michelle; Morcrette, Jean-Jacques; Schemm, Jae; Thiaw, Wassila M.; Weaver, Scott; Wild, J. D.; Xue Yan] NOAA NWS Climate Predict Ctr, College Pk, MD USA; [Benedetti, Angela; Inness, Antje; Jones, Luke T.; Kaiser, Johannes W.; Simmons, Adrian; Thepaut, Jean-Noel] European Ctr Medium Range Weather Forecasts, Reading, Berks, England; [Bernhard, Germar] Biospher Instruments, San Diego, CA USA; [Berrisford, Paul; McCarthy, Gerard] European Ctr Medium Range Weather Forecasts, NCAS Climate, Reading, Berks, England; [Berry, David I.; Rayner, Darren; Smeed, David A.] Natl Oceanog Ctr, Southampton, Hants, England; [Bidegain, Mario] Direcc Nacl Meteorol, Div Climatol, Montevideo, Uruguay; [Bindoff, Nathan] Antarctic Climate &amp; Ecosyst Cooperat Res Ctr, Hobart, Tas, Australia; [Bindoff, Nathan; Wijffels, Susan] CSIRO Marine &amp; Atmospher Labs, Hobart, Tas, Australia; [Bissolli, Peter; Pasch, Richard J.] Deutsch Wetterdienst, Offenbach, Germany; [Blake, Eric S.; Kimberlain, Todd B.; Landsea, Chris W.] NOAA NWS Natl Hurricane Ctr, Miami, FL USA; [Blunden, Jessica; Kruk, Michael C.; Yin Zungang] NOAA NESDIS Natl Climat Data Ctr, ERT Inc, Asheville, NC USA; [Booneeady, Raj] Mauritius Meteorol Serv, Vacoas, Mauritius; [Bosilovich, Michael; Cheliah, Muthuvel] NASA GSFC, Global Modeling &amp; Assimilat Off, Greenbelt, MD USA; [Box, J. E.] Geol Survey Denmark &amp; Greenland, Copenhagen, Denmark; [Box, J. E.; Bromwich, David H.; Wang Sheng-Hung] Ohio State Univ, Byrd Polar Res Ctr, Columbus, OH USA; [Braathen, Geir O.] WMO Atmospher Environm Res Div, Geneva, Switzerland; [Brown, R.] Environm Canada, Climate Res Div, Montreal, PQ, Canada; [Brown, L.; Montzka, Stephen A.] Environm Canada, Climate Res Div, Downsview, ON, Canada; [Bruhwiler, Lori; Dlugokencky, Ed J.; Elkins, James W.; Hall, Bradley D.; Rosenlof, Karen H.] NOAA OAR Earth Syst Res Lab, Boulder, CO USA; [Bulygina, Olga N.; Razuveav, Vyacheslav N.] Russian Inst Hydrometeorol Informat, Obninsk, Russia; [Burgess, D.; Smith, Sharon L.] Nat Resources Canada, Geol Survey Canada, Ottawa, ON, Canada; [Burrows, John; Takahashi, Taro] Univ Bremen, Bremen, Germany; [Camargo, Suzana J.; Khatiwala, Samar; Schlosser, P.; Smethie, W. M.] Columbia Univ, Lamont Doherty Earth Observ, Palisades, NY USA; [Campbell, Jayaka; Stephenson, Tannecia; Taylor, Michael A.] Univ West Indies, Dept Phys, Kingston, Jamaica; [Cao, Y.; Su, J.; Zhao, J.; Zhong, W.] Ocean Univ China, Qingdao, Peoples R China; [Cappelen, J.] Danish Meteorol Inst, Copenhagen, Denmark; [Carrasco, Gualberto] Serv Nacl Meteorol &amp; Hidrol Bolivia SENAMHI, La Paz, Bolivia; [Chambers, Don P.; Malekela, C.; Ng'ongolo, H.] Univ S Florida, Coll Marine Sci, St Petersburg, FL USA; [Chang'a, L.; Kijazi, Agnes; Luhunga, P.] Tanzania Meteorol Agcy, Dar Es Salaam, Tanzania; [Chappell, Petra; Griffiths, Georgina; Lorrey, Andrew M.; Weber, Mark] Natl Inst Water &amp; Atmosphere Res Ltd, Auckland, New Zealand; [Chehade, Wissam] Univ Bremen FBI, Bremen, Germany; [Christiansen, Hanne H.] Univ Ctr Svalbard, Dept Geol, UNIS, Svalbard, Norway; [Christiansen, Hanne H.] Univ Oslo, Dept Geosci, Oslo, Norway; [Christy, John R.; Vautard, Robert] Univ Alabama, Huntsville, AL USA; [Ciais, Phillipe] CEA CNR UVSQ, LSCE, Gif Sur Yvette, France; [Coelho, Caio A. S.] CPTEC INPE Ctr Weather Forecasts &amp; Climate Studies, Cachoeira Paulista, Brazil; [Cogley, J. G.] Trent Univ, Dept Geog, Peterborough, ON, Canada; [Colwell, Steve] British Antarctic Survey, Cambridge, England; [Cross, J. N.; Hauri, C.] Univ Alaska Fairbanks, Sch Fisheries &amp; Ocean Sci, Fairbanks, AK USA; [Cunningham, Stuart A.] Scottish Marine Inst Oban, Argyll, Scotland; [Dacic, Milan; Parinussa, Robert M.] Republ Hydrometeorol Serv Serbia, Belgrade, Serbia; [De Jeu, Richard A. M.; Dolman, A. Johannes; Van der Werf, Guido R.] Vrije Univ Amsterdam, Dept Earth Sci, Fac Earth &amp; Life Sci, Amsterdam, Netherlands; [Dekaa, Francis S.; James, Adamu I.; Sensoy, Serhat] Nigerian Meteorol Agency, Abuja, Nigeria; [Demircan, Mesut] Turkish State Meteorol Serv, Ankara, Turkey; [Derksen, C.; Worthy, D.] Environm Canada, Climate Res Div, Toronto, ON, Canada; [Diamond, Howard J.] NOAA NESDIS Natl Climat Data Ctr, Silver Spring, MD USA; [Dohan, Kathleen; Lagerloef, Gary S. E.] Earth &amp; Space Res, Seattle, WA USA; [Domingues, Catia M.] Antarctic Climate &amp; Ecosyst Cooperat Res Ctr, Hobart, Tas, Australia; [Dong Shenfu; Garzoli, Silvia] Cooperat Inst Marine &amp; Atmospher Sci, Miami, FL USA; [Dorigo, Wouter A.; Wagner, Wolfgang W.] Vienna Univ Technol, Dept Geodesy &amp; Geoinformat, Vienna, Austria; [Drozdov, D. S.] Earth Cryosphere Inst, Tumen, Russia; [Duguay, Claude R.; Kang, Kyun-Kuk; Pour, H. Kheyrollah] Univ Waterloo, Interdisciplinary Ctr Climate Change, Waterloo, ON, Canada; [Duguay, Claude R.; Kang, Kyun-Kuk; Pour, H. Kheyrollah] Univ Waterloo, Dept Geog &amp; Environm Management, Waterloo, ON, Canada; [Dutton, Geoff S.; Hurst, Dale F.; Wahr, John] Univ Colorado, Cooperat Inst Res Environm Sci, Boulder, CO USA; [Ehmann, Christian] KIT, Inst Meteorol &amp; Climate Res IMK, Karlsruhe, Germany; [Euscategui, Christian] Inst Hidrol Meteorol &amp; Estudios Ambientales, Bogota, Colombia; [Famiglietti, James S.] Univ Calif Irvine, Dept Earth Syst Sci, Irvine, CA USA; [Fang Fan] NASA, Goddard Earth Sci Data &amp; Informat Serv Ctr, Greenbelt, MD USA; [Fauchereau, Nicolas] Natl Inst Water &amp; Atmospher Res Ltd, Auckland, New Zealand; [Fauchereau, Nicolas; Overland, James] Univ Cape Town, Dept Oceanog, Rondebosch, South Africa; [Feely, Richard A.; Johnson, Gregory C.; Purkey, Sarah G.; Sabine, Christopher L.] NOAA OAR Pacific Marine Environ Lab, Seattle, WA USA; [Fekete, Balazs M.] CUNY City Coll, CUNY Environm CrossRd Initiat, New York, NY USA; [Fioletov, Vitali E.] Environm Canada, Measurements &amp; Anal Res Sect, Toronto, ON, Canada; [Fogarty, Chris T.] Environm Canada, Canadian Hurricane Ctr, Dartmouth, NS, Canada; [Fogt, Ryan L.; Wovrosh, Alex J.] Ohio Univ, Dept Geog, Athens, OH USA; [Frajka-Williams, Eleanor] Natl Oceanog Ctr, Southampton, Hants, England; [Franz, Bryan A.; Frith, Stacey H.; Werdell, P. Jeremy; Ziemke, Jerry] NASA Goddard Space Flight Ctr, Greenbelt, MD USA; [Geai, M. -L.; Sharp, M.] Univ Alberta, Dept Earth &amp; Atmospher Sci, Edmonton, AB, Canada; [Gerland, S.] Norwegian Polar Res Inst, Fram Ctr, Tromso, Norway; [Gitau, Wilson; Oludhe, Christopher S.; Pinty, Bernard] Univ Nairobi, Dept Meteorol, Nairobi, Kenya; [Gobron, Nadine] European Commiss, Joint Res Ctr, Inst Environm &amp; Sustainabil, I-21027 Ispra, Italy; Cooperat Inst Marine &amp; Atmospher Sci, Miami, FL 33149 USA; Univ Alberta, Dept Earth &amp; Atmospher Sci, Edmonton, AB T6G 2M7, Canada; Fram Ctr, Norwegian Polar Inst, N-9296 Tromso, Norway; [Gupta, Shashi K.; Sawaengphokhai, P.; Wilber, Anne C.] Sci Syst &amp; Applicat Inc, Hampton, VA 23666 USA; [Harada, Yayoi] Japan Meteorol Agency, Climate Predict Div, Tokyo, Japan; [Heikkila, Anu; Koskela, T.; Laurila, T.] Finnish Meteorol Inst, Helsinki, Finland; [Heimbach, Patrick; Mears, Carl] MIT, Boston, MA USA; [Hilburn, Kyle] Remote Sensing Syst, Santa Rosa, CA 95401 USA; [Ho, Shu-peng (Ben); Muehle, Jens; Peng, L.] UCAR COSMIC, Boulder, CO USA; [Hobbs, Will R.; Lankhorst, Matthias; Send, Uwe; Severinghaus, Jeffrey] Univ Calif San Diego, Scripps Inst Oceanography, La Jolla, CA 92093 USA; [Hovsepyan, Anahit] Climate Res Div, Armstatehydromet, Armenia; [Ingvaldsen, R.; Loeng, H.] Inst Marine Res, Bergen, Norway; [Jakobsson, Martin] Stockholm Univ, Dept Geol Sci, Stockholm, Sweden; [Johns, William E.] Rosenstiel Sch Marine &amp; Atmospher Sci, Miami, FL USA; [Johnsen, Bjorn] Norwegian Radiat Protect Author, Osteras, Norway; [Johnson, Bryan] NOAA OAR Earth Syst Res Lab, Global Monitoring Div, Boulder, CO USA; [Johnson, Bryan; Tschudi, M.; Wahr, John] Univ Colorado, Boulder, CO 80309 USA; [Jumaux, Guillaume] Meteo France, St Denis, Reunion, France; [Kabidi, Khadija; Sayouri, Amal] Direct Meteorol Natl Maroc, Rabat, Morocco; [Kaiser, Johannes W.] Kings Coll London, London WC2R 2LS, England; [Kaiser, Johannes W.] Max Planck Inst, Mainz, Germany; [Kamga, Andre; Raiva, I.] African Ctr Meteorol Applicat Dev, Niamey, Niger; [Kanzow, Torsten O.] Helmholtz Ctr Ocean Res Kiel GEOMAR, Kiel, Germany; [Kao, Hsun-Ying] Earth &amp; Space Res, Seattle, WA USA; [Keller, Linda M.] Univ Wisconsin Madison, Dept Atmospher &amp; Ocean Sci, Madison, WI USA; [Key, J.; Smith, Thomas M.] NOAA NESDIS Ctr Satellite Applicat &amp; Res, Madison, WI USA; Univ Alaska Fairbanks, Geophys Inst, Fairbanks, AK USA; [Khoshkam, Mahbobeh; Nishino, S.] IRIMO, Tehran, Iran; [Kikuchi, T.] Japan Agcy Marine Earth Sci &amp; Technol, Tokyo, Japan; [Kim, B. -M.; Kim, S. -J.] Korea Polar Res Inst, Inchon, South Korea; [Knaff, John A.] NOAA, NESDIS Ctr Satellite Applicat &amp; Res, Ft Collins, CO USA; [Korshunova, Natalia N.; Nash, Eric R.] World Data Ctr, All Russian Res Inst Hydrometeorol Informat, Obninsk, Russia; [Kramarova, Natalya] NASA, Goddard Space Flight Ctr, Sci Syst &amp; Applicat Inc, Greenbelt, MD USA; [Kratz, David P.; Loeb, Norman G.; Pitts, Michael C.; Stackhouse, Paul W., Jr.; Wong, Takmeng] NASA, Langley Res Ctr, Hampton, VA USA; [Krishfield, R.; Macdonald, Alison M.; McBride, Charlotte; Pickart, R.; Toole, J.; Yu Lisan] Woods Hole Oceanog Inst, Woods Hole, MA USA; [Kruger, Andries] South African Weather Serv, Pretoria, South Africa; [Lakkala, K.] Arctic Res Ctr, Finnish Meteorol Inst, Sodankyla, Finland; [Lander, Mark A.] Univ Guam, Mangilao, GU USA; Finnish Meteorol Inst, Helsinki, Finland; [Lazzara, Matthew A.] Univ Wisconsin, Space Sci &amp; Engn Ctr, Madison, WI USA; [Lee, Craig; Woodgate, R.] Univ Washington, Appl Phys Lab, Seattle, WA USA; [Leuliette, Eric; Massom, Robert A.] NOAA, NESDIS Lab Satellite Altimetry, Silver Spring, MD USA; [Lieser, Jan] Univ Tasmania, ACE CRC, Hobart, Tas, Australia; [Lin, I-I] Natl Taiwan Univ, Taipei, Taiwan; [Liu, Y. Y.] Univ New S Wales, Sch Civil &amp; Environm Engn, Sydney, NSW, Australia; [Liu Hongxing] Univ Cincinnati, Dept Geog, Cincinnati, OH USA; [Liu Yanju] China Meteorol Adm, Natl Climate Ctr, Beijing, Peoples R China; NASA, Langley Res Ctr, Hampton, VA USA; [Long, Craig S.] NOAA, NWS Natl Ctr Environm Predict, College Pk, MD USA; [Luo Jing-Jia; Mathis, Jeremy T.] Ctr Australian Weather &amp; Climate Res, Melbourne, Vic, Australia; [Lyman, John M.; Merrifield, Mark A.] NOAA, OAR Pacific Marine Environm Lab, Seattle, WA USA; [Lyman, John M.; Maddux, Brent C.; Thompson, Philip] Univ Hawaii, Joint Inst Marine &amp; Atmospher Res, Honolulu, HI USA; [Maddux, Brent C.] Univ Wisconsin, AOS CIMSS, Madison, WI USA; [Manney, Gloria] KNMI Royal Netherlands Meteorol Inst, De Bilt, Netherlands; [Manney, Gloria] NW Res Associates Inc, Socorro, NM USA; [Marengo, Jose A.] New Mexico Inst Min &amp; Technol, Socorro, NM USA; [Marotzke, Jochem] CCST, INPE, Sao Paulo, Brazil; [Marra, John J.] Max Planck Inst Meteorol, Hamburg, Germany; [Martinez-Gueingla, Rodney; Nieto, Juan Jose] NOAA, NESDIS Natl Climat Data Ctr, Honolulu, HI USA; CIIFEN, Guayaquil, Ecuador; [McVicar, Tim R.] Univ Tasmania, Australian Antarctic Div, Hobart, Tas, Australia; [Meier, W.] CSIRO Land &amp; Water, Canberra, ACT, Australia; [Menendez, Melisa] Univ Colorado, Natl Snow &amp; Ice Data Ctr, Cooperat Inst Res Environm Sci, Boulder, CO USA; [Mitchard, Edward] Univ Cantabria, Environm Hydraul Inst, Santander, Spain; [Mitchum, Gary T.] Univ Edinburgh, Sch Geosci, Edinburgh, Midlothian, Scotland; Univ S Florida, Coll Marine Sci, St Petersburg, FL USA; [Mote, Thomas] NOAA, OAR Earth Syst Res Lab, Boulder, CO USA; [Muehr, Bernhard] Univ Georgia, Dept Geog, Athens, GA USA; [Mullan, A. Brett] Lacunosa Weather Serv, Karlsruhe, Germany; [Mueller, Rolf] Natl Inst Water &amp; Atmospher Res Ltd, Wellington, New Zealand; [Grooss, Jens-Uwe; Nerem, R. Steven] Forschungszentrum Julich, Julich, Germany; [Newman, Paul A.] Univ Colorado, Dept Aerosp Engn Sci, Boulder, CO USA; [Nitsche, Helga] NASA, Atmospheres Lab, Goddard Space Flight Ctr, Greenbelt, MD USA; [Noetzli, Jeannette] Deutscher Wetterdienst DWD, Climate Monitoring Satellite Applicat Facil, Offenbach, Germany; [Oberman, N. G.] Univ Zurich, Dept Geog, Zurich, Switzerland; [Obregon, Andre'] MIREKO, Syktyvkar, Russia; [Ogallo, Laban A.] WMO RA VI Reg Climate Ctr Climate Monitoring, Offenbach, Germany; IGAD Climate Predict &amp; Applicat Ctr ICPAC, Nairobi, Kenya; [Omar, Mohamed, I] Egyptian Meteorol Author, Cairo, Egypt; [Oyunjargal, Lamjav] Natl Agcy Meteorol Hydrol &amp; Environm Monitoring, Inst Meteorol &amp; Hydrol, Ulaanbaatar, Mongolia; [Park, E-Hyung] Korea Meteorol Adm, Seoul, South Korea; [Pelto, Mauri S.] Nichols Coll, Dudley, MA USA; [Penalba, Olga] Univ Buenos Aires, Fac Ciencias Exactas &amp; Nat, Dept Ciencias Atmosfera &amp; Oceanos, Buenos Aires, DF, Argentina; [Perovich, Don K.; Richter-Menge, Jacqueline] USACE, ERDC, Cold Reg Res &amp; Engn Lab, Hanover, NH USA; [Perovich, Don K.] Dartmouth Coll, Thayer Sch Engn, Hanover, NH USA; [Pezza, Alexandre B.] Univ Melbourne, Melbourne, Vic, Australia; [Phillips, David; Vincent, Lucie] Environm Canada, Toronto, ON, Canada; [Purkey, Sarah G.; Whitewood, Robert] Univ Washington, Sch Oceanog, Seattle, WA USA; [Quegan, Shaun] Univ Sheffield, Ctr Terr Climate Dynam, Sheffield, S Yorkshire, England; [Quintana, Juan] Direcc Meteorol Chile, Santiago, Chile; [Rabe, B.; Schauer, U.] Alfred Wegener Inst, Bremerhaven, Germany; [Rahimzadeh, Fatemeh] ASMERC, Tehran, Iran; [Rajeevan, Madhavan] Natl Atmospher Res Lab, Gadanki, India; [Ramos, Alexandre; Trigo, Ricardo M.] Univ Lisboa Campo Grande, Inst Dom Luiz, Lisbon, Portugal; [Reid, Phillip] Australian Bur Meteorol, Hobart, Tas, Australia; [Reid, Phillip] Ctr Australian Weather &amp; Climate Res, Hobart, Tas, Australia; [Renwick, James] Victoria Univ Wellington, Wellington, New Zealand; [Revedekar, Jayashree] Indian Inst Trop Meteorol, Pune, Maharashtra, India; [Robinson, David A.] Rutgers State Univ, Piscataway, NJ USA; [Rodell, Matthew] NASA, Hydrol Sci Lab, Goddard Space Flight Ctr, Greenbelt, MD USA; [Ronchail, Josyane] Univ Paris, Paris, France; [Salvador, Mozar A.; Silva, Frabricio D. S.] INMET, Inst Nacl Meteorol, Brasilia, DF, Brazil; [Santee, Michelle L.] NASA, Jet Propuls Lab, Pasadena, CA USA; [Sasgen, I.] GFZ German Res Ctr Geosci, Potsdam, Germany; [Scambos, Ted A.] Univ Colorado, Natl Snow &amp; Ice Data Ctr, Boulder, CO USA; [Schreck, Carl; Thorne, Peter W.] NC State Univ, Cooperat Inst Climate &amp; Satellites, Asheville, NC USA; [Semiletov, Igor; Shakhova, Natalia; Walsh, J.] Univ Alaska Fairbanks, Int Arctic Res Ctr, Fairbanks, AK USA; [Setzer, Alberto] Natl Inst Space Res, Sao Jose Dos Campos, Brazil; [Shiklomanov, Nicolai I.] George Washington Univ, Dept Geog, Washington, DC USA; [Siegel, David A.] Univ Calif Santa Barbara, Santa Barbara, CA USA; [Silva, Viviane B. S.] NOAA, NWS Off Climate Water &amp; Weather Serv, Silver Spring, MD USA; [Sima, Fatou] Dept Water Resources, Div Meteorol, Banjul, Gambia; [Simeonov, Petio] BAS, Natl Inst Meteorol &amp; Hydrol, Sofia, Bulgaria; [Simmonds, I.] Univ Melbourne, Sch Earth Sci, Melbourne, Vic, Australia; [Skansi, Maria] Serv Meteorol Nacl, Buenos Aires, DF, Argentina; [Smith, Cathy] NOAA, OAR, Earth Syst Res Lab, Phys Sci Div, Boulder, CO USA; [Smith, Cathy] Climate Diagnost Ctr, Cooperat Inst Res Environm Sci, Boulder, CO USA; NOAA, NESDIS, Ctr Satellite Applicat &amp; Res, College Pk, MD USA; [Smith, Thomas M.] Univ Maryland, Cooperat Inst Climate &amp; Satellites, College Pk, MD USA; [Srivastava, A. K.] Indian Meteorol Dept, Pune, Maharashtra, India; [Stammerjohn, Sharon] Univ Colorado, Inst Arctic &amp; Alpine Res, Boulder, CO USA; [Steele, M.] Univ Washington, Appl Phys Lab, Seattle, WA USA; [Steffen, Konrad] Swiss Fed Res Inst WSL, Birmensdorf, Switzerland; [Steinbrecht, Wolfgang] DWD German Weather Serv, Hohenpeissenberg, Germany; [Svendby, T.] Norwegian Inst Air Res, Kjeller, Norway; [Sweet, William] NOAA, NOS, Ctr Operat Oceanog Prod &amp; Serv, Honolulu, HI USA; [Tanabe, Raymond M.] NOAA, NWS, Cent Pacific Hurricane Ctr, Honolulu, HI USA; [Teng, William L.] NASA, Goddard Earth Sci Data &amp; Informat Serv Ctr ADNET, Greenbelt, MD USA; [Thoman, R.] NOAA, NWS Weather Forecast Off, Fairbanks, AK USA; [Timmermans, M. -L.] Yale Univ, New Haven, CT USA; [Tobin, Skie; Trewin, Blair C.] Australian Bur Meteorol, Melbourne, Vic, Australia; [Trotman, Adrian] Caribbean Inst Meteorol &amp; Hydrol, Bridgetown, Barbados; [van de Wal, Roderik S. W.] Univ Utrecht, Inst Marine &amp; Atmospher Res Utrecht, Utrecht, Netherlands; [Vieira, Goncalo] Univ Lisbon, Dept Geog, Lisbon, Portugal; [Wouters, B.] Univ Colorado, Dept Phys, Boulder, CO USA; [Wang Junhong; Zhang Liangying] NCAR, Earth Observing Lab, Boulder, CO USA; [Wang Junhong] SUNY Albany, Dept Atmospher &amp; Environm Sci, Albany, NY USA; [Wang, M.] Univ Washington, Joint Inst Study Atmosphere &amp; Ocean, Seattle, WA USA; [Wang Lei] LA State Univ, Dept Geog &amp; Anthropol, Baton Rouge, LA USA; [Williams, W.; Zimmermann, S.] Fisheries &amp; Oceans Canada, Inst Ocean Sci, Sidney, BC, Canada; [Willis, Joshua K.] CALTECH, Jet Propuls Lab, Pasadena, CA USA; [Wolken, G.] Alaska Div Geol &amp; Geophys Surveys, Fairbanks, AK USA; [Wouters, B.] Univ Bristol, Sch Geog Sci, Bristol, Avon, England; [Yamada, Ryuji] Japan Meteorol Agcy, Tokyo Climate Ctr, Climate Predict Div, Tokyo, Japan; [Zhang Peiqun] Beijing Climate Ctr, Beijing, Peoples R China; [Zhao Lin] Cold &amp; Arid Reg Environm &amp; Engn Res Inst, Lanzhou, Peoples R China</t>
  </si>
  <si>
    <t>University of Gothenburg; University of Wisconsin System; University of Wisconsin Madison; City University of New York (CUNY) System; City College of New York (CUNY); Universidad Costa Rica; Universidad Costa Rica; Met Office - UK; Hadley Centre; Instituto Nacional de Pesquisas Espaciais (INPE); National Center Atmospheric Research (NCAR) - USA; Instituto Nacional de Pesquisas Espaciais (INPE); University of Alaska System; University of Alaska Fairbanks; National Oceanic Atmospheric Admin (NOAA) - USA; Arctic &amp; Antarctic Research Institute; National Oceanic Atmospheric Admin (NOAA) - USA; Atlantic Oceanographic &amp; Meteorological Laboratory (AOML); Complutense University of Madrid; Bureau of Meteorology - Australia; Deutscher Wetterdienst; Oregon State University; European Centre for Medium-Range Weather Forecasts (ECMWF); UK Research &amp; Innovation (UKRI); Natural Environment Research Council (NERC); NERC National Centre for Atmospheric Science; European Centre for Medium-Range Weather Forecasts (ECMWF); University of Reading; NERC National Oceanography Centre; Antarctic Climate &amp; Ecosystems Cooperative Research Centre (ACE CRC); Commonwealth Scientific &amp; Industrial Research Organisation (CSIRO); National Oceanic Atmospheric Admin (NOAA) - USA; National Hurricane Center, NOAA; National Oceanic Atmospheric Admin (NOAA) - USA; National Aeronautics &amp; Space Administration (NASA); NASA Goddard Space Flight Center; Geological Survey Of Denmark &amp; Greenland; University System of Ohio; Ohio State University; Environment &amp; Climate Change Canada; Environment &amp; Climate Change Canada; Natural Resources Canada; Lands &amp; Minerals Sector - Natural Resources Canada; Geological Survey of Canada; University of Bremen; Columbia University; University West Indies Mona Jamaica; Ocean University of China; Danish Meteorological Institute DMI; State University System of Florida; University of South Florida; National Institute of Water &amp; Atmospheric Research (NIWA) - New Zealand; University of Bremen; University Centre Svalbard (UNIS); University of Oslo; University of Alabama System; University of Alabama Huntsville; CEA; Centre National de la Recherche Scientifique (CNRS); Universite Paris Saclay; Trent University; UK Research &amp; Innovation (UKRI); Natural Environment Research Council (NERC); NERC British Antarctic Survey; University of Alaska System; University of Alaska Fairbanks; Vrije Universiteit Amsterdam; Ministry of Forestry &amp; Water Affairs - Turkey; Environment &amp; Climate Change Canada; National Oceanic Atmospheric Admin (NOAA) - USA; Antarctic Climate &amp; Ecosystems Cooperative Research Centre (ACE CRC); Technische Universitat Wien; University of Waterloo; University of Waterloo; University of Colorado System; University of Colorado Boulder; Helmholtz Association; Karlsruhe Institute of Technology; University of California System; University of California Irvine; National Aeronautics &amp; Space Administration (NASA); National Institute of Water &amp; Atmospheric Research (NIWA) - New Zealand; University of Cape Town; City University of New York (CUNY) System; City College of New York (CUNY); Environment &amp; Climate Change Canada; Environment &amp; Climate Change Canada; University System of Ohio; Ohio University; NERC National Oceanography Centre; National Aeronautics &amp; Space Administration (NASA); NASA Goddard Space Flight Center; University of Alberta; Norwegian Polar Institute; University of Nairobi; European Commission Joint Research Centre; EC JRC ISPRA Site; University of Alberta; Norwegian Polar Institute; Science Systems and Applications Inc; Japan Meteorological Agency; Finnish Meteorological Institute; Massachusetts Institute of Technology (MIT); University of California System; University of California San Diego; Scripps Institution of Oceanography; Institute of Marine Research - Norway; Stockholm University; University of Colorado System; University of Colorado Boulder; Meteo France; University of London; King's College London; Max Planck Society; Helmholtz Association; GEOMAR Helmholtz Center for Ocean Research Kiel; University of Wisconsin System; University of Wisconsin Madison; National Oceanic Atmospheric Admin (NOAA) - USA; University of Alaska System; University of Alaska Fairbanks; Japan Agency for Marine-Earth Science &amp; Technology (JAMSTEC); Korea Institute of Ocean Science &amp; Technology (KIOST); Korea Polar Research Institute (KOPRI); National Oceanic Atmospheric Admin (NOAA) - USA; Science Systems and Applications Inc; National Aeronautics &amp; Space Administration (NASA); NASA Goddard Space Flight Center; National Aeronautics &amp; Space Administration (NASA); NASA Langley Research Center; Woods Hole Oceanographic Institution; South African Weather Service (SAWS); Finnish Meteorological Institute; University of Guam; Finnish Meteorological Institute; University of Wisconsin System; University of Wisconsin Madison; University of Washington; University of Washington Seattle; National Oceanic Atmospheric Admin (NOAA) - USA; Antarctic Climate &amp; Ecosystems Cooperative Research Centre (ACE CRC); University of Tasmania; National Taiwan University; University of New South Wales Sydney; University System of Ohio; University of Cincinnati; China Meteorological Administration; National Aeronautics &amp; Space Administration (NASA); NASA Langley Research Center; National Oceanic Atmospheric Admin (NOAA) - USA; Commonwealth Scientific &amp; Industrial Research Organisation (CSIRO); National Oceanic Atmospheric Admin (NOAA) - USA; University of Hawaii System; University of Wisconsin System; University of Wisconsin Madison; Royal Netherlands Meteorological Institute; NorthWest Research Associates; New Mexico Institute of Mining Technology; Instituto Nacional de Pesquisas Espaciais (INPE); Max Planck Society; National Oceanic Atmospheric Admin (NOAA) - USA; Australian Antarctic Division; University of Tasmania; Commonwealth Scientific &amp; Industrial Research Organisation (CSIRO); CSIRO Land &amp; Water; University of Colorado System; University of Colorado Boulder; Universidad de Cantabria; IHCantabria - Instituto de Hidraulica Ambiental de la Universidad de Cantabria; University of Edinburgh; State University System of Florida; University of South Florida; National Oceanic Atmospheric Admin (NOAA) - USA; University System of Georgia; University of Georgia; National Institute of Water &amp; Atmospheric Research (NIWA) - New Zealand; Helmholtz Association; Research Center Julich; University of Colorado System; University of Colorado Boulder; National Aeronautics &amp; Space Administration (NASA); NASA Goddard Space Flight Center; Deutscher Wetterdienst; University of Zurich; Egyptian Meteorological Authority; Ministry of Nature Environment &amp;Tourism Mongolia; Korea Meteorological Administration (KMA); University of Buenos Aires; United States Department of Defense; United States Army; U.S. Army Corps of Engineers; U.S. Army Engineer Research &amp; Development Center (ERDC); Cold Regions Research &amp; Engineering Laboratory (CRREL); Dartmouth College; University of Melbourne; Melbourne Bioinformatics; Environment &amp; Climate Change Canada; University of Washington; University of Washington Seattle; University of Sheffield; Helmholtz Association; Alfred Wegener Institute, Helmholtz Centre for Polar &amp; Marine Research; Department of Space (DoS), Government of India; National Atmospheric Research Laboratory (NARL); Universidade de Lisboa; Universidade Nova de Lisboa; Bureau of Meteorology - Australia; Commonwealth Scientific &amp; Industrial Research Organisation (CSIRO); Victoria University Wellington; Ministry of Earth Sciences (MoES) - India; Indian Institute of Tropical Meteorology (IITM); Rutgers University System; Rutgers University New Brunswick; National Aeronautics &amp; Space Administration (NASA); NASA Goddard Space Flight Center; Universite Paris Cite; National Aeronautics &amp; Space Administration (NASA); NASA Jet Propulsion Laboratory (JPL); Helmholtz Association; Helmholtz-Center Potsdam GFZ German Research Center for Geosciences; University of Colorado System; University of Colorado Boulder; North Carolina State University; University of Alaska System; University of Alaska Fairbanks; Instituto Nacional de Pesquisas Espaciais (INPE); George Washington University; University of California System; University of California Santa Barbara; National Oceanic Atmospheric Admin (NOAA) - USA; Bulgarian Academy of Sciences; University of Melbourne; Melbourne Bioinformatics; National Oceanic Atmospheric Admin (NOAA) - USA; National Oceanic Atmospheric Admin (NOAA) - USA; University System of Maryland; University of Maryland College Park; Ministry of Earth Sciences (MoES) - India; India Meteorological Department (IMD); University of Colorado System; University of Colorado Boulder; University of Washington; University of Washington Seattle; Swiss Federal Institutes of Technology Domain; Swiss Federal Institute for Forest, Snow &amp; Landscape Research; NILU; National Oceanic Atmospheric Admin (NOAA) - USA; National Ocean Service, NOAA; National Oceanic Atmospheric Admin (NOAA) - USA; National Aeronautics &amp; Space Administration (NASA); National Oceanic Atmospheric Admin (NOAA) - USA; Yale University; Bureau of Meteorology - Australia; Utrecht University; Universidade de Lisboa; University of Colorado System; University of Colorado Boulder; National Center Atmospheric Research (NCAR) - USA; State University of New York (SUNY) System; State University of New York (SUNY) Albany; University of Washington; University of Washington Seattle; Louisiana State University System; Louisiana State University; Fisheries &amp; Oceans Canada; California Institute of Technology; National Aeronautics &amp; Space Administration (NASA); NASA Jet Propulsion Laboratory (JPL); University of Bristol; Japan Meteorological Agency; Chinese Academy of Sciences; Cold &amp; Arid Regions Environmental &amp; Engineering Research Institute, CAS</t>
  </si>
  <si>
    <t>Achberger, C (corresponding author), Univ Gothenburg, Dept Earth Sci, Gothenburg, Sweden.</t>
  </si>
  <si>
    <t>Bernhard, Germar/AAZ-7169-2020; Walsh, John/GQI-2785-2022; Schlosser, Peter/C-6416-2012; Mitchard, Edward T A/C-6346-2009; Noetzli, Jeannette/ABA-4132-2020; Camargo, Suzana J./C-6106-2009; Semiletov, Igor P/B-3616-2013; Keyes, Dennis/AAZ-9285-2021; Thorne, Peter/HZL-3928-2023; Luo, Jing-Jia/B-2481-2008; Reagan/ABE-6875-2020; Müller, Rolf/ABA-8213-2021; Johnson, Gregory C/I-6559-2012; Trigo, Ricardo/Q-8391-2019; Rosenlof, Karen H/B-5652-2008; Wang, Chunzai/C-9712-2009; Garzoli, Silvia/JCP-1471-2023; dos Santos Silva, Fabrício Daniel/AAL-3945-2020; Smith, Thomas M./F-5626-2010; Hurst, Dale/D-1554-2016; Arndt, Derek S/J-3022-2013; Feely, Richard A./ABI-5740-2020; Luo, Jing-Jia/T-9612-2019; Dlugokencky, Edward/AAN-8746-2020; wilber, anne/F-6270-2011; Lumpkin, Rick/C-9615-2009; Wang, Menghua/F-5631-2010; Barriopedro, David/C-1421-2008; Heim, Richard R./H-9667-2017; Bindoff, Nathaniel Lee/IVV-0333-2023; Domingues, Catia M./A-2901-2015; Semiletov, Igor/CAJ-4412-2022; Duguay, Claude R/G-5682-2011; Goldenberg, Stanley/C-5965-2014; Bruhwiler, Lori/AAQ-8502-2020; Kramarova, Natalya A/D-2270-2014; Vautard, Robert/ABF-9489-2020; Zhang, Peiqun/AAQ-5385-2020; Tedesco, Marco/F-7986-2015; Grooß, Jens-Uwe/A-7315-2013; Cooper, Owen/H-4875-2013; Kaiser, Johannes W./GOP-0832-2022; THEPAUT, Jean-Noel/AAK-7546-2020; Jones, Luke/GWQ-5302-2022; Goni, Gustavo J/D-2017-2012; Baringer, Molly O/D-2277-2012; Smeed, David/B-4726-2012; Bulygina, Olga/H-1251-2016; Wang, Muyin/K-4006-2014; Lieser, Jan/J-7157-2014; de Jeu, Richard/AAE-6922-2019; Frajka-Williams, Eleanor/H-2415-2011; Wong, Takmeng/AHD-3691-2022; Wang, JunHong/HKE-0286-2023; Kim, Baek-Min/A-4634-2015; Rajeevan, Madhavan Nair/ABG-8604-2021; Box, Jason/H-5770-2013; Wouters, Bert/AAA-4254-2019; Bindoff, Nathaniel Lee/C-8050-2011; Willis, Josh/AGY-7817-2022; Fioletov, Vitali/AAM-1044-2020; Muhle, Jens/GPX-3244-2022; Hobbs, Will/P-8094-2019; Shakhova, Natalia Evgenievna/H-6691-2016; Diamond, Howard/ABC-9877-2021; L'Heureux, Michelle L/C-7517-2013; Cámara-Obregón, Asun/G-1216-2016; Grooß, Jens-Uwe/N-3305-2019; Vieira, Goncalo/G-5958-2010; Sensoy, Serhat/AGI-2242-2022; McCarthy, Gerard D/L-1954-2013; Drozdov, Dmitry S/N-4264-2018; Dunn, Robert/O-5910-2016; van der Werf, Guido/JXY-9197-2024; Wijffels, Susan E/I-8215-2012; Bromwich, David H/C-9225-2016; Lin, I-I/J-4695-2013; Ho, shu-peng/E-5199-2019; Rabe, Benjamin/G-2999-2011; Famiglietti, James/G-7383-2017; Wong, Takmeng/AHD-3210-2022; Müller, Rolf/A-6669-2013; Heidinger, Andrew/F-5591-2010; Dutton, Geoffrey Scott/V-9977-2019; Schmid, Claudia/D-5875-2013; van de wal, roderik/D-1705-2011; Smith, Adam/AAL-3882-2021; Frolov, Ivan/L-2908-2018; Dong, Shenfu/I-4435-2013; Thompson, Philip R/H-4509-2013; HURST, DALE/AAC-9948-2022; Yu, Lisan/AIB-2264-2022; Thepaut, Jean-Noel/IWU-7629-2023; Heikkilä, Anu M/F-1261-2017; Folland, Chris K/I-2524-2013; Durán-Quesada, Ana María/ABG-4788-2020; Weber, Mark/F-1409-2011; Frith, Stacey/HMD-9437-2023; Hu, Zeng-Zhen/B-4373-2011; Alfaro, Eric/AAV-3131-2021; Loeb, Norman/ABC-7817-2021; McVicar, Tim R/D-8614-2011; Hall, Bradley/HZH-3492-2023; Wagner, Wolfgang/AAC-5507-2019; Bernhard, Germar H/B-4460-2018; Franz, Bryan A/D-6284-2012; Banzon, Viva/D-5499-2014; Hidalgo, Hugo G./I-7170-2019; Lakkala, Kaisa/AAN-4342-2020; Garzoli, Silvia L/A-3556-2010; Ciais, Philippe/A-6840-2011; Werdell, Jeremy/D-8265-2012; Leuliette, Eric/D-1527-2010; dos Santos Silva, Fabrício Daniel FDSS/C-1527-2019; Key, Jeffrey R./AAB-7248-2020; Steffen, Konrad/C-6027-2013; Timmermans, Mary-Louise/N-5983-2014; Meier, Walter/AAI-9583-2021; Coelho, Caio AS/G-4275-2012; montzka, stephen/V-6162-2019; Steinbrecht, Wolfgang/G-6113-2010; Alves, Lincoln M/G-8894-2015; Blunden, Jessica/G-1309-2012; Box, Jason E/AAE-1654-2019; Setzer, Alberto W/HCI-4388-2022; Jakobsson, Martin/JAN-6828-2023; Zhao, Lin/M-9536-2018; Ramos, Alexandre M./A-1998-2009; Thorne, Peter W/F-2225-2014; Burrows, John Philip/AAF-8468-2019; Purkey, Sarah G/K-1983-2012; Santee, MIchelle/R-5762-2019; McBride, Charlotte/GSI-4733-2022; Newman, Paul A./D-6208-2012; Dorigo, Wouter/C-7794-2014; Heimbach, Patrick/K-3530-2013; Derksen, Chris/S-9828-2017; Meinen, Christopher/G-1902-2012; Menendez, Melisa/L-4600-2014; Berry, David/C-1268-2011; Ackerman, Steven/G-1640-2011; sweet, william/D-4310-2019; Knaff, John/F-5599-2010; Rodell, Matthew/E-4946-2012; Schreck, Carl/B-8711-2011; Bloshkina, Ekaterina/I-6901-2015</t>
  </si>
  <si>
    <t>Bernhard, Germar/0000-0002-1264-0756; Walsh, John/0000-0002-2510-8734; Mitchard, Edward T A/0000-0002-5690-4055; Noetzli, Jeannette/0000-0001-9188-6318; Camargo, Suzana J./0000-0002-0802-5160; Luo, Jing-Jia/0000-0003-2181-0638; Reagan/0000-0002-0021-6210; Müller, Rolf/0000-0002-5024-9977; Johnson, Gregory C/0000-0002-8023-4020; Trigo, Ricardo/0000-0002-4183-9852; Rosenlof, Karen H/0000-0002-0903-8270; Wang, Chunzai/0000-0002-7611-0308; dos Santos Silva, Fabrício Daniel/0000-0002-3185-6413; Smith, Thomas M./0000-0001-7469-7849; Hurst, Dale/0000-0002-6315-2322; Arndt, Derek S/0000-0001-7698-6740; Luo, Jing-Jia/0000-0003-2181-0638; Dlugokencky, Edward/0000-0003-0612-6985; Lumpkin, Rick/0000-0002-6690-1704; Wang, Menghua/0000-0001-7019-3125; Barriopedro, David/0000-0001-6476-944X; Bindoff, Nathaniel Lee/0000-0001-5662-9519; Domingues, Catia M./0000-0001-5100-4595; Goldenberg, Stanley/0000-0001-6730-5819; Bruhwiler, Lori/0000-0002-3554-9250; Grooß, Jens-Uwe/0000-0002-9485-866X; Cooper, Owen/0000-0001-7391-1161; Kaiser, Johannes W./0000-0003-3696-9123; Smeed, David/0000-0003-1740-1778; Wang, Muyin/0000-0001-5233-4588; Lieser, Jan/0000-0001-6870-1311; Frajka-Williams, Eleanor/0000-0001-8773-7838; Rajeevan, Madhavan Nair/0000-0002-3000-2459; Box, Jason/0000-0003-0052-8705; Wouters, Bert/0000-0002-1086-2435; Bindoff, Nathaniel Lee/0000-0001-5662-9519; Fioletov, Vitali/0000-0002-2731-5956; Muhle, Jens/0000-0001-9776-3642; Hobbs, Will/0000-0002-2061-0899; Cámara-Obregón, Asun/0000-0003-3747-1642; Grooß, Jens-Uwe/0000-0002-9485-866X; Vieira, Goncalo/0000-0001-7611-3464; Sensoy, Serhat/0000-0002-6150-6035; Dunn, Robert/0000-0003-2469-5989; Lin, I-I/0000-0002-8364-8106; Ho, shu-peng/0000-0002-3010-8544; Rabe, Benjamin/0000-0001-5794-9856; Famiglietti, James/0000-0002-6053-5379; Dutton, Geoffrey Scott/0000-0001-7777-9268; van de wal, roderik/0000-0003-2543-3892; Smith, Adam/0000-0003-2573-3609; Frolov, Ivan/0000-0002-6586-354X; Dong, Shenfu/0000-0001-8247-8072; Thompson, Philip R/0000-0002-0875-4208; HURST, DALE/0000-0002-6315-2322; Yu, Lisan/0000-0003-4157-9154; Folland, Chris K/0000-0002-3143-5918; Durán-Quesada, Ana María/0000-0003-0913-0154; Frith, Stacey/0000-0001-6894-0574; Hu, Zeng-Zhen/0000-0002-8485-3400; Alfaro, Eric/0000-0001-9278-5017; McVicar, Tim R/0000-0002-0877-8285; Hall, Bradley/0000-0002-2451-8416; Wagner, Wolfgang/0000-0001-7704-6857; Hidalgo, Hugo G./0000-0003-4638-0742; Lakkala, Kaisa/0000-0003-2840-1132; Ciais, Philippe/0000-0001-8560-4943; Leuliette, Eric/0000-0002-3425-4039; montzka, stephen/0000-0002-9396-0400; Box, Jason E/0000-0003-0052-8705; Setzer, Alberto W/0000-0002-2466-7366; Zhao, Lin/0000-0003-0245-8413; Ramos, Alexandre M./0000-0003-3129-7233; Burrows, John Philip/0000-0002-6821-5580; McBride, Charlotte/0000-0001-9557-7520; Newman, Paul A./0000-0003-1139-2508; Lazzara, Matthew/0000-0002-4343-498X; Shiklomanov, NIkolay/0000-0002-8609-0240; Dorigo, Wouter/0000-0001-8054-7572; Duguay, Claude/0000-0002-1044-5850; Siegel, David/0000-0003-1674-3055; Heimbach, Patrick/0000-0003-3925-6161; Derksen, Chris/0000-0001-6821-5479; Steele, Michael/0000-0001-5083-1775; Simmonds, Ian/0000-0002-4479-3255; Wijffels, Susan/0000-0002-4717-0811; LUHUNGA, PHILBERT MODEST/0000-0002-8909-1003; Lyman, John/0000-0002-7200-4663; Benedetti, Angela/0000-0002-9971-9976; Meinen, Christopher/0000-0002-8846-6002; SCAMBOS, Ted A./0000-0003-4268-6322; Walsh, John/0000-0001-9541-5927; Dolman, A.J./0000-0003-0099-0457; Semiletov, Igor/0000-0003-1741-6734; McCarthy, Gerard Daniel/0000-0002-2363-0561; Massom, Robert/0000-0003-1533-5084; Menendez, Melisa/0000-0002-5168-257X; Meier, Walter/0000-0003-2857-0550; Jakobsson, Martin/0000-0002-9033-3559; Berry, David/0000-0002-3862-3479; NISHINO, Shigeto/0000-0002-0560-241X; Kanzow, Torsten/0000-0002-5786-3435; Cross, Jessica/0000-0002-6650-9905; Renwick, James/0000-0002-9141-2486; Chambers, Don/0000-0002-5439-0257; Toole, John/0000-0003-2905-0637; Obregon, Andre/0000-0001-8759-4451; Ackerman, Steven/0000-0002-4476-0269; Purkey, Sarah/0000-0002-1893-6224; sweet, william/0000-0002-0149-8336; Knaff, John/0000-0003-0427-1409; Rodell, Matthew/0000-0003-0106-7437; Reagan, James/0000-0002-6409-0645; Demircan, Mesut/0000-0002-5334-7898; Schreck, Carl/0000-0001-9331-5754; Bloshkina, Ekaterina/0000-0002-2078-7459</t>
  </si>
  <si>
    <t>NERC [NE/I021217/1] Funding Source: UKRI; Natural Environment Research Council [NE/I021217/1, ncas10009] Funding Source: researchfish; Directorate For Geosciences; Div Atmospheric &amp; Geospace Sciences [1143959, 1033112] Funding Source: National Science Foundation; Office of Polar Programs (OPP); Directorate For Geosciences [1245663, 0856479, 1118473, 1304555] Funding Source: National Science Foundation; Office of Polar Programs (OPP); Directorate For Geosciences [1002119, 1023499] Funding Source: National Science Foundation</t>
  </si>
  <si>
    <t>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</si>
  <si>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45 BEACON ST, BOSTON, MA 02108-3693, UNITED STATES</t>
  </si>
  <si>
    <t>S1</t>
  </si>
  <si>
    <t>S240</t>
  </si>
  <si>
    <t>10.1175/2013BAMSStateoftheClimate.1</t>
  </si>
  <si>
    <t>304EZ</t>
  </si>
  <si>
    <t>Green Submitted, Green Accepted</t>
  </si>
  <si>
    <t>WOS:000330731200001</t>
  </si>
  <si>
    <t>Ligtenberg, SRM; van de Berg, WJ; van den Broeke, MR; Rae, JGL; van Meijgaard, E</t>
  </si>
  <si>
    <t>Ligtenberg, S. R. M.; van de Berg, W. J.; van den Broeke, M. R.; Rae, J. G. L.; van Meijgaard, E.</t>
  </si>
  <si>
    <t>Future surface mass balance of the Antarctic ice sheet and its influence on sea level change, simulated by a regional atmospheric climate model</t>
  </si>
  <si>
    <t>CLIMATE DYNAMICS</t>
  </si>
  <si>
    <t>Antarctica; Future surface mass balance; Sea level rise</t>
  </si>
  <si>
    <t>PRECIPITATION; TEMPERATURE; RESOLUTION; DRIVEN; IMPACT; WIND; SNOW</t>
  </si>
  <si>
    <t>A regional atmospheric climate model with multi-layer snow module (RACMO2) is forced at the lateral boundaries by global climate model (GCM) data to assess the future climate and surface mass balance (SMB) of the Antarctic ice sheet (AIS). Two different GCMs (ECHAM5 until 2100 and HadCM3 until 2200) and two different emission scenarios (A1B and E1) are used as forcing to capture a realistic range in future climate states. Simulated ice sheet averaged 2 m air temperature (T-2m) increases (1.8-3.0 K in 2100 and 2.4-5.3 K in 2200), simultaneously and with the same magnitude as GCM simulated T-2m. The SMB and its components increase in magnitude, as they are directly influenced by the temperature increase. Changes in atmospheric circulation around Antarctica play a minor role in future SMB changes. During the next two centuries, the projected increase in liquid water flux from rainfall and snowmelt, together 60-200 Gt year(-1), will mostly refreeze in the snow pack, so runoff remains small (10-40 Gt year(-1)). Sublimation increases by 25-50 %, but remains an order of magnitude smaller than snowfall. The increase in snowfall mainly determines future changes in SMB on the AIS: 6-16 % in 2100 and 8-25 % in 2200. Without any ice dynamical response, this would result in an eustatic sea level drop of 20-43 mm in 2100 and 73-163 mm in 2200, compared to the twentieth century. Averaged over the AIS, a strong relation between SMB and of 98 +/- A 5 Gt w.e. year(-1) K-1 is found.</t>
  </si>
  <si>
    <t>[Ligtenberg, S. R. M.; van de Berg, W. J.; van den Broeke, M. R.] Univ Utrecht, IMAU, Utrecht, Netherlands; [Rae, J. G. L.] Met Off, Hadley Ctr, Exeter, Devon, England; [van Meijgaard, E.] KNMI, De Bilt, Netherlands</t>
  </si>
  <si>
    <t>Utrecht University; Met Office - UK; Hadley Centre; Royal Netherlands Meteorological Institute</t>
  </si>
  <si>
    <t>Ligtenberg, SRM (corresponding author), Univ Utrecht, IMAU, Utrecht, Netherlands.</t>
  </si>
  <si>
    <t>S.R.M.Ligtenberg@uu.nl; W.J.vandeBerg@uu.nl; M.R.vandenBroeke@uu.nl; jamie.rae@metoffice.gov.uk; vanmeijg@knmi.nl</t>
  </si>
  <si>
    <t>Ligtenberg, Stefan/AAF-8290-2020; van de Berg, Willem Jan/H-4385-2011; Van den Broeke, Michiel R./F-7867-2011</t>
  </si>
  <si>
    <t>van de Berg, Willem Jan/0000-0002-8232-2040; Van den Broeke, Michiel R./0000-0003-4662-7565</t>
  </si>
  <si>
    <t>European Commissions [226375, 085]</t>
  </si>
  <si>
    <t>European Commissions(European Union (EU)European Commission Joint Research Centre)</t>
  </si>
  <si>
    <t>We thank two anonymous reviewers and Peter Kuipers Munneke for their extensive and valuable comments, which definitely helped to improve the quality and structure of the paper. We acknowledge the Netherlands Polar Program of NWO/ALW and the ice2sea project, funded by the European Commissions 7th Framework Programme through grant number 226375, ice2sea manuscript number 085.</t>
  </si>
  <si>
    <t>ONE NEW YORK PLAZA, SUITE 4600, NEW YORK, NY, UNITED STATES</t>
  </si>
  <si>
    <t>0930-7575</t>
  </si>
  <si>
    <t>1432-0894</t>
  </si>
  <si>
    <t>CLIM DYNAM</t>
  </si>
  <si>
    <t>Clim. Dyn.</t>
  </si>
  <si>
    <t>10.1007/s00382-013-1749-1</t>
  </si>
  <si>
    <t>194GQ</t>
  </si>
  <si>
    <t>WOS:000322619500020</t>
  </si>
  <si>
    <t>Vukasinovic, EL; Pond, DW; Worland, MR; Kojic, D; Purac, J; Blagojevic, DP; Grubor-Lajsic, G</t>
  </si>
  <si>
    <t>Vukasinovic, Elvira L.; Pond, David W.; Worland, Michael Roger; Kojic, Danijela; Purac, Jelena; Blagojevic, Dusko P.; Grubor-Lajsic, Gordana</t>
  </si>
  <si>
    <t>Diapause induces changes in the composition and biophysical properties of lipids in larvae of the European corn borer, Ostrinia nubilalis (Lepidoptera: Crambidae)</t>
  </si>
  <si>
    <t>COMPARATIVE BIOCHEMISTRY AND PHYSIOLOGY B-BIOCHEMISTRY &amp; MOLECULAR BIOLOGY</t>
  </si>
  <si>
    <t>Insect diapause; Cold hardiness; Ostrinia nubilalis; Lipid classes and fatty acid composition; Phase transition temperatures of lipids</t>
  </si>
  <si>
    <t>FATTY-ACID COMPOSITIONS; BOMBYX-MORI LEPIDOPTERA; COLD-HARDINESS; EUROSTA-SOLIDAGINIS; INSECTS; METABOLISM; FLY; TRIACYLGLYCEROLS; PHOSPHOLIPIDS; ACCLIMATION</t>
  </si>
  <si>
    <t>This study compares the composition and biophysical properties of lipids in non-diapausing and diapausing fifth instar larvae of Ostrinia nubilalis Hubn. (Lepidoptera: Crambidae). The majority of fat body lipids in both of these physiological states were comprised of similar to 90% triacylglycerols (TAGs), whereas the haemolymph contained a more even distribution of all lipid classes. The fatty acid composition and biophysical properties of the fat body lipids differed markedly between non-diapausing and diapausing larvae. Diapause was associated with a dramatic increase in the proportions of palmitoleic acid (16:1n-7) and oleic acid (18:1n-9), with concurrent reductions in palmitic acid (16:0) and linoleic acid (18:2n-6). The increase in the level of unsaturation of the fat body lipids, which caused a marked shift in their phase transitions to lower temperatures, was triggered by diapause rather than low temperatures. Adjustments of fatty acid compositions are likely to be an important component of winter diapause mechanisms, possibly maintaining the fluidity of cell membranes and the functionality of the organism during lower winter temperatures. (c) 2013 Elsevier Inc. All rights reserved.</t>
  </si>
  <si>
    <t>[Vukasinovic, Elvira L.; Kojic, Danijela; Purac, Jelena; Grubor-Lajsic, Gordana] Univ Novi Sad, Fac Sci, Dept Biol &amp; Ecol, Novi Sad 21000, Serbia; [Pond, David W.] Scottish Assoc Marine Sci, Oban PA37 1QA, Argyll, Scotland; [Worland, Michael Roger] British Antarctic Survey, Cambridge CB3 0ET, England; [Blagojevic, Dusko P.] Univ Belgrade, Inst Biol Res, Dept Physiol, Belgrade, Serbia</t>
  </si>
  <si>
    <t>University of Novi Sad; UHI Millennium Institute; UK Research &amp; Innovation (UKRI); Natural Environment Research Council (NERC); NERC British Antarctic Survey; University of Belgrade</t>
  </si>
  <si>
    <t>Vukasinovic, EL (corresponding author), Univ Novi Sad, Fac Sci, Dept Biol &amp; Ecol, Trg Dositeja Obradovica 2, Novi Sad 21000, Serbia.</t>
  </si>
  <si>
    <t>elvira.vukasinovic@dbe.uns.ac.rs</t>
  </si>
  <si>
    <t>Blagojević, Duško P/A-7739-2018; Kojić, Danijela/AGJ-5146-2022</t>
  </si>
  <si>
    <t>Blagojević, Duško P/0000-0001-6338-2833; Kojić, Danijela/0000-0002-6422-9790; Purac, Jelena/0000-0003-0028-9847</t>
  </si>
  <si>
    <t>Ministry of Education and Science of the Republic of Serbia [173014]; Natural Environment Research Council [bas0100025, NE/J007803/1] Funding Source: researchfish; NERC [NE/J007803/1, bas0100025] Funding Source: UKRI</t>
  </si>
  <si>
    <t>Ministry of Education and Science of the Republic of Serbia(Ministry of Education, Science &amp; Technological Development, Serbia); Natural Environment Research Council(UK Research &amp; Innovation (UKRI)Natural Environment Research Council (NERC)); NERC(UK Research &amp; Innovation (UKRI)Natural Environment Research Council (NERC))</t>
  </si>
  <si>
    <t>This work was funded by the Ministry of Education and Science of the Republic of Serbia, grant no. 173014, project entitled Molecular mechanisms of redox signalling in homeostasis: adaptation and pathology. This publication is a contribution to the ECOSYSTEMS Programme of the British Antarctic Survey, UK. The authors greatly appreciate the assistance of Dr Edward Petri about critical reading of this manuscript and language editing.</t>
  </si>
  <si>
    <t>ELSEVIER SCIENCE INC</t>
  </si>
  <si>
    <t>360 PARK AVE SOUTH, NEW YORK, NY 10010-1710 USA</t>
  </si>
  <si>
    <t>1096-4959</t>
  </si>
  <si>
    <t>1879-1107</t>
  </si>
  <si>
    <t>COMP BIOCHEM PHYS B</t>
  </si>
  <si>
    <t>Comp. Biochem. Physiol. B-Biochem. Mol. Biol.</t>
  </si>
  <si>
    <t>10.1016/j.cbpb.2013.05.001</t>
  </si>
  <si>
    <t>Biochemistry &amp; Molecular Biology; Zoology</t>
  </si>
  <si>
    <t>178XZ</t>
  </si>
  <si>
    <t>WOS:000321482000001</t>
  </si>
  <si>
    <t>Gibberd, MJ; Kean, E; Barlow, R; Thomalla, S; Lucas, M</t>
  </si>
  <si>
    <t>Gibberd, Michael-John; Kean, Erika; Barlow, Ray; Thomalla, Sandy; Lucas, Michael</t>
  </si>
  <si>
    <t>Phytoplankton chemotaxonomy in the Atlantic sector of the Southern Ocean during late summer 2009</t>
  </si>
  <si>
    <t>DEEP-SEA RESEARCH PART I-OCEANOGRAPHIC RESEARCH PAPERS</t>
  </si>
  <si>
    <t>CHEMTAX; HPLC pigments; Community structure; Southern Ocean; Diatoms; Phaeocystis antarctica</t>
  </si>
  <si>
    <t>CARBON EXPORT; PHAEOCYSTIS-ANTARCTICA; COMMUNITY STRUCTURE; INDIAN SECTOR; IRON; BIOMASS; PRODUCTIVITY; NUTRIENTS; PIGMENTS; PLATEAU</t>
  </si>
  <si>
    <t>A chemotaxonomic investigation of surface phytoplankton was undertaken on a research cruise to the Atlantic sector of the Southern Ocean during late austral summer 2009. Based on pigment signatures, several distinct regions emerged that were delineated by physical features. CHEMTAX analysis of high performance liquid chromatography (HPLC) pigment data indicated that diatoms generally dominated communities south of the Antarctic Polar Front (APF), particularly in regions of elevated biomass where chlorophyll-a (chl-a) was &gt; 1.5 mu g l(-1) and diatoms comprised &gt; 80% of biomass. Pigment signatures representative of haptophytes-8, indicative of Phaeocystis antarctica, were dominant near the ice shelf. Chl-a concentrations were 0.2-0.6 mu g l(-1) between the APF and the Subtropical Front (STF) and outputs suggested that chlorophytes, haptophytes-8 and haptophyte-6, in the form of coccolithophores, were the major constituents. Very low chl-a levels ( &lt; 0.2 mu g l(-1) were observed north of the STF and the prokaryotes Synechococcus spp. and Prochlorococcus spp. were the dominant groups in these oligotrophic waters. (c) 2013 Elsevier Ltd. All rights reserved.</t>
  </si>
  <si>
    <t>[Gibberd, Michael-John; Kean, Erika; Lucas, Michael] Univ Cape Town, Dept Biol Sci, ZA-7701 Rondebosch, South Africa; [Gibberd, Michael-John; Kean, Erika; Barlow, Ray; Lucas, Michael] Univ Cape Town, Marine Res Inst, ZA-7701 Rondebosch, South Africa; [Barlow, Ray] Bayworld Ctr Res &amp; Educ, ZA-8012 Cape Town, South Africa; [Thomalla, Sandy] CSIR, Ocean Syst &amp; Climate Grp, ZA-7599 Stellenbosch, South Africa</t>
  </si>
  <si>
    <t>University of Cape Town; University of Cape Town; Council for Scientific &amp; Industrial Research (CSIR) - South Africa</t>
  </si>
  <si>
    <t>Gibberd, MJ (corresponding author), Univ Cape Town, Dept Zool, ZA-7701 Rondebosch, South Africa.</t>
  </si>
  <si>
    <t>mjgibberd@gmail.com</t>
  </si>
  <si>
    <t>Thomalla, Sandy/AAS-4133-2021</t>
  </si>
  <si>
    <t>National Research Foundation (NRF); CSIR Parliamentary Grant; European Commission 7th framework program through the Green Seas Collaborative Project, FP7-ENV [265294]</t>
  </si>
  <si>
    <t>National Research Foundation (NRF); CSIR Parliamentary Grant(Council of Scientific &amp; Industrial Research (CSIR) - India); European Commission 7th framework program through the Green Seas Collaborative Project, FP7-ENV</t>
  </si>
  <si>
    <t>We thank the captain and crew of the SA Agulhas. We also thank Stephan Woodbourne, Zoe Gebhardt, Stephanie Rainer and Marie Smith for their assistance in data collection on the cruise. Sebastian Swart kindly provided us with the frontal positions derived from altimetry data. This work was made possible through the Southern Ocean Carbon and Climate Observatory (SOCCO) at the Centre for Scientific and Industrial Research (CSIR) and was partially funded by the National Research Foundation (NRF), the CSIR Parliamentary Grant and the European Commission 7th framework program through the Green Seas Collaborative Project, FP7-ENV-2010 contract no. 265294.</t>
  </si>
  <si>
    <t>0967-0637</t>
  </si>
  <si>
    <t>1879-0119</t>
  </si>
  <si>
    <t>DEEP-SEA RES PT I</t>
  </si>
  <si>
    <t>Deep-Sea Res. Part I-Oceanogr. Res. Pap.</t>
  </si>
  <si>
    <t>10.1016/j.dsr.2013.04.007</t>
  </si>
  <si>
    <t>179SA</t>
  </si>
  <si>
    <t>WOS:000321540400007</t>
  </si>
  <si>
    <t>Boschen, RE; Tyler, PA; Copley, JT</t>
  </si>
  <si>
    <t>Boschen, Rachel E.; Tyler, Paul A.; Copley, Jonathan T.</t>
  </si>
  <si>
    <t>Distribution, population structure, reproduction and diet of Ophiolimna antarctica (Lyman, 1879) from Kemp Caldera in the Southern Ocean</t>
  </si>
  <si>
    <t>Deep sea; Ophiuroid; Antarctic; Reproduction; Diet; Distribution</t>
  </si>
  <si>
    <t>MID-ATLANTIC RIDGE; HYDROTHERMAL VENT COMMUNITIES; OPHIUROIDS ECHINODERMATA; BENTHIC COMMUNITIES; OPHIOMUSIUM-LYMANI; OPHIOCTEN-GRACILIS; BRITTLE STARS; GERMAN BIGHT; SEA; BIOLOGY</t>
  </si>
  <si>
    <t>A new population of Ophiolimna antarctica (Lyman, 1879) was discovered at 1546 m in Kemp Caldera, a topographic feature with active hydrothermal venting at the southern end of the South Sandwich Islands, Southern Ocean. The distribution, population structure, reproduction, and diet of O. antarctica were investigated. O. antarctica were found predominantly on basalt with an over-dispersed distribution. The mean density was 17 individuals m(-2) with a range of 9-24 individuals m(-2). There was a bimodal population structure, with separate juvenile and adult peaks. Sexes were separate and the sex ratio was not significantly different from equality. The maximum oocyte diameter was 5201 mu m, suggesting direct or lecithotrophic development, whilst individual females reproduced asynchronously. Stomach contents included crustacean fragments, flocculate material, diatoms, forams, fish scales, and ophiuroid tissues and spines, which was indicative of omnivory. There was no apparent influence of hydrothermal vents &lt;500 m away on the diet of Ophiolimna antarctica. The ecology of Ophiolimna antarctica is consistent with what is known for other Antarctic and deep-sea ophiuroid species. (C) 2013 Elsevier Ltd. All rights reserved.</t>
  </si>
  <si>
    <t>[Boschen, Rachel E.; Tyler, Paul A.; Copley, Jonathan T.] Univ Southampton, Southampton SO14 3ZH, Hants, England</t>
  </si>
  <si>
    <t>University of Southampton</t>
  </si>
  <si>
    <t>Boschen, RE (corresponding author), Natl Inst Water &amp; Atmospher Res, Private Bag 14901, Wellington, New Zealand.</t>
  </si>
  <si>
    <t>rachel.boschen@niwa.co.nz</t>
  </si>
  <si>
    <t>Copley, Jon/I-7076-2012; Boschen-Rose, Rachel/K-9760-2016</t>
  </si>
  <si>
    <t>Copley, Jon/0000-0003-3333-4325; Boschen-Rose, Rachel/0000-0003-1579-0108</t>
  </si>
  <si>
    <t>NERC Consortium [NE/DO1249X/1]; SYNTHESYS as part of REB's project [SE-TAF-2157]; European Community-Research Infrastructure Action under the FP7 Capacities Specific Programme; NERC [NE/D013437/1, NE/D01249X/1] Funding Source: UKRI; Natural Environment Research Council [NE/D013437/1, NE/D01249X/1] Funding Source: researchfish</t>
  </si>
  <si>
    <t>NERC Consortium(UK Research &amp; Innovation (UKRI)Natural Environment Research Council (NERC)); SYNTHESYS as part of REB's project; European Community-Research Infrastructure Action under the FP7 Capacities Specific Programme; NERC(UK Research &amp; Innovation (UKRI)Natural Environment Research Council (NERC)); Natural Environment Research Council(UK Research &amp; Innovation (UKRI)Natural Environment Research Council (NERC))</t>
  </si>
  <si>
    <t>REB would like to thank Dr Sabine Stohr at the Swedish Museum of Natural History, Stockholm, and Andrew Cabrinovic at the Natural History Museum, London, for assistance with the identification of specimens, and Anton Page at the Biomedical Imaging Unit, Southampton General Hospital, for assistance with the stacked light microscopy images. The authors would also like to thank two anonymous reviewers for their constructive comments on the manuscript. This work was supported by NERC Consortium Grant no. NE/DO1249X/1 and received support from SYNTHESYS as part of REB's project SE-TAF-2157, financed by the European Community-Research Infrastructure Action under the FP7 Capacities Specific Programme.</t>
  </si>
  <si>
    <t>10.1016/j.dsr2.2013.02.005</t>
  </si>
  <si>
    <t>WOS:000321177000004</t>
  </si>
  <si>
    <t>Peck, LS; Brockington, S</t>
  </si>
  <si>
    <t>Peck, Lloyd S.; Brockington, Simon</t>
  </si>
  <si>
    <t>Growth of the Antarctic octocoral Primnoella scotiae and predation by the anemone Dactylanthus antarcticus</t>
  </si>
  <si>
    <t>Low temperature; Polar; Signy Island; Seasonality; Mark-recapture; Density; Coastal</t>
  </si>
  <si>
    <t>NACELLA-CONCINNA STREBEL; DEEP-SEA CORALS; PROTEIN-METABOLISM; RED CORAL; MARINE ECTOTHERMS; COLD ADAPTATION; TEMPERATURE; LIFE; WATER; RESEDAEFORMIS</t>
  </si>
  <si>
    <t>Growth rates in Antarctic marine ectotherms have been demonstrated to be slowed by two to five times compared to shallow-water temperate species, with no previous reports for octocorals. Here growth rates were estimated in the single axis, non-branching Antarctic octocoral Primnoella scotiae using repeated in situ length measures covering both summer and winter periods, for tagged colonies from three sites at Signy Island over a two year period. Mean rates of length increase at the different sites ranged from 0.96 mm yr(-1) to 55.3 mm yr(-1). The fastest individual colony growth rate at any site ranged from 2.55 mm yr(-1) to 175.6 mm yr(-1). The mean of the fastest growth rates across all sites was 33.0 mm yr(-1) +/- 14.7 (s.e.). Growth was significantly different between sites, and also between seasons and years. The mean overall increase in diameter of the average sized colony in the study (222.5 mm in axis length) was 0.053 mm yr(-1). This is the slowest reported growth rate of any octocoral to date, and is five times slower than growth in most cold water octocorals. During the study it was noted that colonies were being attacked and consumed by the anemone Dactylanthus antarcticus. At one of the sites studied, between 5% and 8% of colonies surveyed were attacked each month. Anemone dispersal was via whole body inflation and drifting to new prey colonies that were attached to using tentacle-like column protuberances. Crown Copyright (C) 2013 Published by Elsevier Ltd. All rights reserved.</t>
  </si>
  <si>
    <t>[Peck, Lloyd S.; Brockington, Simon] British Antarctic Survey, Nat Environm Res Council, Cambridge CB3 0ET, England</t>
  </si>
  <si>
    <t>UK Research &amp; Innovation (UKRI); Natural Environment Research Council (NERC); NERC British Antarctic Survey</t>
  </si>
  <si>
    <t>Peck, LS (corresponding author), British Antarctic Survey, Nat Environm Res Council, Madingley Rd, Cambridge CB3 0ET, England.</t>
  </si>
  <si>
    <t>l.peck@bas.ac.uk</t>
  </si>
  <si>
    <t>Natural Environment Research Council [bas0100025] Funding Source: researchfish; NERC [bas0100025] Funding Source: UKRI</t>
  </si>
  <si>
    <t>Natural Environment Research Council(UK Research &amp; Innovation (UKRI)Natural Environment Research Council (NERC)); NERC(UK Research &amp; Innovation (UKRI)Natural Environment Research Council (NERC))</t>
  </si>
  <si>
    <t>10.1016/j.dsr2.2013.01.024</t>
  </si>
  <si>
    <t>WOS:000321177000009</t>
  </si>
  <si>
    <t>Amon, DJ; Glover, AG; Wiklund, H; Marsh, L; Linse, K; Rogers, AD; Copley, JT</t>
  </si>
  <si>
    <t>Amon, Diva J.; Glover, Adrian G.; Wiklund, Helena; Marsh, Leigh; Linse, Katrin; Rogers, Alex D.; Copley, Jonathan T.</t>
  </si>
  <si>
    <t>The discovery of a natural whale fall in the Antarctic deep sea</t>
  </si>
  <si>
    <t>Osedax; Whale bone; Lipid; Bacterial mat; Minke whale; Taphonomy</t>
  </si>
  <si>
    <t>EATING MARINE WORMS; COMMUNITY STRUCTURE; NORTHEAST PACIFIC; OSEDAX-MUCOFLORIS; BONE; CARCASSES; SKELETON; ANNELIDA; SPECIALISTS; POLYCHAETE</t>
  </si>
  <si>
    <t>Large cetacean carcasses at the deep-sea floor, known as 'whale falls', provide a resource for generalist-scavenging species, chemosynthetic fauna related to those from hydrothermal vents and cold seeps, and remarkable bone-specialist species such as Osedax worms. Here we report the serendipitous discovery of a late-stage natural whale fall at a depth of 1444 m in the South Sandwich Arc. This discovery represents the first natural whale fall to be encountered in the Southern Ocean, where cetaceans are abundant. The skeleton was situated within a seafloor caldera, in close proximity (&lt; 250 m) to active hydrothermal vents. We used a DNA barcoding approach to identify the skeleton as that of an Antarctic minke whale (Balaenoptera bonaerensis). The carcass was in an advanced state of decomposition, and its exposed bones were occupied by a diverse assemblage of fauna including nine undescribed species. These bone fauna included an undescribed species of Lepetodrilus limpet that was also present at the nearby hydrothermal vents, suggesting the use of whale-fall habitats as stepping stones between chemosynthetic ecosystems. Using Remotely Operated Vehicle (ROV) videography, we have quantified the composition and abundance of fauna on the whale bones, and tested a hypothesis that varying concentrations of lipids in the bones of whales may influence the microdistribution of sulfophilic whale-fall fauna. Our data supported the hypothesis that more lipid-rich bones support a greater abundance of sulfophilic bacterial mats, which are also correlated with the abundance of grazing limpets (Pyropelta sp.). The abundance of Osedax sp. on bones however, showed a negative correlation with the bacterial-mat percentage cover, and hence greatest abundance on bones predicted to have lowest lipid content. (C) 2013 Elsevier Ltd. All rights reserved.</t>
  </si>
  <si>
    <t>[Amon, Diva J.; Glover, Adrian G.; Wiklund, Helena] Nat Hist Museum, Dept Life Sci, London SW7 5BD, England; [Amon, Diva J.; Marsh, Leigh; Copley, Jonathan T.] Univ Southampton, Natl Oceanog Ctr, Southampton SO14 3ZH, Hants, England; [Linse, Katrin] British Antarctic Survey, Cambridge CB3 0ET, England; [Rogers, Alex D.] Univ Oxford, Dept Zool, Oxford OX1 3PS, England</t>
  </si>
  <si>
    <t>Natural History Museum London; NERC National Oceanography Centre; University of Southampton; UK Research &amp; Innovation (UKRI); Natural Environment Research Council (NERC); NERC British Antarctic Survey; University of Oxford</t>
  </si>
  <si>
    <t>Amon, DJ (corresponding author), Univ Southampton, Natl Oceanog Ctr, Waterfront Campus, Southampton SO14 3ZH, Hants, England.</t>
  </si>
  <si>
    <t>dja605@soton.ac.uk</t>
  </si>
  <si>
    <t>Marsh, Leigh/AAT-5597-2020; Marsh, Leigh/J-6068-2013; Copley, Jon/I-7076-2012</t>
  </si>
  <si>
    <t>Marsh, Leigh/0000-0002-4613-1538; Marsh, Leigh/0000-0002-4613-1538; Copley, Jon/0000-0003-3333-4325; Rogers, Alex David/0000-0002-4864-2980; Linse, Katrin/0000-0003-3477-3047; Wiklund, Helena/0000-0002-8252-3504</t>
  </si>
  <si>
    <t>NERC Consortium Grant [NE/DO1249X/1]; NERC [NE/D01429X/1]; NERC [NE/D013437/1, NE/D01249X/1, bas0100026] Funding Source: UKRI; Natural Environment Research Council [NE/D01249X/1, bas0100026, NE/D013437/1] Funding Source: researchfish</t>
  </si>
  <si>
    <t>NERC Consortium Grant; NERC(UK Research &amp; Innovation (UKRI)Natural Environment Research Council (NERC)); NERC(UK Research &amp; Innovation (UKRI)Natural Environment Research Council (NERC)); Natural Environment Research Council(UK Research &amp; Innovation (UKRI)Natural Environment Research Council (NERC))</t>
  </si>
  <si>
    <t>The ChEsSo research programme was funded by a NERC Consortium Grant (NE/DO1249X/1), which is gratefully acknowledged. We also acknowledge NERC PhD studentship, NE/D01429X/1 (LM). The funder had no role in study design, data collection and analysis, decision to publish, or preparation of the manuscript.</t>
  </si>
  <si>
    <t>10.1016/j.dsr2.2013.01.028</t>
  </si>
  <si>
    <t>WOS:000321177000011</t>
  </si>
  <si>
    <t>Nye, V; Copley, JT; Linse, K</t>
  </si>
  <si>
    <t>Nye, Verity; Copley, Jonathan T.; Linse, Katrin</t>
  </si>
  <si>
    <t>A new species of Eualus Thallwitz, 1892 and new record of Lebbeus antarcticus (Hale, 1941) (Crustacea: Decapoda: Caridea: Hippolytidae) from the Scotia Sea</t>
  </si>
  <si>
    <t>Biodiversity; Deep-Sea; Hydrothermal vents; Southern Ocean; Phylogenetics; Polar</t>
  </si>
  <si>
    <t>SHRIMPS; REDESCRIPTION; WATERS; RNA</t>
  </si>
  <si>
    <t>Eleven specimens representing two hippolytid genera, Eualus Thallwitz, 1892 and Lebbeus White, 1847 were sampled recently from the Scotia Sea (1517-2598 m). Seven specimens are described and illustrated as Eualus amandae sp. nov., and its morphology is compared with those of previously described species. Four female specimens, morphologically consistent with Lebbeus antarcticus (Hale, 1941), are described and illustrated to supplement previous descriptions of this rarely collected bathyal species. Partial COI mtDNA and 18S rDNA sequences were generated for both species. Only limited DNA sequences are available for the Hippolytidae. COI phylogenetic trees are presented to illustrate that the new species is genetically distinct from all other species in GenBank. This record enhances existing knowledge of Antarctic invertebrate biodiversity and species richness of decapod crustaceans in the Southern Ocean. (C) 2013 Elsevier Ltd. All rights reserved.</t>
  </si>
  <si>
    <t>[Nye, Verity; Copley, Jonathan T.] Univ Southampton, Natl Oceanog Ctr, Southampton S014 3ZH, Hants, England; [Linse, Katrin] British Antarctic Survey, Cambridge CB3 OET, England</t>
  </si>
  <si>
    <t>University of Southampton; NERC National Oceanography Centre; UK Research &amp; Innovation (UKRI); Natural Environment Research Council (NERC); NERC British Antarctic Survey</t>
  </si>
  <si>
    <t>Nye, V (corresponding author), Univ Southampton, Natl Oceanog Ctr, Waterfront Campus,European Way, Southampton S014 3ZH, Hants, England.</t>
  </si>
  <si>
    <t>vn205@noc.soton.ac.uk; jtc@soton.ac.uk; kl@bas.ac.uk</t>
  </si>
  <si>
    <t>Copley, Jon/I-7076-2012; Nye, Verity/I-9200-2012</t>
  </si>
  <si>
    <t>Copley, Jon/0000-0003-3333-4325; Nye, Verity/0000-0002-1331-6448; Linse, Katrin/0000-0003-3477-3047</t>
  </si>
  <si>
    <t>UK NERC [NE/F017774/1, NE/DO1249X/1]; British Antarctic Survey Polar Science for Planet Earth Programme; ChEsSo research programme; Natural Environment Research Council [NE/D013437/1, bas0100026, NE/D01249X/1] Funding Source: researchfish; NERC [bas0100026, NE/D013437/1, NE/D01249X/1] Funding Source: UKRI</t>
  </si>
  <si>
    <t>UK NERC(UK Research &amp; Innovation (UKRI)Natural Environment Research Council (NERC)); British Antarctic Survey Polar Science for Planet Earth Programme; ChEsSo research programme; Natural Environment Research Council(UK Research &amp; Innovation (UKRI)Natural Environment Research Council (NERC)); NERC(UK Research &amp; Innovation (UKRI)Natural Environment Research Council (NERC))</t>
  </si>
  <si>
    <t>The authors thank the master and ship's company, the UK National Marine Facilities staff, and fellow scientists on the 42nd voyage of RRS James Cook. Elaine Fitzcharles and Jennifer Jackson provided support in the molecular lab and advice on molecular analysis respectively. Veerle Huvenne and Alastair Graham provided the maps. This work benefitted from S. De Grave and two anonymous referees who gave valuable comments for the improvement of this paper. V. Nye was supported by a UK NERC award (NE/F017774/1) to J. Copley, P. Tyler, K. Stansfield, B. Murton and D. Connelly. K. Linse was supported by the British Antarctic Survey Polar Science for Planet Earth Programme as well as part of the ChEsSo research programme, both funded by a UK NERC Consortium Grant (NE/DO1249X/1). The funding sources had no involvement in the study design, the collection, analysis and interpretation of data, in the writing of the article and in the decision to submit the article for publication. This is a ChEsSo publication.</t>
  </si>
  <si>
    <t>10.1016/j.dsr2.2013.01.022</t>
  </si>
  <si>
    <t>WOS:000321177000017</t>
  </si>
  <si>
    <t>Renfrew, RB; Kim, D; Perlut, N; Smith, J; Fox, J; Marra, PP</t>
  </si>
  <si>
    <t>Renfrew, Rosalind B.; Kim, Daniel; Perlut, Noah; Smith, Joseph; Fox, James; Marra, Peter P.</t>
  </si>
  <si>
    <t>Phenological matching across hemispheres in a long-distance migratory bird</t>
  </si>
  <si>
    <t>DIVERSITY AND DISTRIBUTIONS</t>
  </si>
  <si>
    <t>Bobolink; Dolichonyx oryzivorus; geolocators; migration phenology; migratory connectivity; Normalized Difference Vegetation Index</t>
  </si>
  <si>
    <t>EAGLE AQUILA-POMARINA; SPRING ARRIVAL DATE; NEOTROPICAL MIGRANT; DOLICHONYX-ORYZIVORUS; ECOLOGICAL CONDITIONS; SAND MARTINS; GREEN-WAVE; CONNECTIVITY; RAINFALL; CLIMATE</t>
  </si>
  <si>
    <t>Aim In the Northern Hemisphere, bird migration from the tropic to the temperate zone in spring is thought to proceed at a rate determined in large part by local phenology. In contrast, little is understood about where birds go or the factors that determine why they move or where they stop during the post-breeding period. Location Study sites were in Oregon, Nebraska and Vermont, and location data we collected extend south to Argentina. Methods We deployed light-level geolocators on individual Bobolinks from three populations across the breeding range and compare their southbound movement phenology to austral greening as indicated by the Normalized Difference Vegetation Index. Results Bobolinks from all breeding populations synchronously arrived and remained for up to several weeks in two sequential, small non-breeding areas that were separated by thousands of kilometres, before staging for pre-alternate moult. Similar to the migration patterns of birds to northern breeding areas, movements into the Southern Hemisphere corresponded to increasing primary productivity. Main conclusions Our findings suggest that the Bobolink's southbound migration is broadly constrained by resource availability, and its non-breeding distribution has been shaped by the seasonal phenology of grasslands in both time and space. This is the first documentation of individual birds from across a continental breeding range exhibiting phenological matching during their post-breeding southward migration. Known conservation threats overlap temporally and spatially with large concentrations of Bobolinks, and should be closely examined. We emphasize the need to consider how individuals move and interact with their environment throughout their annual cycle and over hemispheric scales.</t>
  </si>
  <si>
    <t>[Renfrew, Rosalind B.] Vermont Ctr Ecostudies, Norwich, VT 05055 USA; [Kim, Daniel] Platte River Whooping Crane Trust, Wood River, NE 68883 USA; [Perlut, Noah] Univ New England, Dept Environm Studies, Biddeford, ME 04005 USA; [Smith, Joseph] Nature Conservancy, New Jersey Chapter, Delmont, NJ 08314 USA; [Fox, James] British Antarctic Survey, Nat Environm Res Council, Cambridge CB3 0ET, England; [Marra, Peter P.] Smithsonian Conservat Biol Inst, Migratory Bird Ctr, Natl Zool Pk, Washington, DC 20008 USA</t>
  </si>
  <si>
    <t>University of New England - Maine; Nature Conservancy; UK Research &amp; Innovation (UKRI); Natural Environment Research Council (NERC); NERC British Antarctic Survey; Smithsonian Institution; Smithsonian National Zoological Park &amp; Conservation Biology Institute</t>
  </si>
  <si>
    <t>Renfrew, RB (corresponding author), Vermont Ctr Ecostudies, POB 420, Norwich, VT 05055 USA.</t>
  </si>
  <si>
    <t>rrenfrew@vtecostudies.org</t>
  </si>
  <si>
    <t>Fox, James W./0000-0002-3107-696X; Marra, Peter/0000-0002-0508-7577</t>
  </si>
  <si>
    <t>Charles Blake Fund of the Nuttall Ornithological Club; Natural Environment Research Council [bas010011] Funding Source: researchfish; NERC [bas010011] Funding Source: UKRI</t>
  </si>
  <si>
    <t>Charles Blake Fund of the Nuttall Ornithological Club; Natural Environment Research Council(UK Research &amp; Innovation (UKRI)Natural Environment Research Council (NERC)); NERC(UK Research &amp; Innovation (UKRI)Natural Environment Research Council (NERC))</t>
  </si>
  <si>
    <t>This project was made possible by the generous friends of the Vermont Center for Ecostudies. We gratefully acknowledge the Charles Blake Fund of the Nuttall Ornithological Club and Terry Precision Cycling for additional, critical support. In-kind support was provided by the Platte River Whooping Crane Maintenance Trust, Portland State University, the Smithsonian Migratory Bird Center, the University of New England, the University of Vermont and the Galipeau family. Thanks to Joseph Smith, who generously contributed time and expertise to compile NDVI data. Thanks to Jim Dastyck and Tim Bodeen of the Malheur National Wildlife Refuge for access and logistical support. We thank Shelburne Farms for access to their land. We thank the many dedicated field biologists who assisted with data collection: Nathan Banet, Lindsay Bauman, Dominique Bondi, Kristin Cattrano, Tina Centofante, Chris Chutter, Julie Coffey, Hannah Davies, Katie Dunbar, Lindsay Ferrotte, Ryan Fox, Becca Gordon, Tom Lawrence, Chris Mulvey, Michael Murphy, Louis Ramirez, Luke Redmond, Jessica Rempel, Barb Roscoe, Travis Rusch, Joel Thielen, Dacia Wiitala and Heather Wills.</t>
  </si>
  <si>
    <t>1366-9516</t>
  </si>
  <si>
    <t>1472-4642</t>
  </si>
  <si>
    <t>DIVERS DISTRIB</t>
  </si>
  <si>
    <t>Divers. Distrib.</t>
  </si>
  <si>
    <t>10.1111/ddi.12080</t>
  </si>
  <si>
    <t>178JV</t>
  </si>
  <si>
    <t>WOS:000321444900013</t>
  </si>
  <si>
    <t>Rose, KC; Ferraccioli, F; Jamieson, SSR; Bell, RE; Corr, H; Creyts, TT; Braaten, D; Jordan, TA; Fretwell, PT; Damaske, D</t>
  </si>
  <si>
    <t>Rose, Kathryn C.; Ferraccioli, Fausto; Jamieson, Stewart S. R.; Bell, Robin E.; Corr, Hugh; Creyts, Timothy T.; Braaten, David; Jordan, Tom A.; Fretwell, Peter T.; Damaske, Detlef</t>
  </si>
  <si>
    <t>Early East Antarctic Ice Sheet growth recorded in the landscape of the Gamburtsev Subglacial Mountains</t>
  </si>
  <si>
    <t>EARTH AND PLANETARY SCIENCE LETTERS</t>
  </si>
  <si>
    <t>landscape evolution; geomorphology; glacial erosion; fluvial erosion; hypsometry</t>
  </si>
  <si>
    <t>CROSS PROFILE DEVELOPMENT; SOUTHERN VICTORIA LAND; TRANSANTARCTIC MOUNTAINS; GLACIAL EROSION; OLIGOCENE/MIOCENE BOUNDARY; 1989 EXPLANATION; CLIMATIC-CHANGE; DRY VALLEYS; EVOLUTION; HISTORY</t>
  </si>
  <si>
    <t>The Gamburtsev Subglacial Mountains are regarded as a key nucleation site for the Antarctic Ice Sheet and they retain a unique long-term record of pre-glacial and early glacial landscape evolution. Here, we use a range of morphometric analyses to constrain the nature of early glaciation and subsequent ice sheet evolution in the interior of East Antarctica, using a new digital elevation model of the Gamburtsev Subglacial Mountains, derived from an extensive airborne radar survey. We find that an inherited fluvial landscape confirms the existence of the Gamburtsev Subglacial Mountains prior to the onset of glaciation at the Eocene-Oligocene climate boundary (ca. 34 Ma). Features characteristic of glaciation, at a range of scales, are evident across the mountains. High elevation alpine valley heads, akin to cirques, identified throughout the mountains, are interpreted as evidence for early phases of glaciation in East Antarctica. The equilibrium line altitudes associated with these features, combined with information from fossil plant assemblages, suggest that they formed at, or prior to, 34 Ma. It cannot be ruled out that they may have been eroded by ephemeral ice between the Late Cretaceous and the Eocene (100-34 Ma). Hanging valleys, overdeepenings, truncated spurs and steep-sided, linear valley networks are indicative of a more widespread alpine glaciation in this region. These features represent ice growth at, or before, 33.7 Ma and provide a minimum estimate for the scale of the East Antarctic Ice Sheet between ca. 34 and 14 Ma, when dynamic fluctuations in ice extent are recorded at the coast of Antarctica. The implications are that the early East Antarctic Ice Sheet grew rapidly and developed a cold-based core that preserved the alpine landscape. The patterns of landscape evolution identified provide the earliest evidence for the development of the East Antarctic Ice Sheet and can be used to test coupled ice-climate evolution models. (c) 2013 The Authors. Published by Elsevier B.V. All rights reserved.</t>
  </si>
  <si>
    <t>[Rose, Kathryn C.; Ferraccioli, Fausto; Corr, Hugh; Jordan, Tom A.; Fretwell, Peter T.] British Antarctic Survey, Cambridge CB3 0ET, England; [Jamieson, Stewart S. R.] Univ Durham, Sci Labs, Dept Geog, Durham DH1 3LE, England; [Bell, Robin E.; Creyts, Timothy T.] Columbia Univ, Lamont Doherty Earth Observ, Palisades, NY 10964 USA; [Braaten, David] Univ Kansas, Ctr Remote Sensing Ice Sheets, Lawrence, KS 66045 USA; [Damaske, Detlef] Geozentrum Hannover, BGR, D-30655 Hannover, Germany</t>
  </si>
  <si>
    <t>UK Research &amp; Innovation (UKRI); Natural Environment Research Council (NERC); NERC British Antarctic Survey; Durham University; Columbia University; University of Kansas</t>
  </si>
  <si>
    <t>Rose, KC (corresponding author), British Antarctic Survey, Madingley Rd, Cambridge CB3 0ET, England.</t>
  </si>
  <si>
    <t>kase@bas.ac.uk</t>
  </si>
  <si>
    <t>Corr, Hugh/C-5398-2011; Jamieson, Stewart S.R./B-8330-2013</t>
  </si>
  <si>
    <t>Jamieson, Stewart S.R./0000-0002-9036-2317; Ferraccioli, Fausto/0000-0002-9347-4736; Jordan, Tom/0000-0003-2780-1986; Creyts, Timothy/0000-0003-1756-5211</t>
  </si>
  <si>
    <t>Natural Environment Research Council/British Antarctic Survey; Environmental Change and Evolution Programme of the British Antarctic Survey; Federal Institute for Geosciences and Resources; Australian Antarctic Division; NERC [bas0100026, NE/J018333/1] Funding Source: UKRI; Natural Environment Research Council [NE/J018333/1, bas0100026] Funding Source: researchfish</t>
  </si>
  <si>
    <t>Natural Environment Research Council/British Antarctic Survey; Environmental Change and Evolution Programme of the British Antarctic Survey; Federal Institute for Geosciences and Resources; Australian Antarctic Division; NERC(UK Research &amp; Innovation (UKRI)Natural Environment Research Council (NERC)); Natural Environment Research Council(UK Research &amp; Innovation (UKRI)Natural Environment Research Council (NERC))</t>
  </si>
  <si>
    <t>We acknowledge the seven nations involved in the AGAP International Polar Year effort for their major logistical, financial and intellectual support. The US Antarctic Program of the National Science Foundation provided support for the logistics, the development of the instrumentation and data analysis. Financial support was received from the Natural Environment Research Council/British Antarctic Survey for deep-field operations, data collection and analysis. In particular we acknowledge the support of the Environmental Change and Evolution Programme of the British Antarctic Survey for funding the landscape analysis research. The Federal Institute for Geosciences and Resources provided additional financial support. The Australian Antarctic Division provided support at the AGAP North field camp; the Chinese Antarctic programme and the Alfred Wegner Institute also assisted. We thank all the AGAP project members involved, and in particular M. Studinger, N. Frearson and C. Robinson. We are grateful to David Sugden for helpful comments on the manuscript and Huw Griffiths for technical assistance in developing the figures. We thank two anonymous reviewers for their constructive comments, which improved the manuscript.</t>
  </si>
  <si>
    <t>0012-821X</t>
  </si>
  <si>
    <t>1385-013X</t>
  </si>
  <si>
    <t>EARTH PLANET SC LETT</t>
  </si>
  <si>
    <t>Earth Planet. Sci. Lett.</t>
  </si>
  <si>
    <t>AUG 1</t>
  </si>
  <si>
    <t>10.1016/j.epsl.2013.03.053</t>
  </si>
  <si>
    <t>223YB</t>
  </si>
  <si>
    <t>Green Published, hybrid, Green Accepted</t>
  </si>
  <si>
    <t>WOS:000324847300001</t>
  </si>
  <si>
    <t>Egan, KE; Rickaby, REM; Hendry, KR; Halliday, AN</t>
  </si>
  <si>
    <t>Egan, Katherine E.; Rickaby, Rosalind E. M.; Hendry, Katharine R.; Halliday, Alex N.</t>
  </si>
  <si>
    <t>Opening the gateways for diatoms primes Earth for Antarctic glaciation</t>
  </si>
  <si>
    <t>Eocene-Oligocene; diatom; Antarctic circumpolar current; silicon isotope; Antarctic glaciation; organic carbon</t>
  </si>
  <si>
    <t>SILICON ISOTOPE FRACTIONATION; SOUTHERN-OCEAN; BIOGENIC SILICA; EARLY OLIGOCENE; ATMOSPHERIC CO2; MARINE DIATOMS; GLOBAL CLIMATE; CARBON-CYCLE; WORLD OCEAN; MAUD-RISE</t>
  </si>
  <si>
    <t>The abrupt onset of Antarctic glaciation during the Eocene-Oligocene Transition (similar to 33.7 Ma, Oi1) is linked to declining atmospheric pCO(2) levels, yet the mechanisms that forced pCO(2) decline remain elusive. Biogenic silicon cycling is inextricably linked to both long and short term carbon cycling through the diatoms, siliceous walled autotrophs which today account for up to 40% of primary production. It is hypothesised that during the Late Eocene a sharp rise in diatom abundance could have contributed to pCO(2) drawdown and global cooling by increasing the proportion of organic carbon buried in marine sediment. Diatom and sponge silicon isotope ratios (delta Si-30) are here combined for the first time to reconstruct the late Eocene-early Oligocene ocean silicon cycle and provide new insight into the role of diatom productivity in Antarctic glaciation. At ODP site 1090 in the Southern Ocean, a 0.6 parts per thousand rise in diatom delta Si-30 through the late Eocene documents increasing diatom silicic acid utilisation with high, near modern values attained by the earliest Oligocene. A concomitant 1.5 parts per thousand decline in sponge delta Si-30 at ODP site 689 on the Maud Rise tracks an approximate doubling of intermediate depth silicic acid concentration in the high southern latitudes. Intermediate depth silicic acid concentration peaked at similar to 31.5 Ma, coincident with the final establishment of a deepwater pathway through the Tasman Gateway and Drake Passage. These results suggest that upwelling intensification related to the spin-up of a circum-Antarctic current may have driven late Eocene diatom proliferation. Organic carbon burial associated with higher diatom abundance and export provides a mechanism that can account for pCO(2) drawdown not only at, but also prior to, Antarctic glaciation as required by a pCO(2) 'threshold' mechanism for ice sheet growth. (c) 2013 The Authors. Published by Elsevier B.V. All rights reserved.</t>
  </si>
  <si>
    <t>[Egan, Katherine E.; Rickaby, Rosalind E. M.; Halliday, Alex N.] Univ Oxford, Dept Earth Sci, Oxford OX1 3PR, England; [Hendry, Katharine R.] Cardiff Univ, Sch Earth &amp; Ocean Sci, Cardiff CF10 3AT, S Glam, Wales</t>
  </si>
  <si>
    <t>University of Oxford; Cardiff University</t>
  </si>
  <si>
    <t>Egan, KE (corresponding author), Natl Oceanog Ctr, European Way, Southampton SO14 3ZH, Hants, England.</t>
  </si>
  <si>
    <t>K.E.Egan@soton.ac.uk</t>
  </si>
  <si>
    <t>; Hendry, Katharine/E-4793-2011</t>
  </si>
  <si>
    <t>Rickaby, Rosalind/0000-0002-6095-8419; Egan, Katherine/0000-0002-3103-0443; Hendry, Katharine/0000-0002-0790-5895</t>
  </si>
  <si>
    <t>Natural Environmental Research Council (NERC) Grant [NE/F005296/1]; ERC grant; NERC [NE/F003986/1, NE/F005296/1, nigl010001] Funding Source: UKRI; Natural Environment Research Council [NE/F003986/1, NE/F005296/1, nigl010001] Funding Source: researchfish</t>
  </si>
  <si>
    <t>Natural Environmental Research Council (NERC) Grant; ERC grant(European Research Council (ERC)); NERC(UK Research &amp; Innovation (UKRI)Natural Environment Research Council (NERC)); Natural Environment Research Council(UK Research &amp; Innovation (UKRI)Natural Environment Research Council (NERC))</t>
  </si>
  <si>
    <t>This work was carried out as part of the Natural Environmental Research Council (NERC) Grant NE/F005296/1. The Oxford isotope geochemistry lab is supported by an ERC grant to Halliday. Thanks to the Ocean Drilling Program for supplying sediments, and to Jorn Bruggeman and Michael Hermoso for help with statistics and lab work. Many thanks to two anonymous reviewers, whose comments and suggestions were extremely helpful in improving the manuscript, and more generally for providing insight into silicon cycle dynamics. Data tables are included in the Supplementary materials.</t>
  </si>
  <si>
    <t>10.1016/j.epsl.2013.04.030</t>
  </si>
  <si>
    <t>WOS:000324847300003</t>
  </si>
  <si>
    <t>McClymont, EL; Sosdian, SM; Rosell-Melé, A; Rosenthal, Y</t>
  </si>
  <si>
    <t>McClymont, Erin L.; Sosdian, Sindia M.; Rosell-Mele, Antoni; Rosenthal, Yair</t>
  </si>
  <si>
    <t>Pleistocene sea-surface temperature evolution: Early cooling, delayed glacial intensification, and implications for the mid-Pleistocene climate transition.</t>
  </si>
  <si>
    <t>EARTH-SCIENCE REVIEWS</t>
  </si>
  <si>
    <t>Sea surface temperatures; Mid-Pleistocene transition; Ice sheets; 100 kyr world</t>
  </si>
  <si>
    <t>LONG-CHAIN ALKENONES; CARBON-DIOXIDE CONCENTRATION; PLANKTONIC-FORAMINIFERA; SOUTH ATLANTIC; ICE VOLUME; ATMOSPHERIC CO2; NORTH PACIFIC; PALEOCEANOGRAPHIC CHANGES; ANTARCTIC CLIMATE; ALKYL ALKENOATES</t>
  </si>
  <si>
    <t>mid-Pleistocene climate transition (MPT) is defined by the emergence of high amplitude, quasi-100 ka glacial-interglacial cycles from a prior regime of more subtle 41 ka cycles. This change in periodicity and amplitude cannot be explained by a change in 'external' astronomical forcing. Here, we review and integrate published records of sea-surface temperatures (SSTs) to assess whether a common global expression of the MPT in the surface ocean can be recognized, and examine our findings in light of mechanisms proposed to explain climate system reorganization across the MPT. We show that glacial-interglacial variability in SSTs is superimposed upon a longer-term cooling trend in oceanographic systems spanning the low-to high-latitudes. Regional variability exists in the timing of the onset and magnitude of cooling but, in most cases, a long-term cooling trend begins or intensifies from similar to 1.2 Ma (Marine Isotope Stage, MIS, 35-34). The SST cooling accompanies a long-term trend towards higher global ice volume as recorded in benthic foraminifera delta O-18, but predates a step-like increase in delta(18)Oat similar to 0.9 Ma (MIS 24-22) that is argued to reflect expansion of continental ice-sheets. The strongest expression of Pleistocene cooling is found during glacial stages, whereas minor or negligible trends in interglacial temperatures are identified. However, pronounced cooling during both glacial and interglacial maxima is evident at 0.9 Ma. Alongside the long-term SST cooling trends, quasi-100 ka cycles begin to emerge in both the SST and delta O-18 records at 1.2 Ma, and become dominant with the expansion of the ice-sheets at 0.9 Ma. We show that the intensified glacial-stage cooling is accompanied by evolving pCO(2), abyssal ocean ventilation, atmospheric circulation and/or dust inputs to the Southern Ocean. These changes in diverse environmental parameters suggest that glacial climate boundary conditions evolved across the MPT. In turn, these modified boundary conditions may have altered climate sensitivity to orbital forcing by placing pre-existing ice-sheets closer to some threshold of climate-ice sheet response. (C) 2013 Elsevier B.V. All rights reserved.</t>
  </si>
  <si>
    <t>[McClymont, Erin L.] Newcastle Univ, Sch Geog Polit &amp; Sociol, Newcastle Upon Tyne NE1 7RU, Tyne &amp; Wear, England; [Sosdian, Sindia M.; Rosenthal, Yair] Rutgers State Univ, Inst Marine &amp; Coastal Sci, New Brunswick, NJ 08901 USA; [Rosenthal, Yair] Rutgers State Univ, Dept Geol, New Brunswick, NJ 08901 USA; [Rosell-Mele, Antoni] Univ Autonoma Barcelona, Inst Ciencia &amp; Tecnol Ambientals, Bellaterra 08193, Catalonia, Spain; [Rosell-Mele, Antoni] ICREA, Barcelona 08010, Catalonia, Spain</t>
  </si>
  <si>
    <t>Newcastle University - UK; Rutgers University System; Rutgers University New Brunswick; Rutgers University System; Rutgers University New Brunswick; Autonomous University of Barcelona; ICREA</t>
  </si>
  <si>
    <t>McClymont, EL (corresponding author), Univ Durham, Dept Geog, South Rd, Durham DH1 3LE, England.</t>
  </si>
  <si>
    <t>erin.mcclymont@durham.ac.uk; SosdianS@cardiff.ac.uk; antoni.rosell@uab.cat; rosentha@marine.rutgers.edu</t>
  </si>
  <si>
    <t>Rosell-Melé, Antoni/B-3433-2013; McClymont, Erin/AAX-3657-2020; McClymont, Erin L/K-2153-2012; McClymont, Erin/AAX-3567-2020</t>
  </si>
  <si>
    <t>Rosell-Melé, Antoni/0000-0002-5513-2647; McClymont, Erin/0000-0003-1562-8768; McClymont, Erin L/0000-0003-1562-8768; McClymont, Erin/0000-0003-1562-8768</t>
  </si>
  <si>
    <t>Newcastle University HaSS Faculty Research Fund; US-UK Fulbright Fellowship; Marie Curie International Outgoing Fellowship [235626]; US National Science Foundation; ICREA Funding Source: Custom</t>
  </si>
  <si>
    <t>Newcastle University HaSS Faculty Research Fund; US-UK Fulbright Fellowship; Marie Curie International Outgoing Fellowship(European Union (EU)); US National Science Foundation(National Science Foundation (NSF)); ICREA(ICREA)</t>
  </si>
  <si>
    <t>We acknowledge the financial support provided by Newcastle University HaSS Faculty Research Fund (to E.L.M.), a US-UK Fulbright Fellowship (to S.M.S.), and a Marie Curie International Outgoing Fellowship (235626, to A.R.M.). This research used samples and data provided by the Integrated Ocean Drilling Program (IODP). IODP is sponsored by the US National Science Foundation (NSF) and participating countries under the management of Joint Oceanographic Institutions (JOI), Inc. We thank Zhonghui Liu and Ben Petrick for sharing unpublished data, and thank Phil Sexton, Aurora Elmore, Babette Hoogakker, Ian Candy, Stewart Jamieson, Ben Petrick, Alfredo Martinez-Garcia, and Alan Haywood for the discussions and constructive comments.</t>
  </si>
  <si>
    <t>0012-8252</t>
  </si>
  <si>
    <t>1872-6828</t>
  </si>
  <si>
    <t>EARTH-SCI REV</t>
  </si>
  <si>
    <t>Earth-Sci. Rev.</t>
  </si>
  <si>
    <t>10.1016/j.earscirev.2013.04.006</t>
  </si>
  <si>
    <t>Geosciences, Multidisciplinary</t>
  </si>
  <si>
    <t>174SW</t>
  </si>
  <si>
    <t>Green Accepted, Green Submitted</t>
  </si>
  <si>
    <t>WOS:000321176700008</t>
  </si>
  <si>
    <t>Du, YJ; Wang, ZM; Yang, SJ; An, JC; Liu, Q; Che, GW</t>
  </si>
  <si>
    <t>Du, Yujun; Wang, Zemin; Yang, Shujiang; An, Jiachun; Liu, Qiang; Che, Guowei</t>
  </si>
  <si>
    <t>Co-seismic deformation derived from GPS observations during April 20th, 2013 Lushan Earthquake, Sichuan, China</t>
  </si>
  <si>
    <t>EARTHQUAKE SCIENCE</t>
  </si>
  <si>
    <t>Lushan earthquake; GPS seismology; Co-seismic displacement; Time series</t>
  </si>
  <si>
    <t>RUPTURE PROCESS; MODEL</t>
  </si>
  <si>
    <t>We process the standard 30 s, static GPS data and the 1 s, high-rate GPS (HRGPS) data provided by the Crustal Movement Observation Network of China with GAMIT/GLOBK software package, and obtain the coseismic displacements of near field and far field, and the epoch-by-epoch time series of HRGPS during Lushan earthquake. GPS data from about 20 sites in Sichuan province, which located between 40 and 450 km from the epicenter, are analyzed so as to study the characteristics of the static displacements and the dynamic crustal deformations, with periods ranging from several minutes to over a month. The result shows that: the static displacements caused by Lushan earthquake are limited to several centimeters; the nearest station SCTQ at 43 km from the epicenter has the largest static displacement of about 2 cm, while the other stations generally have insignificant displacements of less than 5 mm. the stations in the east of Sichuan-Yunnan region shifts 5-10 mm toward the southwest, and the stations in the middle-west of Sichuan Basin moves indistinctively 1-2 mm toward the northwest; station SCTQ has the largest kinematic displacement of about 4 and 3 cm peak-to-peak on the north and east component, respectively, and is much greater than the static permanent displacement; for the stations located at a distance greater than 150 km from the epicenter, the kinematic motions are generally insignificant; exceptionally, station SCNC and station SCSN in central Sichuan Basin have significant kinematic motions although they are more than 200 km away from the epicenter.</t>
  </si>
  <si>
    <t>[Du, Yujun; Liu, Qiang] Wuhan Univ, Sch Geodesy &amp; Geomat, Wuhan 430079, Peoples R China; [Du, Yujun; Wang, Zemin; An, Jiachun; Che, Guowei] Wuhan Univ, Chinese Antarctic Ctr Surveying &amp; Mapping, Wuhan 430079, Peoples R China; [Yang, Shujiang] Wuhan Univ, Res Ctr GNSS, Wuhan 430079, Peoples R China; [Che, Guowei] Tianjin Inst Surveying &amp; Mapping, Tianjin 300381, Peoples R China</t>
  </si>
  <si>
    <t>Wuhan University; Wuhan University; Wuhan University</t>
  </si>
  <si>
    <t>Wang, ZM (corresponding author), Wuhan Univ, Chinese Antarctic Ctr Surveying &amp; Mapping, Wuhan 430079, Peoples R China.</t>
  </si>
  <si>
    <t>zmwang@whu.edu.cn</t>
  </si>
  <si>
    <t>Du, Yu/IAQ-9365-2023; An, Jiachun/ABG-4275-2020; che, guowei/AAD-1456-2020; ZeMin, Wang/AAU-3422-2020</t>
  </si>
  <si>
    <t>National Natural Science Foundation of China [41174029, 41204028]; Polar Strategic Research Foundation of China [20110205]; Open Research Fund of Key Laboratory for Polar Science of State Oceanic Administration [KP201201]; Science and Technology Project of National Administration of Surveying, Mapping, and Geoinformation (Granted name Polar Geomatics Technology Test)</t>
  </si>
  <si>
    <t>National Natural Science Foundation of China(National Natural Science Foundation of China (NSFC)); Polar Strategic Research Foundation of China; Open Research Fund of Key Laboratory for Polar Science of State Oceanic Administration; Science and Technology Project of National Administration of Surveying, Mapping, and Geoinformation (Granted name Polar Geomatics Technology Test)</t>
  </si>
  <si>
    <t>This study is supported by the National Natural Science Foundation of China (Granted Nos. 41174029 and 41204028), the Polar Strategic Research Foundation of China (Granted No. 20110205), the Open Research Fund of Key Laboratory for Polar Science of State Oceanic Administration (Granted No. KP201201), and the Science and Technology Project of National Administration of Surveying, Mapping, and Geoinformation (Granted name Polar Geomatics Technology Test).</t>
  </si>
  <si>
    <t>KEAI PUBLISHING LTD</t>
  </si>
  <si>
    <t>16 DONGHUANGCHENGGEN NORTH ST, Building 5, Room 411, BEIJING, DONGCHENG DISTRICT 100009, PEOPLES R CHINA</t>
  </si>
  <si>
    <t>1674-4519</t>
  </si>
  <si>
    <t>1867-8777</t>
  </si>
  <si>
    <t>EARTHQ SCI</t>
  </si>
  <si>
    <t>Earthq. Sci.</t>
  </si>
  <si>
    <t>10.1007/s11589-013-0014-3</t>
  </si>
  <si>
    <t>Emerging Sources Citation Index (ESCI)</t>
  </si>
  <si>
    <t>V49BH</t>
  </si>
  <si>
    <t>WOS:000210062000002</t>
  </si>
  <si>
    <t>Peijnenburg, KTCA; Goetze, E</t>
  </si>
  <si>
    <t>Peijnenburg, Katja T. C. A.; Goetze, Erica</t>
  </si>
  <si>
    <t>High evolutionary potential of marine zooplankton</t>
  </si>
  <si>
    <t>ECOLOGY AND EVOLUTION</t>
  </si>
  <si>
    <t>Review</t>
  </si>
  <si>
    <t>Adaptation; climate change; marine; oceanic; selection; zooplankton</t>
  </si>
  <si>
    <t>KRILL EUPHAUSIA-SUPERBA; MOLECULAR POPULATION-GENETICS; COPEPOD CALANUS-FINMARCHICUS; NORTH-ATLANTIC OCEAN; LONG-TERM CHANGES; ANTARCTIC KRILL; MEGANYCTIPHANES-NORVEGICA; CLIMATE-CHANGE; COMPARATIVE PHYLOGEOGRAPHY; RECURRENT MUTATION</t>
  </si>
  <si>
    <t>Open ocean zooplankton often have been viewed as slowly evolving species that have limited capacity to respond adaptively to changing ocean conditions. Hence, attention has focused on the ecological responses of zooplankton to current global change, including range shifts and changing phenology. Here, we argue that zooplankton also are well poised for evolutionary responses to global change. We present theoretical arguments that suggest plankton species may respond rapidly to selection on mildly beneficial mutations due to exceptionally large population size, and consider the circumstantial evidence that supports our inference that selection may be particularly important for these species. We also review all primary population genetic studies of open ocean zooplankton and show that genetic isolation can be achieved at the scale of gyre systems in open ocean habitats (100s to 1000s of km). Furthermore, population genetic structure often varies across planktonic taxa, and appears to be linked to the particular ecological requirements of the organism. In combination, these characteristics should facilitate adaptive evolution to distinct oceanographic habitats in the plankton. We conclude that marine zooplankton may be capable of rapid evolutionary as well as ecological responses to changing ocean conditions, and discuss the implications of this view. We further suggest two priority areas for future research to test our hypothesis of high evolutionary potential in open ocean zooplankton, which will require (1) assessing how pervasive selection is in driving population divergence and (2) rigorously quantifying the spatial and temporal scales of population differentiation in the open ocean.</t>
  </si>
  <si>
    <t>[Peijnenburg, Katja T. C. A.] Univ Amsterdam, Inst Biodivers &amp; Ecosyst Dynam, NL-1090 GE Amsterdam, Netherlands; [Peijnenburg, Katja T. C. A.] Naturalis Biodivers Ctr, Dept Marine Zool, NL-2300 RA Leiden, Netherlands; [Goetze, Erica] Univ Hawaii Manoa, Sch Ocean &amp; Earth Sci &amp; Technol, Dept Oceanog, Honolulu, HI 96822 USA</t>
  </si>
  <si>
    <t>University of Amsterdam; Naturalis Biodiversity Center; University of Hawaii System; University of Hawaii Manoa</t>
  </si>
  <si>
    <t>Peijnenburg, KTCA (corresponding author), Univ Amsterdam, Inst Biodivers &amp; Ecosyst Dynam, POB 94248, NL-1090 GE Amsterdam, Netherlands.</t>
  </si>
  <si>
    <t>K.T.C.A.Peijnenburg@uva.nl</t>
  </si>
  <si>
    <t>Peijnenburg, Katja TCA/F-7176-2016</t>
  </si>
  <si>
    <t>Goetze, Erica/0000-0002-7273-4359</t>
  </si>
  <si>
    <t>NWO-VENI grant [863.08.024]; National Science Foundation (NSF) [OCE-1029478]; Directorate For Geosciences [1029478] Funding Source: National Science Foundation; Division Of Ocean Sciences [1029478] Funding Source: National Science Foundation</t>
  </si>
  <si>
    <t>NWO-VENI grant; National Science Foundation (NSF)(National Science Foundation (NSF)); Directorate For Geosciences(National Science Foundation (NSF)NSF - Directorate for Geosciences (GEO)); Division Of Ocean Sciences(National Science Foundation (NSF)NSF - Directorate for Geosciences (GEO))</t>
  </si>
  <si>
    <t>This work was supported by NWO-VENI grant 863.08.024 (to K. P.) and National Science Foundation (NSF) grant OCE-1029478 (to E. G.).</t>
  </si>
  <si>
    <t>2045-7758</t>
  </si>
  <si>
    <t>ECOL EVOL</t>
  </si>
  <si>
    <t>Ecol. Evol.</t>
  </si>
  <si>
    <t>10.1002/ece3.644</t>
  </si>
  <si>
    <t>202GA</t>
  </si>
  <si>
    <t>gold, Green Published</t>
  </si>
  <si>
    <t>WOS:000323200800029</t>
  </si>
  <si>
    <t>Bowman, JS; Larose, C; Vogel, TM; Deming, JW</t>
  </si>
  <si>
    <t>Bowman, J. S.; Larose, C.; Vogel, T. M.; Deming, J. W.</t>
  </si>
  <si>
    <t>Selective occurrence of Rhizobiales in frost flowers on the surface of young sea ice near Barrow, Alaska and distribution in the polar marine rare biosphere</t>
  </si>
  <si>
    <t>ENVIRONMENTAL MICROBIOLOGY REPORTS</t>
  </si>
  <si>
    <t>BACTERIAL COMMUNITIES; NITROGEN-FIXATION; EXOPOLYMERIC SUBSTANCES; ARCHAEAL COMMUNITIES; MAXIMUM-LIKELIHOOD; HYDROGEN-PEROXIDE; GROWTH; WINTER; TEMPERATURE; CHEMISTRY</t>
  </si>
  <si>
    <t>Frost flowers are highly saline ice structures that grow on the surface of young sea ice, a spatially extensive environment of increasing importance in the Arctic Ocean. In a previous study, we reported organic components of frost flowers in the form of elevated levels of bacteria and exopolymers relative to underlying ice. Here, DNA was extracted from frost flowers and young sea ice, collected in springtime from a frozen lead offshore of Barrow, Alaska, to identify bacteria in these understudied environments. Evaluation of the distribution of 16S rRNA genes via four methods (microarray analysis, T-RFLP, clone library and shotgun metagenomic sequencing) indicated distinctive bacterial assemblages between the two environments, with frost flowers appearing to select for Rhizobiales. A phylogenetic placement approach, used to evaluate the distribution of similar Rhizobiales sequences in other polar marine studies, indicated that some of the observed strains represent widely distributed members of the marine rare biosphere in both the Arctic and Antarctic.</t>
  </si>
  <si>
    <t>[Bowman, J. S.; Deming, J. W.] Univ Washington, Sch Oceanog, Seattle, WA 98195 USA; [Larose, C.; Vogel, T. M.] Univ Lyon, Ecole Cent Lyon, Lab AMPERE, Ecully, France</t>
  </si>
  <si>
    <t>University of Washington; University of Washington Seattle; Universite Claude Bernard Lyon 1; Ecole Centrale de Lyon; Institut National des Sciences Appliquees de Lyon - INSA Lyon</t>
  </si>
  <si>
    <t>Bowman, JS (corresponding author), Univ Washington, Sch Oceanog, Seattle, WA 98195 USA.</t>
  </si>
  <si>
    <t>bowmanjs@uw.edu</t>
  </si>
  <si>
    <t>Vogel, Teri/B-3467-2009</t>
  </si>
  <si>
    <t>Vogel, Teri/0000-0002-6673-0925; Vogel, Timothy/0000-0002-9542-3246; Bowman, Jeff/0000-0002-8811-6280</t>
  </si>
  <si>
    <t>NSF IGERT fellowship; EPA STAR fellowship; NSF OPP award [0908724]; Walters Endowed Professorship; 'Institut polaire francais Paul Emile Victor' (IPEV); Directorate For Geosciences; Office of Polar Programs (OPP) [0908724] Funding Source: National Science Foundation</t>
  </si>
  <si>
    <t>NSF IGERT fellowship(National Science Foundation (NSF)); EPA STAR fellowship(United States Environmental Protection Agency); NSF OPP award; Walters Endowed Professorship; 'Institut polaire francais Paul Emile Victor' (IPEV); Directorate For Geosciences; Office of Polar Programs (OPP)(National Science Foundation (NSF)NSF - Directorate for Geosciences (GEO))</t>
  </si>
  <si>
    <t>This work was supported by NSF IGERT and EPA STAR fellowships to J.S.B. and NSF OPP award 0908724 and Walters Endowed Professorship to J.W.D. The 'Institut polaire francais Paul Emile Victor' (IPEV) helped support the phylogenetic microarray work. We are grateful to the Barrow Arctic Science Consortium and Umiaq for valuable assistance in the field, and in particular to Nok Acker and Lewis Bower for their guidance.</t>
  </si>
  <si>
    <t>1758-2229</t>
  </si>
  <si>
    <t>ENV MICROBIOL REP</t>
  </si>
  <si>
    <t>Environ. Microbiol. Rep.</t>
  </si>
  <si>
    <t>10.1111/1758-2229.12047</t>
  </si>
  <si>
    <t>Environmental Sciences; Microbiology</t>
  </si>
  <si>
    <t>182QU</t>
  </si>
  <si>
    <t>WOS:000321759600012</t>
  </si>
  <si>
    <t>Hughes, KA; Pertierra, LR; Walton, DWH</t>
  </si>
  <si>
    <t>Hughes, K. A.; Pertierra, L. R.; Walton, D. W. H.</t>
  </si>
  <si>
    <t>Area protection in Antarctica: How can conservation and scientific research goals be managed compatibly?</t>
  </si>
  <si>
    <t>ENVIRONMENTAL SCIENCE &amp; POLICY</t>
  </si>
  <si>
    <t>Visitation; Conservation; Polar; Human impact; Environmental management; Protected area</t>
  </si>
  <si>
    <t>IMPACTS</t>
  </si>
  <si>
    <t>The footprint of human activities within Antarctica is increasing, making it essential to consider whether current conservation/protection of environmental and scientific values is adequate. The Antarctic protected area network has developed largely without any clear strategy, despite scientific attempts to promote protection of representative habitats. Many Antarctic Specially Protected Area (ASPA) Management Plans do not state clearly if conservation or science is the priority objective. This is problematic as science and conservation may have conflicting management requirements, i.e. visitation may benefit science, but harm conservation values. We examined recent estimated mean annual levels of visitation to ASPAs. On average, ASPAs protecting scientific research interests were visited twice as often as ASPAs conserving Antarctic habitat and biological communities. However, ASPAs protecting both science and conserving habitat were visited three times as often as ASPAs conserving habitat alone. Examination of visitation data showed that the proportion of visitors entering ASPAs for science, environmental management and/or education and tourism purposes, did not reflect the primary reason for designation, i.e. for science and/or conservation. One third of APSAs designated since the Environmental Protocol entered into force (1998) did not describe clearly the main reason for designation. Policy makers should consider (i) for all Management Plans stating unambiguously the reason an area has ASPA designation, e.g. either to protect habitat/environmental values or scientific research, in accordance with adopted guidance, (ii) designating new protected areas where visitation is kept to an absolute minimum to ensure the long-term conservation of Antarctic species and habitats without local human impacts (possibly located far from areas of human activity), and (iii) encouraging the use of zoning in ASPAs to help facilitate the current and future requirements of different scientific disciplines. (C) 2013 Elsevier Ltd. All rights reserved.</t>
  </si>
  <si>
    <t>[Hughes, K. A.; Walton, D. W. H.] NERC, British Antarctic Survey, Cambridge CB3 0ET, England; [Pertierra, L. R.] Univ Autonoma Madrid, Dept Ecol, E-28049 Madrid, Spain</t>
  </si>
  <si>
    <t>UK Research &amp; Innovation (UKRI); Natural Environment Research Council (NERC); NERC British Antarctic Survey; Autonomous University of Madrid</t>
  </si>
  <si>
    <t>Hughes, KA (corresponding author), NERC, British Antarctic Survey, Madingley Rd, Cambridge CB3 0ET, England.</t>
  </si>
  <si>
    <t>Pertierra, Luis R./0000-0002-2232-428X; Walton, David/0000-0002-7103-4043</t>
  </si>
  <si>
    <t>Universidad Autonoma de Madrid; Natural Environment Research Council [bas0100025] Funding Source: researchfish; NERC [bas0100025] Funding Source: UKRI</t>
  </si>
  <si>
    <t>Universidad Autonoma de Madrid; Natural Environment Research Council(UK Research &amp; Innovation (UKRI)Natural Environment Research Council (NERC)); NERC(UK Research &amp; Innovation (UKRI)Natural Environment Research Council (NERC))</t>
  </si>
  <si>
    <t>Luis Pertierra was in receipt of a grant from the Universidad Autonoma de Madrid that funded his work on this study at the British Antarctic Survey in Cambridge. The comments of three anonymous reviewers were greatly appreciated, and we would like to express our thanks. This paper is a contribution to the SCAR EBA (Evolution and Biodiversity in Antarctica) research programme and the British Antarctic Survey's Polar Science for Planet Earth core programme EO-LTMS (Environment Office-Long Term Monitoring and Survey).</t>
  </si>
  <si>
    <t>ELSEVIER SCI LTD</t>
  </si>
  <si>
    <t>THE BOULEVARD, LANGFORD LANE, KIDLINGTON, OXFORD OX5 1GB, OXON, ENGLAND</t>
  </si>
  <si>
    <t>1462-9011</t>
  </si>
  <si>
    <t>1873-6416</t>
  </si>
  <si>
    <t>ENVIRON SCI POLICY</t>
  </si>
  <si>
    <t>Environ. Sci. Policy</t>
  </si>
  <si>
    <t>10.1016/j.envsci.2013.03.012</t>
  </si>
  <si>
    <t>164SJ</t>
  </si>
  <si>
    <t>hybrid, Green Accepted</t>
  </si>
  <si>
    <t>WOS:000320429500012</t>
  </si>
  <si>
    <t>Romano, N; Ceccarelli, G; Caprera, C; Caccia, E; Baldassini, MR; Marino, G</t>
  </si>
  <si>
    <t>Romano, Nicla; Ceccarelli, Giuseppina; Caprera, Cecilia; Caccia, Elisabetta; Baldassini, Maria Rosaria; Marino, Giovanna</t>
  </si>
  <si>
    <t>Apoptosis in thymus of teleost fish</t>
  </si>
  <si>
    <t>FISH &amp; SHELLFISH IMMUNOLOGY</t>
  </si>
  <si>
    <t>Fish; Thymus; Apoptosis; Thymus ontogeny; Antarctic fish</t>
  </si>
  <si>
    <t>DICENTRARCHUS-LABRAX L.; CYPRINUS-CARPIO L; SEA BASS; STRESS; THYMOCYTES; ONTOGENY; PATHWAYS; DEATH; CELLS</t>
  </si>
  <si>
    <t>The presence and distribution of apoptotic cells during thymus development and in adult were studied by in situ end-labelling of fragmented DNA in three temperate species carp (Cyprinus carpio), sea bass (Dicentrarchus labrax) and dusky grouper (Epinephelus marginatus) and in the adult thymus of three Antarctic species belonging to the genus Trematomus spp. During thymus development some few isolated apoptotic cell (AC) firstly appeared in the central -external part of the organ (carp: 5 days ph; sea bass: 35 days ph grouper: 43 days ph). Initially the cells were isolated and then increased in number and aggregated in small groups in the outer-cortical region of the thymus larvae. The high density of apoptotic cells was observed in the junction between cortex and medulla from its appearance (border between cortex and medulla, BCM). ACs decreased in number in juveniles and adult as well as the ACs average diameter. In late juveniles and in adulthood, the apoptosis were restricted to the cortex. In Antarctic species the thymus is highly adapted to low temperature (high vascularisation to effort the circulation of glycoproteins enriched plasma and strongly compact parenchyma). The apoptosis process was more extended (4-7 fold) as compare with the thymus of temperate species, even if the distribution of ACs was similar in all examined species. Data suggested a common process of T lymphocyte negative-selection in BCM of thymus during the ontogeny. The selection process seems to be still active in adult polar fish, but restricted mainly in the cortex zone. (C) 2013 Elsevier Ltd. All rights reserved.</t>
  </si>
  <si>
    <t>[Romano, Nicla; Ceccarelli, Giuseppina; Caprera, Cecilia; Caccia, Elisabetta; Baldassini, Maria Rosaria] Univ Tuscia, Dept Ecol &amp; Biol, I-01100 Viterbo, Italy; [Marino, Giovanna] Natl Inst Environm Protect &amp; Res ISPRA, Rome, Italy</t>
  </si>
  <si>
    <t>Tuscia University; Italian Institute for Environmental Protection &amp; Research (ISPRA)</t>
  </si>
  <si>
    <t>Romano, N (corresponding author), Univ Tuscia, Dept Ecol &amp; Biol, Blocco D, I-01100 Viterbo, Italy.</t>
  </si>
  <si>
    <t>nromano@unitus.it</t>
  </si>
  <si>
    <t>romano, nicla/K-5010-2019</t>
  </si>
  <si>
    <t>romano, nicla/0000-0002-0155-8271</t>
  </si>
  <si>
    <t>1050-4648</t>
  </si>
  <si>
    <t>FISH SHELLFISH IMMUN</t>
  </si>
  <si>
    <t>Fish Shellfish Immunol.</t>
  </si>
  <si>
    <t>10.1016/j.fsi.2013.04.005</t>
  </si>
  <si>
    <t>Fisheries; Immunology; Marine &amp; Freshwater Biology; Veterinary Sciences</t>
  </si>
  <si>
    <t>188QB</t>
  </si>
  <si>
    <t>WOS:000322207500046</t>
  </si>
  <si>
    <t>Clark, KAJ; Brierley, AS; Pond, DW; Smith, VJ</t>
  </si>
  <si>
    <t>Clark, Katie A. J.; Brierley, Andrew S.; Pond, David W.; Smith, Valerie J.</t>
  </si>
  <si>
    <t>Changes in seasonal expression patterns of ecdysone receptor, retinoid X receptor and an A-type allatostatin in the copepod, Calanus finmarchicus, in a sea loch environment: An investigation of possible mediators of diapause</t>
  </si>
  <si>
    <t>GENERAL AND COMPARATIVE ENDOCRINOLOGY</t>
  </si>
  <si>
    <t>Diapause; Calanus finmarchicus; Gene expression; Retinoid X receptor; Ecdysone receptor; A-type allatostatin</t>
  </si>
  <si>
    <t>METHYL FARNESOATE; PROCAMBARUS-CLARKII; JUVENILE-HORMONE; MARINE COPEPOD; WAX ESTERS; MOLT; CRAYFISH; LIPIDS; CRAB; RXR</t>
  </si>
  <si>
    <t>The marine copepod, Calanus finmarchicus, is a crucial component of the pelagic food web in the North Atlantic and peripheral seas where it is a major player in biogeochemical cycles and the productivity of commercially important fisheries. A key stage in its life cycle is the emergence of the pre-adult, copepodite developmental stage five (CV) from a period of overwintering dormancy, known as diapause. As is the case in many insect species, diapause is also likely to be under endocrine control in C. finmarchicus. To investigate the hormonal regulation of diapause behaviour of stage CV C finmarchicus, the expression of three key genes: ecdysone receptor (EcR), retinoid X receptor (RXR) and an A-type allatostatin (A-type AST), were measured in specimens collected at monthly intervals from Loch Etive, a ca. 150 m deep sea loch on the west coast of Scotland, between June 2006 and May 2007. The full length RXR gene was cloned and sequenced from C finmarchicus, and was found to share 49-53% total identity with equivalent genes encoding proteins from other crustaceans, and &gt;80% identity in the DNA binding domain with other crustaceans, insects and vertebrates. EcR expression was least in December when the animals are expected to be in diapause, but began to increase in January, when the animals were terminating diapause. Concomittant with the rise in EcR in January was low expression of A-type AST and high expression of RXR. (C) 2013 Elsevier Inc. All rights reserved.</t>
  </si>
  <si>
    <t>[Clark, Katie A. J.; Brierley, Andrew S.; Smith, Valerie J.] Univ St Andrews, Scottish Oceans Inst, St Andrews KY16 8LB, Fife, Scotland; [Pond, David W.] British Antarctic Survey, Cambridge CB3 0ET, England</t>
  </si>
  <si>
    <t>University of St Andrews; UK Research &amp; Innovation (UKRI); Natural Environment Research Council (NERC); NERC British Antarctic Survey</t>
  </si>
  <si>
    <t>Smith, VJ (corresponding author), Univ St Andrews, Scottish Oceans Inst, St Andrews KY16 8LB, Fife, Scotland.</t>
  </si>
  <si>
    <t>vjs1@st-andrews.ac.uk</t>
  </si>
  <si>
    <t>Brierley, Andrew S/G-8019-2011</t>
  </si>
  <si>
    <t>SAMS; BBSRC (UK); Natural Environment Research Council [bas0100025] Funding Source: researchfish; NERC [bas0100025] Funding Source: UKRI</t>
  </si>
  <si>
    <t>SAMS; BBSRC (UK)(UK Research &amp; Innovation (UKRI)Biotechnology and Biological Sciences Research Council (BBSRC)); Natural Environment Research Council(UK Research &amp; Innovation (UKRI)Natural Environment Research Council (NERC)); NERC(UK Research &amp; Innovation (UKRI)Natural Environment Research Council (NERC))</t>
  </si>
  <si>
    <t>We wish to thank the crew of the R/V Seol Mara, Scottish Association for Marine Science (SAMS), Oban, Scotland, for assistance in the field. Thanks also go to Ms C. Brett for assistance with sample collection. This research was supported in part by a bursary from SAMS to ASB. KAJC was funded by a studentship from the BBSRC (UK).</t>
  </si>
  <si>
    <t>0016-6480</t>
  </si>
  <si>
    <t>1095-6840</t>
  </si>
  <si>
    <t>GEN COMP ENDOCR</t>
  </si>
  <si>
    <t>Gen. Comp. Endocrinol.</t>
  </si>
  <si>
    <t>10.1016/j.ygcen.2013.04.002</t>
  </si>
  <si>
    <t>Endocrinology &amp; Metabolism; Zoology</t>
  </si>
  <si>
    <t>175LF</t>
  </si>
  <si>
    <t>WOS:000321231500010</t>
  </si>
  <si>
    <t>Cromwell, G; Tauxe, L; Staudigel, H; Constable, CG; Koppers, AAP; Pedersen, RB</t>
  </si>
  <si>
    <t>Cromwell, G.; Tauxe, L.; Staudigel, H.; Constable, C. G.; Koppers, A. A. P.; Pedersen, R. -B.</t>
  </si>
  <si>
    <t>In search of long-term hemispheric asymmetry in the geomagnetic field : Results from high northern latitudes</t>
  </si>
  <si>
    <t>GEOCHEMISTRY GEOPHYSICS GEOSYSTEMS</t>
  </si>
  <si>
    <t>paleointensity; paleosecular variation; Jan Mayen; Spitsbergen; geomagnetic field</t>
  </si>
  <si>
    <t>PALEOSECULAR VARIATION; SECULAR VARIATION; INTENSITY; MODEL; LAVAS; AGE</t>
  </si>
  <si>
    <t>Investigations of the behavior of the geomagnetic field on geological timescales rely on globally distributed data sets from dated lava flows. We present the first suitable data from the Arctic region, comprising 37 paleomagnetic directions from Jan Mayen (71 degrees N, 0.2-461 ka) and Spitsbergen (79 degrees N, 1-9.2 Ma) and five paleointensity results. Dispersion of the Arctic virtual geomagnetic poles over the last 2 Ma (27.34.0 degrees) is significantly lower than that from published Antarctic data sets (32.15.0 degrees). Arctic average virtual axial dipole moment (76.824.3 ZAm(2)) is high in comparison to Antarctica over the same time interval (34.88.2 ZAm(2)), although the data are still too sparse in the Arctic to be definitive. These data support a long-lived hemispheric asymmetry of the magnetic field, contrasting higher, more stable fields in the north with lower average strength and more variable field directions in the south. Such features require significant non-axial-dipole contributions over 10(5)-10(6) years.</t>
  </si>
  <si>
    <t>[Cromwell, G.; Tauxe, L.] Univ Calif San Diego, Scripps Inst Oceanog, Geosci Res Div, La Jolla, CA 92093 USA; [Staudigel, H.; Constable, C. G.] Univ Calif San Diego, Scripps Inst Oceanog, Inst Geophys &amp; Planetary Phys, La Jolla, CA 92093 USA; [Koppers, A. A. P.] Oregon State Univ, Coll Earth Ocean &amp; Atmospher Sci, Corvallis, OR 97331 USA; [Pedersen, R. -B.] Univ Bergen, Ctr Geobiol, Dept Earth Sci, Bergen, Norway</t>
  </si>
  <si>
    <t>University of California System; University of California San Diego; Scripps Institution of Oceanography; University of California System; University of California San Diego; Scripps Institution of Oceanography; Oregon State University; University of Bergen</t>
  </si>
  <si>
    <t>Cromwell, G (corresponding author), Univ Calif San Diego, Scripps Inst Oceanog, Geosci Res Div, 9500 Gilman Dr, La Jolla, CA 92093 USA.</t>
  </si>
  <si>
    <t>gcromwell@ucsd.edu</t>
  </si>
  <si>
    <t>Constable, Catherine/F-7784-2010</t>
  </si>
  <si>
    <t>Constable, Catherine/0000-0003-4534-4977; Koppers, Anthony/0000-0002-8136-5372</t>
  </si>
  <si>
    <t>National Science Foundation [EAR9805164, EAR0838257, EAR0809709, EAR1141840]; Directorate For Geosciences; Division Of Earth Sciences [0809709] Funding Source: National Science Foundation; Division Of Earth Sciences; Directorate For Geosciences [1246826, 1141840] Funding Source: National Science Foundation</t>
  </si>
  <si>
    <t>National Science Foundation(National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</si>
  <si>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We thank Winfried Dallmann for significant logistical and field support in Spitsbergen and Leif-Erik Pedersen and Philip Staudigel for their hard work in the field collecting samples on Jan Mayen. We thank Brad Singer for his help with the 40Ar/39Ar experiments and for the use of his lab, and Bob Duncan for access to unpublished preliminary data from Jan Mayen. We appreciate Jason Steindorf's contributions to sample preparation and processing. Thanks to Jeff Gee for his constructive comments, and two anonymous reviewers who helped to greatly improve the manuscript. We are grateful to the crew of Jan Mayen, especially Ole Oiseth and Filip Myrvoll, for their hospitality and expertise. We thank Frank Vernon and Mert Ingraham for their assistance in adapting the Beeline differential GPS system for paleomagnetic work in Spitsbergen and Stephen Peter for training and troubleshooting with the ProMark3 GPS system. This material is based on work supported by National Science Foundation grants EAR9805164, EAR0838257, EAR0809709, and EAR1141840.</t>
  </si>
  <si>
    <t>1525-2027</t>
  </si>
  <si>
    <t>GEOCHEM GEOPHY GEOSY</t>
  </si>
  <si>
    <t>Geochem. Geophys. Geosyst.</t>
  </si>
  <si>
    <t>10.1002/ggge.20174</t>
  </si>
  <si>
    <t>242LF</t>
  </si>
  <si>
    <t>Green Published, Bronze</t>
  </si>
  <si>
    <t>WOS:000326242700038</t>
  </si>
  <si>
    <t>Whittaker, JM; Goncharov, A; Williams, SE; Müller, RD; Leitchenkov, G</t>
  </si>
  <si>
    <t>Whittaker, Joanne M.; Goncharov, Alexey; Williams, Simon E.; Mueller, R. Dietmar; Leitchenkov, German</t>
  </si>
  <si>
    <t>Global sediment thickness data set updated for the Australian-Antarctic Southern Ocean</t>
  </si>
  <si>
    <t>sediment thickness; Southern Ocean</t>
  </si>
  <si>
    <t>We present a new, 5 min sediment thickness grid for the Australian-Antarctic region (60 degrees E-155 degrees E, 30 degrees S-70 degrees S). New seismic reflection and refraction data have been used to add detail to the conjugate Australian and Antarctic margins and intervening ocean floor where regional sediment thickness patterns were poorly known previously. On the margins, sediment thickness estimates were computed from velocity-depth functions from sonobuoy/refraction velocity solutions ground-truthed against seismic reflection data. For the Southeast Indian Ridge abyssal plains, sediment thickness contours from Geli et al. (2007) were used. The new regional minimum sediment thickness grid was combined with the global National Geophysical Data Center (NGDC) sediment grid to create an updated global grid. Even using the minimum estimates, sediment accumulations on the extended Australian and Antarctic continental margins are 2 km thicker across large regions and up to 9 km thicker in the Ceduna Basin compared to the global NGDC compilation of sediment thickness data.</t>
  </si>
  <si>
    <t>[Whittaker, Joanne M.; Williams, Simon E.; Mueller, R. Dietmar] Univ Sydney, Sch Geosci, EarthByte Grp, Sydney, NSW 2006, Australia; [Goncharov, Alexey] Geosci Australia, Canberra, ACT, Australia; [Leitchenkov, German] Res Inst Geol &amp; Mineral Resources World Ocean, St Petersburg, Russia</t>
  </si>
  <si>
    <t>University of Sydney; Geoscience Australia</t>
  </si>
  <si>
    <t>Whittaker, JM (corresponding author), Univ Tasmania, Inst Marine &amp; Antarctic Studies, Hobart, Tas 2006, Australia.</t>
  </si>
  <si>
    <t>jo.whittaker@utas.edu.au</t>
  </si>
  <si>
    <t>Müller, Dietmar/L-1200-2019; Goncharov, Alexey/AAF-5171-2019; Whittaker, Joanne/B-3695-2010</t>
  </si>
  <si>
    <t>Müller, Dietmar/0000-0002-3334-5764; Whittaker, Joanne/0000-0002-3170-3935; Williams, Simon/0000-0003-4670-8883; Leitchenkov, German/0000-0001-6316-8511</t>
  </si>
  <si>
    <t>ARC [FL0992245]; Statoil</t>
  </si>
  <si>
    <t>ARC(Australian Research Council); Statoil</t>
  </si>
  <si>
    <t>Figures in this paper were created using GMT [Wessel and Smith, 1991]. S. W. and R. D. M were supported by ARC grant FL0992245. J.W. was supported by Statoil. We thank Karsten Gohl and an anonymous reviewer for their constructive reviews.</t>
  </si>
  <si>
    <t>10.1002/ggge.20181</t>
  </si>
  <si>
    <t>WOS:000326242700042</t>
  </si>
  <si>
    <t>Hawes, TC; Greenslade, P</t>
  </si>
  <si>
    <t>Hawes, Timothy C.; Greenslade, Penelope</t>
  </si>
  <si>
    <t>The aerial invertebrate fauna of subantarctic Macquarie Island</t>
  </si>
  <si>
    <t>JOURNAL OF BIOGEOGRAPHY</t>
  </si>
  <si>
    <t>Aerial dispersal; exotic species; flightlessness; insects; island biogeography; passive dispersal; wind-traps</t>
  </si>
  <si>
    <t>STATISTICAL-MODELS; CLIMATE-CHANGE; DISPERSAL; INSECTS; SPRINGTAILS; MIGRATION; CRUSTACEA; INVASION; RISK</t>
  </si>
  <si>
    <t>Aim The extent and diversity of invertebrate aerial dispersal both on remote islands and in polar regions has long been of interest to biogeographers. We therefore monitored the airborne dispersal of insects and other micro- and macroinvertebrates to and on Macquarie Island in order to assess (1) the magnitude and composition of local aerial dispersal activity by the island's invertebrate fauna, and (2) the potential for exotic arrival and establishment. Location Macquarie Island. Methods Two robust wind-traps were run year-round on Macquarie Island from 1991 to 1994 to collect airborne insects and other micro- and macroinvertebrates. Results More than 3000 invertebrates were caught in these traps over the sampling period in the most comprehensive aerial survey of subantarctic invertebrates to date. Representatives of seven orders of Insecta were captured: Psocoptera, Thysanoptera, Hemiptera, Coleoptera, Diptera, Lepidoptera and Hymenoptera. Other taxa captured included other arthropods (Arachnida and Collembola) but also terrestrial Gastropoda. Evidence of possible long-distance dispersal (LDD) was limited to two exotic catches (one species of Collembolon, and one species of Thysanoptera). The abundance and composition of indigenous invertebrates caught in the traps indicates that the frequency of short-distance dispersal (SDD) movements on the island far exceeds that which had previously been realized. Main conclusions More than half the total catch (53%) was of flightless (i.e. passively dispersed) invertebrates, with 84% of them flightless in one of the two traps. The extent of passive dispersal movements is consistent, with most invertebrates being widely distributed at a whole-island scale. Aerial dispersal may act as a conduit for non-indigenous arrivals but this occurs infrequently. Other explanations for exotic species in traps are equally likely. The implications of these findings are discussed in relation to terrestrial invertebrate biogeography.</t>
  </si>
  <si>
    <t>[Hawes, Timothy C.] Univ Otago, Dept Zool, Dunedin, New Zealand; [Greenslade, Penelope] Univ Ballarat, Sch Sci Informat Technol &amp; Engn, Ballarat, Vic 3353, Australia; [Greenslade, Penelope] Australian Natl Univ, Sch Biol, Canberra, ACT 0200, Australia</t>
  </si>
  <si>
    <t>University of Otago; Federation University Australia; Australian National University</t>
  </si>
  <si>
    <t>Greenslade, P (corresponding author), Univ Ballarat, Sch Sci Informat Technol &amp; Engn, Mt Helen Campus,GPO Box 663, Ballarat, Vic 3353, Australia.</t>
  </si>
  <si>
    <t>pgreenslade@staff.ballarat.edu.au</t>
  </si>
  <si>
    <t>Antarctic Scientific Advisory Committee (ASAC)</t>
  </si>
  <si>
    <t>The Antarctic Scientific Advisory Committee (ASAC) funded the project and the Australian Antarctic Division provided logistic support. Many thanks to a number of project officers who contributed to the acquisition of this data set on Macquarie Island, notably, Kendi Davis, Trudy Disney, Jean Jackson, Brett Melbourne, Peter Serov and Rieks van Klinken. Thanks also to Duncan McLaughlin and Derek Smith for technical help, to numerous Macquarie Island expeditioners for general assistance and to Peter Convey for reviewing an early draft of the manuscript and making many valuable suggestions. The Commonwealth Scientific and Industrial Research Organisation built the traps and Tasmanian National Parks and Wildlife Service granted permits to collect on the island.</t>
  </si>
  <si>
    <t>0305-0270</t>
  </si>
  <si>
    <t>1365-2699</t>
  </si>
  <si>
    <t>J BIOGEOGR</t>
  </si>
  <si>
    <t>J. Biogeogr.</t>
  </si>
  <si>
    <t>10.1111/jbi.12090</t>
  </si>
  <si>
    <t>Ecology; Geography, Physical</t>
  </si>
  <si>
    <t>183MZ</t>
  </si>
  <si>
    <t>WOS:000321821500009</t>
  </si>
  <si>
    <t>Hermant, M; Prinzing, A; Vernon, P; Convey, P; Hennion, F</t>
  </si>
  <si>
    <t>Hermant, Marie; Prinzing, Andreas; Vernon, Philippe; Convey, Peter; Hennion, Francoise</t>
  </si>
  <si>
    <t>Endemic species have highly integrated phenotypes, environmental distributions and phenotype-environment relationships</t>
  </si>
  <si>
    <t>Abiotic environmental gradients; endemism level; functional biogeography; island biogeography; Kerguelen Islands; life-history traits; multi-species comparison; phenotypic integration; range size; sub-Antarctic</t>
  </si>
  <si>
    <t>PRINGLEA-ANTISCORBUTICA; BIOLOGICAL ASPECTS; EVOLUTION; PLASTICITY; PLANTS; POPULATIONS; ANTARCTICA; PATTERNS; ECOLOGY; RANGE</t>
  </si>
  <si>
    <t>Aim Why are some species geographically restricted? Ecological explanations suggest that endemic species may have restricted distributions because limited phenotypic variability results in narrow niches. However, studying variability of traits independently may not fully explain the interactions within and between complex phenotypes and environments. Here, we hypothesize that endemic species are restricted to a narrow range of habitats due to strong phenotypic integration (i.e. strong correlations among traits), strong environmental integration (i.e. strong correlations among the environments occupied) and strong correlations among trait-environment combinations. Location The Kerguelen Islands, sub-Antarctic. Methods We measured flowering phenology, multiple morphological characters, and species distribution along three abiotic environmental gradients (elevation, soil moisture and soil salinity) in 14 plant species whose distributions range from strictly endemic to cosmopolitan. Results We found that for individual species, trait means and variances were independent of endemism, but that endemics occupied higher and less variable microhabitats. However, phenotypic integration, environmental integration along the three gradients, and the strength of trait-environment correlations all increased with the level of species endemism. Main conclusions Higher levels of integration within and between phenotypes and environments are associated with more restricted geographical ranges in the species studied. In endemic species phenotypic integration may explain range contraction during the taxon cycle and reduce the ability to adapt to novel microhabitats formed as a result of environmental change.</t>
  </si>
  <si>
    <t>[Hermant, Marie; Prinzing, Andreas; Hennion, Francoise] Univ Rennes 1, CNRS, UMR Ecobio Ecosyst 6553, F-35042 Rennes, France; [Hermant, Marie] Univ Lille 1, CNRS, UMR Genet &amp; Evolut Populat Vegetales 8198, F-59655 Villeneuve Dascq, France; [Prinzing, Andreas] Univ Wageningen &amp; Res Ctr, Alterra Ctr Ecosyst Studies, NL-6700 AA Wageningen, Netherlands; [Vernon, Philippe] Univ Rennes 1, UMR Ecobio Ecosyst 6553, Stn Biol Paimpont, F-35380 Paimpont, France; [Convey, Peter] British Antarctic Survey, Nat Environm Res Council, Cambridge CB3 0ET, England</t>
  </si>
  <si>
    <t>Universite de Rennes; Centre National de la Recherche Scientifique (CNRS); Centre National de la Recherche Scientifique (CNRS); Universite de Lille; Wageningen University &amp; Research; Universite de Rennes; UK Research &amp; Innovation (UKRI); Natural Environment Research Council (NERC); NERC British Antarctic Survey</t>
  </si>
  <si>
    <t>Hermant, M (corresponding author), Univ Rennes 1, CNRS, UMR Ecobio Ecosyst 6553, Batiment 14A,Av Gen Leclerc, F-35042 Rennes, France.</t>
  </si>
  <si>
    <t>mariehermant@orange.fr</t>
  </si>
  <si>
    <t>Convey, Peter/AAV-5728-2020; Vernon, Philippe/A-9019-2010; Hennion, Francoise/P-3356-2014</t>
  </si>
  <si>
    <t>Convey, Peter/0000-0001-8497-9903; Vernon, Philippe/0000-0002-6237-7511;</t>
  </si>
  <si>
    <t>Institut Polaire Paul Emile Victor programme [136]; Centre National de la Recherche Scientifique through ATIP grant; Zone-Atelier Antarctique; UMR Ecobio (CNRS - Universite de Rennes 1); Ministry of Research and Education (France); NERC [bas0100025] Funding Source: UKRI; Natural Environment Research Council [bas0100025] Funding Source: researchfish</t>
  </si>
  <si>
    <t>Institut Polaire Paul Emile Victor programme; Centre National de la Recherche Scientifique through ATIP grant; Zone-Atelier Antarctique; UMR Ecobio (CNRS - Universite de Rennes 1); Ministry of Research and Education (France); NERC(UK Research &amp; Innovation (UKRI)Natural Environment Research Council (NERC)); Natural Environment Research Council(UK Research &amp; Innovation (UKRI)Natural Environment Research Council (NERC))</t>
  </si>
  <si>
    <t>This work was supported by Institut Polaire Paul Emile Victor programme no. 136 (M. Lebouvier, UMR Ecobio, Universite de Rennes 1, Station Biologique de Paimpont), the Centre National de la Recherche Scientifique through ATIP grant (to A.P.), the Zone-Atelier Antarctique, and UMR Ecobio (CNRS - Universite de Rennes 1). This research is linked to the Evolution and Biodiversity in Antarctica' research programme of the Scientific Committee on Antarctic Research. M.H. was supported by a PhD grant from Ministry of Research and Education (France). We thank Kostas Triantis and anonymous referees for providing very helpful comments on earlier versions of the manuscript. We also thank Richard C. Winkworth for having greatly improved the English. Finally, we thank wintering volunteers Helene De Meringo, Quiterie Duron, Alexia Garnier and Marine Pascal for help with fieldwork and laboratory measurements.</t>
  </si>
  <si>
    <t>10.1111/jbi.12095</t>
  </si>
  <si>
    <t>WOS:000321821500016</t>
  </si>
  <si>
    <t>Purkey, SG; Johnson, GC</t>
  </si>
  <si>
    <t>Purkey, Sarah G.; Johnson, Gregory C.</t>
  </si>
  <si>
    <t>Antarctic Bottom Water Warming and Freshening: Contributions to Sea Level Rise, Ocean Freshwater Budgets, and Global Heat Gain</t>
  </si>
  <si>
    <t>Southern Ocean; Bottom currents; bottom water; Sea level; Energy budget; balance; Salinity; Climate variability</t>
  </si>
  <si>
    <t>WESTERN SOUTH-ATLANTIC; TEMPERATURE TRENDS; DEEP; ABYSSAL; CIRCULATION</t>
  </si>
  <si>
    <t>Freshening and warming of Antarctic Bottom Water (AABW) between the 1980s and 2000s are quantified, assessing the relative contributions of water-mass changes and isotherm heave. The analysis uses highly accurate, full-depth, ship-based, conductivity-temperature-depth measurements taken along repeated oceanographic sections around the Southern Ocean. Fresher varieties of AABW are present within the South Pacific and south Indian Oceans in the 2000s compared to the 1990s, with the strongest freshening in the newest waters adjacent to the Antarctic continental slope and rise indicating a recent shift in the salinity of AABW produced in this region. Bottom waters in the Weddell Sea exhibit significantly less water-mass freshening than those in the other two southern basins. However, a decrease in the volume of the coldest, deepest waters is observed throughout the entire Southern Ocean. This isotherm heave causes a salinification and warming on isobaths from the bottom up to the shallow potential temperature maximum. The water-mass freshening of AABW in the Indian and Pacific Ocean sectors is equivalent to a freshwater flux of 73 +/- 26 Gt yr(-1), roughly half of the estimated recent mass loss of the West Antarctic Ice Sheet. Isotherm heave integrated below 2000 m and south of 30 degrees S equates to a net heat uptake of 34 +/- 14 TW of excess energy entering the deep ocean from deep volume loss of AABW and 0.37 +/- 0.15 mm yr(-1) of sea level rise from associated thermal expansion.</t>
  </si>
  <si>
    <t>[Purkey, Sarah G.; Johnson, Gregory C.] Univ Washington, Sch Oceanog, Seattle, WA 98195 USA; [Purkey, Sarah G.; Johnson, Gregory C.] NOAA, Pacific Marine Environm Lab, Seattle, WA 98115 USA</t>
  </si>
  <si>
    <t>University of Washington; University of Washington Seattle; National Oceanic Atmospheric Admin (NOAA) - USA</t>
  </si>
  <si>
    <t>Purkey, SG (corresponding author), Univ Washington, Sch Oceanog, Box 357940, Seattle, WA 98195 USA.</t>
  </si>
  <si>
    <t>sarah.purkey@noaa.gov</t>
  </si>
  <si>
    <t>Purkey, Sarah G/K-1983-2012; Johnson, Gregory C/I-6559-2012</t>
  </si>
  <si>
    <t>Johnson, Gregory C/0000-0002-8023-4020; Purkey, Sarah/0000-0002-1893-6224</t>
  </si>
  <si>
    <t>NOAA Climate Program Office; NOAA Research; NASA Headquarters under the NASA Earth and Space Fellowship Program Grant [NNX11AL89H]</t>
  </si>
  <si>
    <t>NOAA Climate Program Office(National Oceanic Atmospheric Admin (NOAA) - USA); NOAA Research(National Oceanic Atmospheric Admin (NOAA) - USA); NASA Headquarters under the NASA Earth and Space Fellowship Program Grant</t>
  </si>
  <si>
    <t>We thank the hundreds of people who helped to collect, calibrate, process, and archive the WOCE and CLIVAR datasets, without whom global assessments of ocean variability like this one would be impossible. We also thank those who provided us with unreported SSW batch numbers for many cruises. D. Roemmich suggested an improvement for the error analysis. Finally, suggestions of two anonymous reviewers and editor Anand Gnanadesikan improved this manuscript. This work was supported by the NOAA Climate Program Office, NOAA Research, and NASA Headquarters under the NASA Earth and Space Fellowship Program Grant NNX11AL89H.</t>
  </si>
  <si>
    <t>10.1175/JCLI-D-12-00834.1</t>
  </si>
  <si>
    <t>WOS:000322759700024</t>
  </si>
  <si>
    <t>Sakamoto, KQ; Takahashi, A; Iwata, T; Yamamoto, T; Yamamoto, M; Trathan, PN</t>
  </si>
  <si>
    <t>Sakamoto, Kentaro Q.; Takahashi, Akinori; Iwata, Takashi; Yamamoto, Takashi; Yamamoto, Maki; Trathan, Philip N.</t>
  </si>
  <si>
    <t>Heart rate and estimated energy expenditure of flapping and gliding in black-browed albatrosses</t>
  </si>
  <si>
    <t>JOURNAL OF EXPERIMENTAL BIOLOGY</t>
  </si>
  <si>
    <t>black-browed albatross; Thalassarche melanophrys; flight; flapping; gliding; heart rate; energy expenditure; accelerometer</t>
  </si>
  <si>
    <t>WANDERING ALBATROSSES; METABOLIC-RATES; FLIGHT; SEABIRDS; GANNETS; BIRDS; COST; MELANOPHRYS; FREQUENCY; BEHAVIOR</t>
  </si>
  <si>
    <t>Albatrosses are known to expend only a small amount of energy during flight. The low energy cost of albatross flight has been attributed to energy-efficient gliding (soaring) with sporadic flapping, although little is known about how much time and energy albatrosses expend in flapping versus gliding during cruising flight. Here, we examined the heart rates (used as an instantaneous index of energy expenditure) and flapping activities of free-ranging black-browed albatrosses (Thalassarche melanophrys) to estimate the energy cost of flapping as well as time spent in flapping activities. The heart rate of albatrosses during flight (144 beats min(-1)) was similar to that while sitting on the water (150 beats min(-1)). In contrast, heart rate was much higher during takeoff and landing (ca. 200 beats min(-1)). Heart rate during cruising flight was linearly correlated with the number of wing flaps per minute, suggesting an extra energy burden of flapping. Albatrosses spend only 4.6 +/- 1.4% of their time flapping during cruising flight, which was significantly lower than during and shortly after takeoff (9.8 +/- 3.5%). Flapping activity, which amounted to just 4.6% of the time in flight, accounted for 13.3% of the total energy expenditure during cruising flight. These results support the idea that albatrosses achieve energy-efficient flight by reducing the time spent in flapping activity, which is associated with high energy expenditure.</t>
  </si>
  <si>
    <t>[Sakamoto, Kentaro Q.] Hokkaido Univ, Grad Sch Vet Med, Sapporo, Hokkaido 0600818, Japan; [Takahashi, Akinori; Iwata, Takashi] Grad Univ Adv Studies, Dept Polar Sci, Tachikawa, Tokyo 1908518, Japan; [Takahashi, Akinori; Yamamoto, Takashi] Natl Inst Polar Res, Tachikawa, Tokyo 1908518, Japan; [Yamamoto, Maki] Nagaoka Univ Technol, Dept Bioengn, Nagaoka, Niigata 9402188, Japan; [Trathan, Philip N.] NERC, British Antarctic Survey, Cambridge CB3 0ET, England</t>
  </si>
  <si>
    <t>Hokkaido University; Graduate University for Advanced Studies - Japan; Research Organization of Information &amp; Systems (ROIS); National Institute of Polar Research (NIPR) - Japan; Nagaoka University of Technology; UK Research &amp; Innovation (UKRI); Natural Environment Research Council (NERC); NERC British Antarctic Survey</t>
  </si>
  <si>
    <t>Sakamoto, KQ (corresponding author), Hokkaido Univ, Grad Sch Vet Med, Sapporo, Hokkaido 0600818, Japan.</t>
  </si>
  <si>
    <t>sakamoto@vetmed.hokudai.ac.jp</t>
  </si>
  <si>
    <t>Sakamoto, Kentaro/A-4843-2012; Iwata, Takashi/U-7234-2018; Sakamoto, Kentaro/N-7424-2019</t>
  </si>
  <si>
    <t>Sakamoto, Kentaro/0000-0002-8499-799X; Iwata, Takashi/0000-0001-5492-9411; Sakamoto, Kentaro/0000-0002-8499-799X; Takahashi, Akinori/0000-0002-9868-0408</t>
  </si>
  <si>
    <t>Japanese Antarctic Research Expedition; British Antarctic Survey during the International Polar Year; Japan Society for the Promotion of Science [22688023, 20310016]; Natural Environment Research Council [bas0100025] Funding Source: researchfish; NERC [bas0100025] Funding Source: UKRI; Grants-in-Aid for Scientific Research [20310016, 22688023, 24810031] Funding Source: KAKEN</t>
  </si>
  <si>
    <t>Japanese Antarctic Research Expedition; British Antarctic Survey during the International Polar Year; Japan Society for the Promotion of Science(Ministry of Education, Culture, Sports, Science and Technology, Japan (MEXT)Japan Society for the Promotion of Science);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</si>
  <si>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work was conducted as part of an international joint research project under the auspices of the Japanese Antarctic Research Expedition and the British Antarctic Survey during the International Polar Year, and was partially supported by a Grant-in-Aid for Scientific Research from the Japan Society for the Promotion of Science [22688023 to K.Q.S., 20310016 to A.T.].</t>
  </si>
  <si>
    <t>COMPANY OF BIOLOGISTS LTD</t>
  </si>
  <si>
    <t>CAMBRIDGE</t>
  </si>
  <si>
    <t>BIDDER BUILDING CAMBRIDGE COMMERCIAL PARK COWLEY RD, CAMBRIDGE CB4 4DL, CAMBS, ENGLAND</t>
  </si>
  <si>
    <t>0022-0949</t>
  </si>
  <si>
    <t>J EXP BIOL</t>
  </si>
  <si>
    <t>J. Exp. Biol.</t>
  </si>
  <si>
    <t>10.1242/jeb.079905</t>
  </si>
  <si>
    <t>Biology</t>
  </si>
  <si>
    <t>Life Sciences &amp; Biomedicine - Other Topics</t>
  </si>
  <si>
    <t>188TL</t>
  </si>
  <si>
    <t>Green Accepted, Bronze</t>
  </si>
  <si>
    <t>WOS:000322216600027</t>
  </si>
  <si>
    <t>Obermüller, BE; Truebano, M; Peck, LS; Eastman, JT; Morley, SA</t>
  </si>
  <si>
    <t>Obermueller, Birgit E.; Truebano, Manuela; Peck, Lloyd S.; Eastman, Joseph T.; Morley, Simon A.</t>
  </si>
  <si>
    <t>Reduced seasonality in elemental CHN composition of Antarctic marine benthic predators and scavengers</t>
  </si>
  <si>
    <t>Benthos; Carbon; Nitrogen; Polar; Proximate composition</t>
  </si>
  <si>
    <t>BRACHIOPOD LIOTHYRELLA-UVA; PROXIMATE BIOCHEMICAL-COMPOSITION; BIVALVE LATERNULA-ELLIPTICA; STAR OPHIONOTUS-VICTORIAE; MUSSEL MYTILUS-EDULIS; FRESH-WATER; ECOLOGICAL STOICHIOMETRY; GAMETOGENIC ECOLOGY; FEEDING BIOLOGY; SIGNY ISLAND</t>
  </si>
  <si>
    <t>At all but the lowest latitudes, photoperiod varies through the year, resulting in seasonal variation in coastal primary productivity. This leads to a pronounced seasonality in the physiology of most primary consumers, particularly in the seas around Antarctica, which are amongst the most seasonal on the planet. However, higher trophic levels have a more constant food supply and a recent study showed that a range of Antarctic benthic predators and scavengers had very little seasonal variation in physiology. This study investigated the seasonal signal in tissue elemental composition of these same five common benthic predators and scavengers: the gammarid amphipod Paraceradocus miersii; brittle star Ophionotus victoriae; nemertean Parborlasia corrugatus; nudibranch Doris kerguelenensis and tissues of the notothenioid fish Harpagifer antarcticus. Carbon (C), hydrogen (H) and nitrogen (N) contents and C:N ratios were determined for five to seven time points during one year at Adelaide Island, Antarctic Peninsula. Whilst there were significant differences between species, only P. miersii exhibited seasonal differences, with significantly higher CHN content and C:N ratio in summer than in winter. In the other four species, elemental composition and C:N ratio were very stable throughout the year, supporting the assumption of homeostasis in ecological stoichiometry of benthic consumers and adding to the previously measured lack of seasonal physiological patterns. Recent disruption of the annual patterns of primary productivity, due to reduced occurrence of winter sea ice, may, therefore, not have an immediate impact on higher trophic levels. (C) 2013 Elsevier B.V. All rights reserved.</t>
  </si>
  <si>
    <t>[Obermueller, Birgit E.; Truebano, Manuela; Peck, Lloyd S.; Morley, Simon A.] British Antarctic Survey, NERC, Cambridge CB3 0ET, England; [Eastman, Joseph T.] Ohio Univ, Dept Biomed Sci, Athens, OH 45701 USA</t>
  </si>
  <si>
    <t>UK Research &amp; Innovation (UKRI); Natural Environment Research Council (NERC); NERC British Antarctic Survey; University System of Ohio; Ohio University</t>
  </si>
  <si>
    <t>Morley, SA (corresponding author), British Antarctic Survey, NERC, High Cross,Madingley Rd, Cambridge CB3 0ET, England.</t>
  </si>
  <si>
    <t>smor@bas.ac.uk</t>
  </si>
  <si>
    <t>Truebano, Manuela/AAO-4545-2021; Eastman, Joseph T/A-9786-2008; Eastman, Joseph T./O-6150-2019</t>
  </si>
  <si>
    <t>Eastman, Joseph T./0000-0003-3868-261X; Truebano, Manuela/0000-0003-2586-6524</t>
  </si>
  <si>
    <t>Natural Environment Research council; National Scientific Diving Facility; NERC [dml011000, bas0100025] Funding Source: UKRI; Natural Environment Research Council [dml011000, bas0100025] Funding Source: researchfish</t>
  </si>
  <si>
    <t>Natural Environment Research council(UK Research &amp; Innovation (UKRI)Natural Environment Research Council (NERC)); National Scientific Diving Facility; NERC(UK Research &amp; Innovation (UKRI)Natural Environment Research Council (NERC)); Natural Environment Research Council(UK Research &amp; Innovation (UKRI)Natural Environment Research Council (NERC))</t>
  </si>
  <si>
    <t>The authors would like to thank Andy Clarke for valuable comments on an earlier draft of the manuscript. We are grateful to Paul Geissler who helped with CHN analysis and sample preparation. Dave Barnes and Melody Clark supported the study with useful advice and logistic support throughout. This study was funded by core funding from the Natural Environment Research council to the British Antarctic Survey's Ecosystems Program, Adaptations and Physiology project. Diving was supported by the National Scientific Diving Facility. [SS]</t>
  </si>
  <si>
    <t>10.1016/j.jembe.2013.06.001</t>
  </si>
  <si>
    <t>WOS:000323139200041</t>
  </si>
  <si>
    <t>Ozsoy-Cicek, B; Ackley, S; Xie, HJ; Yi, DH; Zwally, J</t>
  </si>
  <si>
    <t>Ozsoy-Cicek, Burcu; Ackley, Stephen; Xie, Hongjie; Yi, Donghui; Zwally, Jay</t>
  </si>
  <si>
    <t>Sea ice thickness retrieval algorithms based on in situ surface elevation and thickness values for application to altimetry</t>
  </si>
  <si>
    <t>JOURNAL OF GEOPHYSICAL RESEARCH-OCEANS</t>
  </si>
  <si>
    <t>sea ice thickness; snow depth; snow elevation; Antarctica; buoyancy theorem</t>
  </si>
  <si>
    <t>SNOW-DEPTH; AMSR-E; WEDDELL SEA; FREEBOARD; SUMMER; WINTER; FLUX; ANTARCTICA; OCEAN</t>
  </si>
  <si>
    <t>In situ measurements of sea ice thickness (I), snow depth (S), and snow freeboard (F-sn) from drilling profile lines from 15 cruises into the Southern Ocean, Antarctica, were analyzed. I was calculated from in situ F-sn and S using an isostatic approach. I was also directly estimated from F-sn as can be obtained from laser altimetry. The root-mean-square difference (RMSD) between observed and calculated I reduces, and the correlation between F-sn and I increases substantially, when (1) using values averaged over the survey lines (approximate to 50 m) instead of single drill hole measurements (approximate to 1 m) and (2) treating positive and negative sea ice freeboard (F-i) separately. For small F-i, however, S approximates F-sn pointing toward an isostatic balance also between S and I. Our linear regression analysis between the in situ measurements suggests a direct conversion of F-sn into I using a region-specific set of equations. RMSD values are similar to those obtained employing isostatic balance models and treating positive and negative F-i separately. However, more data would have been needed to obtain significant differences between most of the various models suggested. Still our new approach gives a viable alternative for Antarctic I retrieval from altimetric measurements of F-sn alone. Correlation between in situ observations of F-sn and S is high. RMSD between observed and calculated S is small. This suggests estimation of S from altimetric F-sn measurements. Such S has an estimated precision of approximate to 5 cm, and is neither affected by snow wetness or grain size nor limited to S&lt;50 cm.</t>
  </si>
  <si>
    <t>[Ozsoy-Cicek, Burcu] Istanbul Tech Univ, Maritime Fac, TR-80626 Istanbul, Turkey; [Ackley, Stephen; Xie, Hongjie] Univ Texas San Antonio, Dept Geol Sci, Lab Remote Sensing &amp; Geoinformat, San Antonio, TX USA; [Yi, Donghui; Zwally, Jay] NASA, Goddard Space Flight Ctr, Cryospher Sci Lab, Greenbelt, MD 20771 USA</t>
  </si>
  <si>
    <t>Istanbul Technical University; University of Texas System; University of Texas at San Antonio (UTSA); National Aeronautics &amp; Space Administration (NASA); NASA Goddard Space Flight Center</t>
  </si>
  <si>
    <t>Ozsoy-Cicek, B (corresponding author), Istanbul Tech Univ, Maritime Fac, MaRS Maritime Remote Sensing Lab, TR-34940 Tuzla Ist, Turkey.</t>
  </si>
  <si>
    <t>ozsoybu@itu.edu.tr</t>
  </si>
  <si>
    <t>Xie, Hongjie/B-5845-2009; Ozsoy, Burcu/AAH-5348-2020</t>
  </si>
  <si>
    <t>Xie, Hongjie/0000-0003-3516-1210; Ozsoy, Burcu/0000-0003-4320-1796; Yi, Donghui/0000-0001-6363-5538</t>
  </si>
  <si>
    <t>United States National Science Foundation (NSF) grant ANT [AWT0703682]; NASA grant [NNX08AQ87G]; Office of Polar Programs (OPP); Directorate For Geosciences [0839053] Funding Source: National Science Foundation; NASA [95455, NNX08AQ87G] Funding Source: Federal RePORTER</t>
  </si>
  <si>
    <t>United States National Science Foundation (NSF) grant ANT(National Science Foundation (NSF)); NASA grant(National Aeronautics &amp; Space Administration (NASA)); Office of Polar Programs (OPP); Directorate For Geosciences(National Science Foundation (NSF)NSF - Directorate for Geosciences (GEO)); NASA(National Aeronautics &amp; Space Administration (NASA))</t>
  </si>
  <si>
    <t>We dedicate this paper in memory of our colleague and friend, Seymour Laxon, who pioneered in the application of satellite altimetry to the measurement of sea ice thickness. We would like to acknowledge the scientists for their effort in conducting snow and ice thickness measurements for each cruise. We also would like to acknowledge captains, the officers, and crews who provided successful cruises. We want to thank the AADC (http://data.aad.gov.au/) for providing data. We wish to acknowledge United States National Science Foundation (NSF) grant ANT (AWT0703682) and NASA grant (NNX08AQ87G) to UTSA for support. We wish to acknowledge Stefan Kern and Cathleen Geiger for contributing with valuable discussions and two anonymous reviewers for their constructive comments and suggestions that greatly improved the paper.</t>
  </si>
  <si>
    <t>2169-9275</t>
  </si>
  <si>
    <t>2169-9291</t>
  </si>
  <si>
    <t>J GEOPHYS RES-OCEANS</t>
  </si>
  <si>
    <t>J. Geophys. Res.-Oceans</t>
  </si>
  <si>
    <t>10.1002/jgrc.20252</t>
  </si>
  <si>
    <t>224XX</t>
  </si>
  <si>
    <t>WOS:000324927000006</t>
  </si>
  <si>
    <t>Aigner, S; Remias, D; Karsten, U; Holzinger, A</t>
  </si>
  <si>
    <t>Aigner, Siegfried; Remias, Daniel; Karsten, Ulf; Holzinger, Andreas</t>
  </si>
  <si>
    <t>UNUSUAL PHENOLIC COMPOUNDS CONTRIBUTE TO ECOPHYSIOLOGICAL PERFORMANCE IN THE PURPLE-COLORED GREEN ALGA ZYGOGONIUM ERICETORUM (ZYGNEMATOPHYCEAE, STREPTOPHYTA) FROM A HIGH-ALPINE HABITAT</t>
  </si>
  <si>
    <t>JOURNAL OF PHYCOLOGY</t>
  </si>
  <si>
    <t>ZYGNEMA ZYGNEMATOPHYCEAE; ULTRAVIOLET-RADIATION; HYDROLYZABLE TANNINS; ANTARCTIC STRAINS; AMINO-ACIDS; SOIL CRUST; UV; PHOTOSYNTHESIS; ULTRASTRUCTURE; DESICCATION</t>
  </si>
  <si>
    <t>[Aigner, Siegfried; Holzinger, Andreas] Univ Innsbruck, Inst Bot, A-6020 Innsbruck, Austria; [Remias, Daniel] Univ Innsbruck, Inst Pharm, A-6020 Innsbruck, Austria; [Karsten, Ulf] Univ Rostock, Inst Biol Sci Appl Ecol &amp; Phycol, D-18057 Rostock, Germany</t>
  </si>
  <si>
    <t>University of Innsbruck; University of Innsbruck; University of Rostock</t>
  </si>
  <si>
    <t>Holzinger, A (corresponding author), Univ Innsbruck, Inst Bot, Sternwartestr 15, A-6020 Innsbruck, Austria.</t>
  </si>
  <si>
    <t>andreas.holzinger@uibk.ac.at</t>
  </si>
  <si>
    <t>Holzinger, Andreas/Z-2659-2019; Remias, Daniel/A-1966-2010</t>
  </si>
  <si>
    <t>Holzinger, Andreas/0000-0002-7745-3978; Remias, Daniel/0000-0003-0896-435X</t>
  </si>
  <si>
    <t>Deutsche Forschungsgemeinschaft (DFG) [KA899/ 16-1/2/3/4]; Austrian Science Fund FWF Project [P 24242-B16]; Austrian Science Fund (FWF) [P 24242] Funding Source: researchfish</t>
  </si>
  <si>
    <t>Deutsche Forschungsgemeinschaft (DFG)(German Research Foundation (DFG)); Austrian Science Fund FWF Project(Austrian Science Fund (FWF)); Austrian Science Fund (FWF)(Austrian Science Fund (FWF))</t>
  </si>
  <si>
    <t>We thank Prof. U. Lutz-Meindl, University of Salzburg, Austria for providing access to her high-pressure freezing device, and Mag. Ancuela Andosch for technical assistance. Financial support by the Deutsche Forschungsgemeinschaft (DFG) (KA899/ 16-1/2/3/4) is gratefully acknowledged by U.K. This study was supported by the Austrian Science Fund FWF Project P 24242-B16 to A.H.</t>
  </si>
  <si>
    <t>0022-3646</t>
  </si>
  <si>
    <t>1529-8817</t>
  </si>
  <si>
    <t>J PHYCOL</t>
  </si>
  <si>
    <t>J. Phycol.</t>
  </si>
  <si>
    <t>Plant Sciences; Marine &amp; Freshwater Biology</t>
  </si>
  <si>
    <t>261ZH</t>
  </si>
  <si>
    <t>hybrid, Green Accepted, Green Published</t>
  </si>
  <si>
    <t>WOS:000327703100004</t>
  </si>
  <si>
    <t>Ajani, P; Murray, S; Hallegraeff, G; Lundholm, N; Gillings, M; Brett, S; Armand, L</t>
  </si>
  <si>
    <t>Ajani, Penelope; Murray, Shauna; Hallegraeff, Gustaaf; Lundholm, Nina; Gillings, Michael; Brett, Steve; Armand, Leanne</t>
  </si>
  <si>
    <t>THE DIATOM GENUS PSEUDO-NITZSCHIA (BACILLARIOPHYCEAE) IN NEW SOUTH WALES, AUSTRALIA: MORPHOTAXONOMY, MOLECULAR PHYLOGENY, TOXICITY, AND DISTRIBUTION</t>
  </si>
  <si>
    <t>SP-NOV BACILLARIOPHYCEAE; COMPLEX BACILLARIOPHYCEAE; DOMOIC ACID; MORPHOLOGY; DIVERSITY; PUNGENS; INFERENCE; SHELLFISH; MRBAYES; TOXIN</t>
  </si>
  <si>
    <t>[Ajani, Penelope; Gillings, Michael; Armand, Leanne] Macquarie Univ, Dept Biol Sci, N Ryde, NSW 2109, Australia; [Ajani, Penelope; Murray, Shauna; Gillings, Michael; Armand, Leanne] Sydney Inst Marine Sci, Mosman, NSW 2088, Australia; [Murray, Shauna] Univ Technol Sydney, Plant Funct Biol &amp; Climate Change Cluster C3, Sydney, NSW 2007, Australia; [Hallegraeff, Gustaaf] Univ Tasmania, Inst Marine &amp; Antarctic Studies, Hobart, Tas 7001, Australia; [Lundholm, Nina] Univ Copenhagen, Nat Hist Museum Denmark, DK-1307 Copenhagen, Denmark; [Brett, Steve] Microalgal Serv, Ormond, Vic 3204, Australia</t>
  </si>
  <si>
    <t>Macquarie University; Sydney Institute of Marine Science; University of Technology Sydney; University of Tasmania; University of Copenhagen</t>
  </si>
  <si>
    <t>Ajani, P (corresponding author), Macquarie Univ, Dept Biol Sci, N Ryde, NSW 2109, Australia.</t>
  </si>
  <si>
    <t>penelope.ajani@mq.edu.au</t>
  </si>
  <si>
    <t>Murray, Shauna/K-5781-2015; Murray, Shauna/JAN-6668-2023; Ajani, Penelope/K-9987-2019; Lundholm, Nina/AAY-6249-2020; Armand, Leanne K/C-9004-2009; Gillings, Michael R/C-6553-2008; Hallegraeff, Gustaaf/C-8351-2013</t>
  </si>
  <si>
    <t>Murray, Shauna/0000-0001-7096-1307; Lundholm, Nina/0000-0002-2035-1997; Gillings, Michael R/0000-0002-4043-4351; Ajani, Penelope/0000-0001-5364-9936; Armand, Leanne/0000-0003-3995-308X; Hallegraeff, Gustaaf/0000-0001-8464-7343</t>
  </si>
  <si>
    <t>Australian Postgraduate Award; Australian Government's Australian Biological Resource Study [CT210-19]; Linnean Society of New South Wales</t>
  </si>
  <si>
    <t>Australian Postgraduate Award(Australian Government); Australian Government's Australian Biological Resource Study(Australian Government); Linnean Society of New South Wales</t>
  </si>
  <si>
    <t>The authors thank Tim Ingleton (OEH), Anthony Zammit, Grant Webster, and Melanie Field (NSW Food Authority), Dale and Lyn Witchard, Gary, Jo-Anne and Sam Rodely, John and Chris Ritchie, Dave Maidment, Matt Burgoyne, Stacey Loftus, Caroline Henry, Bill Foxwell, Anthony Sciacca, Richard Ellery, Stirling Cullenward, Greg Woodford, Graeme Campbell, Bob Simpson, Tony Troup, and Tony Bell (NSW Oyster farmers), and John Cipolla (beach-goer) for sample collection. We also thank Hazel Farrell (SIMS) and Linda Armbrecht (MQU) for cell isolations (Hawkesbury River and Coffs Harbour strains), and Rouna Yauwenas (UNSW) and Dr Ulysee Bove (SIMS) for laboratory assistance. Thanks to Nicole Vella and Debra Birch (MQU) for electron microscopy training, and Dr Lesley Rhodes and staff at Cawthron Institute (NZ). Dr Kimon Moschandreou (University of Thessaloniki) and Hong Chang Lim (University Malaysia Sarawak) are also acknowledged for invaluable discussions regarding Pseudo-nitzschia. This work was supported by an Australian Postgraduate Award, the Australian Government's Australian Biological Resource Study (CT210-19) and the Linnean Society of New South Wales. This is contribution number 94 from the Sydney Institute of Marine Science.</t>
  </si>
  <si>
    <t>WOS:000327703100016</t>
  </si>
  <si>
    <t>Choi, KS; Cha, YM; Chang, KH; Lee, JH</t>
  </si>
  <si>
    <t>Choi, Ki-Seon; Cha, Yu-Mi; Chang, Ki-Ho; Lee, Jong-Ho</t>
  </si>
  <si>
    <t>Multiple Linear Regression Model for Prediction of Summer Tropical Cyclone Genesis Frequency over the Western North Pacific</t>
  </si>
  <si>
    <t>JOURNAL OF THE KOREAN EARTH SCIENCE SOCIETY</t>
  </si>
  <si>
    <t>Multiple linear regression model; tropical cyclone genesis frequency; teleconnection pattern</t>
  </si>
  <si>
    <t>This study has developed a multiple linear regression model (MLRM) for the seasonal prediction of the summer tropical cyclone genesis frequency (TCGF) over the western North Pacific (WNP) using the four teleconnection patterns. These patterns are representative of the Siberian high Oscillation (SHO) in the East Asian continent, the North Pacific Oscillation (NPO) in the North Pacific, Antarctic oscillation (AAO) near Australia, and the circulation in the equatorial central Pacific during the boreal spring (April-May). This statistical model is verified by analyzing the differences hindcasted for the high and low TCGF years. The high TCGF years are characterized by the following anomalous features: four anomalous teleconnection patterns such as anticyclonic circulation (positive SHO phase) in the East Asian continent, pressure pattern like north-high and south-low in the North Pacific, and cyclonic circulation (positive AAO phase) near Australia, and cyclonic circulation in the Nino3.4 region were strengthened during the period from boreal spring to boreal summer. Thus, anomalous trade winds in the tropical western Pacific (TWP) were weakened by anomalous cyclonic circulations that located in the subtropical western Pacific (SWP) in both hemispheres. Consequently, this spatial distribution of anomalous pressure pattern suppressed convection in the TWP, strengthened convection in the SWP instead.</t>
  </si>
  <si>
    <t>[Choi, Ki-Seon; Cha, Yu-Mi; Chang, Ki-Ho; Lee, Jong-Ho] Korea Meteorol Adm, Natl Typhoon Ctr, Jeju 699942, South Korea</t>
  </si>
  <si>
    <t>Korea Meteorological Administration (KMA)</t>
  </si>
  <si>
    <t>Choi, KS (corresponding author), Korea Meteorol Adm, Natl Typhoon Ctr, Jeju 699942, South Korea.</t>
  </si>
  <si>
    <t>choiks@kma.go.kr</t>
  </si>
  <si>
    <t>project Management of National Typhoon Center, and Development of technology for the short and long range typhoon forecast in Development and application of technology for weather forecast - Korea Meteorological Administration (KMA) [NIMR-2013-B-1]</t>
  </si>
  <si>
    <t>project Management of National Typhoon Center, and Development of technology for the short and long range typhoon forecast in Development and application of technology for weather forecast - Korea Meteorological Administration (KMA)</t>
  </si>
  <si>
    <t>This research is supported by the project Management of National Typhoon Center, and Development of technology for the short and long range typhoon forecast in Development and application of technology for weather forecast (NIMR-2013-B-1) funded by Korea Meteorological Administration (KMA).</t>
  </si>
  <si>
    <t>KOREAN EARTH SCIENCE SOC</t>
  </si>
  <si>
    <t>CHEONG-WON-GUN</t>
  </si>
  <si>
    <t>KOREAN EARTH SCIENCE SOC, CHEONG-WON-GUN, 00000, SOUTH KOREA</t>
  </si>
  <si>
    <t>1225-6692</t>
  </si>
  <si>
    <t>2287-4518</t>
  </si>
  <si>
    <t>J KOR EARTH SCI SOC</t>
  </si>
  <si>
    <t>J. Kor. Earth Sci. Soc.</t>
  </si>
  <si>
    <t>10.5467/JKESS.2013.34.4.336</t>
  </si>
  <si>
    <t>VE5HE</t>
  </si>
  <si>
    <t>WOS:000439527800005</t>
  </si>
  <si>
    <t>Saunders, RA; Rasmussen, J; Tarling, GA; Brierley, AS</t>
  </si>
  <si>
    <t>Saunders, R. A.; Rasmussen, J.; Tarling, G. A.; Brierley, A. S.</t>
  </si>
  <si>
    <t>Distribution, population dynamics and growth rates of Thysanopoda acutifrons, Thysanoessa inermis and Nematobrachion boopis in the Irminger Sea, North Atlantic</t>
  </si>
  <si>
    <t>JOURNAL OF THE MARINE BIOLOGICAL ASSOCIATION OF THE UNITED KINGDOM</t>
  </si>
  <si>
    <t>euphausiids; body growth rates; population dynamics; Irminger Sea; North Atlantic</t>
  </si>
  <si>
    <t>KRILL MEGANYCTIPHANES-NORVEGICA; EUPHAUSIA-SUPERBA DANA; SUB-ARCTIC WATERS; CALANUS-FINMARCHICUS; COASTAL WATERS; LIFE-HISTORY; LONGICAUDATA; ABUNDANCE; TEMPERATURE; STRATEGIES</t>
  </si>
  <si>
    <t>Euphausiids are an important component of the northern North Atlantic ecosystem and several species are found in the Irminger Sea. However, data on euphausiids in this region are few, particularly for Thysanopoda acutifrons, Thysanoessa inermis and Nematobranchion boopis. In this paper, we present the first data since the 1930s on the seasonal distribution and population dynamics of these species from net haul data collected in the Irminger Sea during winter, spring and summer 2001-2002. Thysanoessa inermis was the most numerically abundant (0.63-26.62 ind. 1000 m(-3)) of the three species in the region and comprised a biomass of 3.92-41.74 mg 1000 m(-3). The species was largely found in the upper regions of the water column (0-400 m) and was distributed in the more on-shelf/shelf-break regions around East Greenland and Iceland. Growth rates were around 0.03 mm d(-1) for T. inermis and there was some evidence that either the timing of spawning was delayed, or larval development was prolonged in the region. Thysanopoda acutifrons was predominantly distributed below 400 m in more oceanic regions and had a low abundance (1.23-1.64 ind. 1000 m(-3)) throughout the Irminger Sea. However, the species comprised a relatively high proportion of biomass (19.39-31.33 mg 1000 m(-3)) due to its large body size. Our data showed that the species had low rates of growth (0.04 mm d(-1)) and development throughout the year, and that the reproductive season occurred during the overwintering period (November/December) once individuals had reached two years of age. Nematobranchion boopis mainly occurred below 400 m at low abundance (0.06-0.18 ind. 1000 m(-3)) levels throughout the region. The species was largely found where Atlantic waters prevailed in the Irminger Current and its growth rates were variable (0.02-0.06 mm d(-1)). Nematobranchion boopis was a year-round spawner and the species had fairly rapid rates of post-larval development, with the newly spawned 0-group reaching sexual maturity within the first 6 months. Data presented in this paper provide useful baselines for understanding the possible impacts of long-term, broad-scale environmental change on the ecology of euphausiid communities in the Irminger Sea.</t>
  </si>
  <si>
    <t>[Saunders, R. A.; Tarling, G. A.] British Antarctic Survey, Cambridge CB3 0ET, England; [Rasmussen, J.] Marine Scotland, Aberdeen AB11 9DB, Scotland; [Saunders, R. A.; Brierley, A. S.] Univ St Andrews, Scottish Oceans Inst, St Andrews KY16 8LB, Fife, Scotland</t>
  </si>
  <si>
    <t>UK Research &amp; Innovation (UKRI); Natural Environment Research Council (NERC); NERC British Antarctic Survey; Marine Scotland Science (MSS); University of St Andrews</t>
  </si>
  <si>
    <t>Saunders, RA (corresponding author), British Antarctic Survey, Madingley Rd, Cambridge CB3 0ET, England.</t>
  </si>
  <si>
    <t>ryaund@bas.ac.uk</t>
  </si>
  <si>
    <t>Brierley, Andrew S/G-8019-2011; Rasmussen, Jens/N-2460-2014</t>
  </si>
  <si>
    <t>Rasmussen, Jens/0000-0002-3139-6365</t>
  </si>
  <si>
    <t>Natural Environment Research Council, UK, under the Marine Productivity Thematic Programme; Natural Environment Research Council [bas0100025] Funding Source: researchfish; NERC [bas0100025] Funding Source: UKRI</t>
  </si>
  <si>
    <t>Natural Environment Research Council, UK, under the Marine Productivity Thematic Programme; Natural Environment Research Council(UK Research &amp; Innovation (UKRI)Natural Environment Research Council (NERC)); NERC(UK Research &amp; Innovation (UKRI)Natural Environment Research Council (NERC))</t>
  </si>
  <si>
    <t>This work was funded by the Natural Environment Research Council, UK, under the Marine Productivity Thematic Programme. We thank the Marine Productivity Summer School participants at the University of Aberdeen, especially A. Ingvasdottir, S. Hay, S. McRobert and I. Roberts, for assistance with processing zooplankton samples, K. Anderson for help with statistical analysis and J. Hunter for assisting with net sampling during all four cruises. We are also grateful to the Masters, officers and crew of RRS 'Discovery' for their assistance at sea. R. A. S. and G. A. T. were supported by the Ecosystems Programme at the British Antarctic Survey during the writing of the manuscript.</t>
  </si>
  <si>
    <t>0025-3154</t>
  </si>
  <si>
    <t>J MAR BIOL ASSOC UK</t>
  </si>
  <si>
    <t>J. Mar. Biol. Assoc. U.K.</t>
  </si>
  <si>
    <t>10.1017/S0025315412001385</t>
  </si>
  <si>
    <t>Marine &amp; Freshwater Biology</t>
  </si>
  <si>
    <t>179HI</t>
  </si>
  <si>
    <t>WOS:000321510200013</t>
  </si>
  <si>
    <t>Han, H; Lee, J; Lee, H</t>
  </si>
  <si>
    <t>Han, Hyangsun; Lee, Joohan; Lee, Hoonyol</t>
  </si>
  <si>
    <t>Accuracy Assessment of Tide Models in Terra Nova Bay, East Antarctica, for Glaciological Studies of DDInSAR Technique</t>
  </si>
  <si>
    <t>KOREAN JOURNAL OF REMOTE SENSING</t>
  </si>
  <si>
    <t>Korean</t>
  </si>
  <si>
    <t>DDInSAR; tide model; accuracy assessment; in situ tide height; difference of tide height; inverse barometer effect; tide constituents</t>
  </si>
  <si>
    <t>Accuracy assessment of tide models in polar ocean has to be performed to accurately analyze tidal response of glaciers by using Double-Differential Interferometric SAR (DDInSAR) technique. In this study, we used 120 DDInSAR images generated from 16 one-day tandem COSMOSkyMed DInSAR pairs obtained for 2 years and in situ tide height for 11 days measured by a pressure type wave recorder to assess the accuracy of tide models such as TPXO7.1, FES2004, CATS2008a and Ross_ Inv in Terra Nova Bay, East Antarctica. Firstly, we compared the double-differential tide height (Delta T) for Campbell Glacier Tongue extracted from the DDInSAR images with that predicted by the tide models. Tide height (T) from in situ measurement was compared to that of the tide models. We also compared 24-hours difference of tide height (Delta T) from in situ tide height with that from the tide models. The root mean square error (RMSE) of Delta T, T and. T decreased after the inverse barometer effect (IBE)correction of the tide models, from which we confirmed that the IBE of tide models should be corrected requisitely. The RMSE of T and Delta T were smaller than that of T. This was because. T is the difference of tide height during temporal baseline of the DInSAR pairs (24 hours), in which the errors from mean sea level of the tide models and in situ tide, and the tide constituents of S2, K2, K1 and P1 used in the tide models were canceled. This confirmed that. T and Delta T predicted by the IBE-corrected tide models can be used in DDInSAR technique. It was difficult to select an optimum tide model for DDInSAR in Terra Nova Bay by using in situ tide height measured in a short period. However, we could confirm that Ross_Inv is the optimum tide model as it showed the smallest RMSE of 4.1 cm by accuracy assessment using the DDInSAR images.</t>
  </si>
  <si>
    <t>[Han, Hyangsun; Lee, Hoonyol] Kangwon Natl Univ, Dept Geophys, Chunchon, South Korea; [Lee, Joohan] Korea Polar Res Inst, Unit New Antarctic Stn, Incheon, South Korea</t>
  </si>
  <si>
    <t>Kangwon National University; Korea Polar Research Institute (KOPRI)</t>
  </si>
  <si>
    <t>Lee, H (corresponding author), Kangwon Natl Univ, Dept Geophys, Chunchon, South Korea.</t>
  </si>
  <si>
    <t>hoonyol@kangwon.ac.kr</t>
  </si>
  <si>
    <t>Han, Hyangsun/AAE-7670-2022</t>
  </si>
  <si>
    <t>Han, Hyangsun/0000-0002-0414-519X; Lee, Hoonyol/0000-0002-5980-8640</t>
  </si>
  <si>
    <t>KOREAN SOC REMOTE SENSING</t>
  </si>
  <si>
    <t>SEOUL</t>
  </si>
  <si>
    <t>KOREAN SOC REMOTE SENSING, SEOUL, 00000, SOUTH KOREA</t>
  </si>
  <si>
    <t>1225-6161</t>
  </si>
  <si>
    <t>2287-9307</t>
  </si>
  <si>
    <t>KOREAN J REMOTE SENS</t>
  </si>
  <si>
    <t>Korean J. Remote Sensing</t>
  </si>
  <si>
    <t>Remote Sensing</t>
  </si>
  <si>
    <t>VA6RV</t>
  </si>
  <si>
    <t>WOS:000410220900003</t>
  </si>
  <si>
    <t>Wouters, B; Bamber, JL; van den Broeke, MR; Lenaerts, JTM; Sasgen, I</t>
  </si>
  <si>
    <t>Wouters, B.; Bamber, J. L.; van den Broeke, M. R.; Lenaerts, J. T. M.; Sasgen, I.</t>
  </si>
  <si>
    <t>Limits in detecting acceleration of ice sheet mass loss due to climate variability</t>
  </si>
  <si>
    <t>NATURE GEOSCIENCE</t>
  </si>
  <si>
    <t>SEA-LEVEL RISE; GREENLAND; GLACIER</t>
  </si>
  <si>
    <t>The Greenland and Antarctic ice sheets have been reported to be losing mass at accelerating rates(1,2). If sustained, this accelerating mass loss will result in a global mean sea-level rise by the year 2100 that is approximately 43 cm greater than if a linear trend is assumed(2). However, at present there is no scientific consensus on whether these reported accelerations result from variability inherent to the ice-sheet-climate system, or reflect long-term changes and thus permit extrapolation to the future(3). Here we compare mass loss trends and accelerations in satellite data collected between January 2003 and September 2012 from the Gravity Recovery and Climate Experiment to long-term mass balance time series from a regional surface mass balance model forced by reanalysis data. We find that the record length of spaceborne gravity observations is too short at present to meaningfully separate long-term accelerations from short-term ice sheet variability. We also find that the detection threshold of mass loss acceleration depends on record length: to detect an acceleration at an accuracy within +/- 10 Gt yr(-2), a period of 10 years or more of observations is required for Antarctica and about 20 years for Greenland. Therefore, climate variability adds uncertainty to extrapolations of future mass loss and sea-level rise, underscoring the need for continuous long-term satellite monitoring.</t>
  </si>
  <si>
    <t>[Wouters, B.; Bamber, J. L.] Bristol Glaciol Ctr, Sch Geog Sci, Bristol BS8 1SS, Avon, England; [Wouters, B.] Univ Colorado, Dept Phys, Boulder, CO 80309 USA; [van den Broeke, M. R.; Lenaerts, J. T. M.] Univ Utrecht, Inst Marine &amp; Atmospher Res, NL-3508 TA Utrecht, Netherlands; [Sasgen, I.] Deutsches GeoForschungsZentrum GFZ, D-14473 Potsdam, Germany</t>
  </si>
  <si>
    <t>University of Bristol; University of Colorado System; University of Colorado Boulder; Utrecht University; Helmholtz Association; Helmholtz-Center Potsdam GFZ German Research Center for Geosciences</t>
  </si>
  <si>
    <t>Wouters, B (corresponding author), Bristol Glaciol Ctr, Sch Geog Sci, Bristol BS8 1SS, Avon, England.</t>
  </si>
  <si>
    <t>bert.wouters@bristol.ac.uk</t>
  </si>
  <si>
    <t>Lenaerts, Jan/D-9423-2012; Bamber, Jonathan/C-7608-2011; Van den Broeke, Michiel R./F-7867-2011; Wouters, Bert/AAA-4254-2019</t>
  </si>
  <si>
    <t>Lenaerts, Jan/0000-0003-4309-4011; Bamber, Jonathan/0000-0002-2280-2819; Van den Broeke, Michiel R./0000-0003-4662-7565; Wouters, Bert/0000-0002-1086-2435</t>
  </si>
  <si>
    <t>European Community [FP7-PEOPLE-2011-IOF-301260]; German Research Foundation (DFG) [SA 1734/2-2]; NERC [NE/I027401/1]; NERC [NE/I027401/1] Funding Source: UKRI; Natural Environment Research Council [NE/I027401/1] Funding Source: researchfish</t>
  </si>
  <si>
    <t>European Community; German Research Foundation (DFG)(German Research Foundation (DFG)); NERC(UK Research &amp; Innovation (UKRI)Natural Environment Research Council (NERC)); NERC(UK Research &amp; Innovation (UKRI)Natural Environment Research Council (NERC)); Natural Environment Research Council(UK Research &amp; Innovation (UKRI)Natural Environment Research Council (NERC))</t>
  </si>
  <si>
    <t>The GRACE processing centres are acknowledged for processing and sharing the GRACE data. We thank G. A, R. Riva and P. Stocchi for providing glacial isostatic adjustment models and E. Rignot for the Greenland ice discharge data. B. W. is financially supported by a Marie Curie International Outgoing Fellowship within the 7th European Community Framework Programme (FP7-PEOPLE-2011-IOF-301260). I. S. would like to acknowledge support from the German Research Foundation (DFG) through grant SA 1734/2-2. J.L.B. was supported by NERC grant NE/I027401/1.</t>
  </si>
  <si>
    <t>NATURE PORTFOLIO</t>
  </si>
  <si>
    <t>BERLIN</t>
  </si>
  <si>
    <t>HEIDELBERGER PLATZ 3, BERLIN, 14197, GERMANY</t>
  </si>
  <si>
    <t>1752-0894</t>
  </si>
  <si>
    <t>1752-0908</t>
  </si>
  <si>
    <t>NAT GEOSCI</t>
  </si>
  <si>
    <t>Nat. Geosci.</t>
  </si>
  <si>
    <t>10.1038/NGEO1874</t>
  </si>
  <si>
    <t>191VK</t>
  </si>
  <si>
    <t>WOS:000322441900010</t>
  </si>
  <si>
    <t>Clark, NA; Williams, M; Hill, DJ; Quilty, PG; Smellie, JL; Zalasiewicz, J; Leng, MJ; Ellis, MA</t>
  </si>
  <si>
    <t>Clark, Nicola A.; Williams, Mark; Hill, Daniel J.; Quilty, Patrick G.; Smellie, John L.; Zalasiewicz, Jan; Leng, Melanie J.; Ellis, Michael A.</t>
  </si>
  <si>
    <t>Fossil proxies of near-shore sea surface temperatures and seasonality from the late Neogene Antarctic shelf</t>
  </si>
  <si>
    <t>NATURWISSENSCHAFTEN</t>
  </si>
  <si>
    <t>Antarctica; Palaeoclimate; Pliocene; Proxy; Climate models</t>
  </si>
  <si>
    <t>JAMES-ROSS-ISLAND; PLIOCENE SORSDAL FORMATION; ICE-SHEET EVOLUTION; SOUTHERN-OCEAN; VESTFOLD HILLS; EAST ANTARCTICA; GLACIAL HISTORY; MCMURDO SOUND; PRYDZ BAY; VICTORIA LAND</t>
  </si>
  <si>
    <t>We evaluate the available palaeontological and geochemical proxy data from bivalves, bryozoans, silicoflagellates, diatoms and cetaceans for sea surface temperature (SST) regimes around the nearshore Antarctic coast during the late Neogene. These fossils can be found in a number of shallow marine sedimentary settings from three regions of the Antarctic continent, the northern Antarctic Peninsula, the Prydz Bay region and the western Ross Sea. Many of the proxies suggest maximum spring-summer SSTs that are warmer than present by up to 5 A degrees C, which would result in reduced seasonal sea ice. The evidence suggests that the summers on the Antarctic shelf during the late Neogene experienced most of the warming, while winter SSTs were little changed from present. Feedbacks from changes in summer sea ice cover may have driven much of the late Neogene ocean warming seen in stratigraphic records. Synthesized late Neogene and earliest Quaternary Antarctic shelf proxy data are compared to the multi-model SST estimates of the Pliocene Model Intercomparison Project (PlioMIP) Experiment 2. Despite the fragmentary geographical and temporal context for the SST data, comparisons between the SST warming in each of the three regions represented in the marine palaeontological record of the Antarctic shelf and the PlioMIP climate simulations show a good concordance.</t>
  </si>
  <si>
    <t>[Clark, Nicola A.; Williams, Mark; Smellie, John L.; Zalasiewicz, Jan; Leng, Melanie J.] Univ Leicester, Dept Geol, Leicester LE1 7RH, Leics, England; [Hill, Daniel J.] Univ Leeds, Sch Earth &amp; Environm, Leeds LS2 9JT, W Yorkshire, England; [Hill, Daniel J.; Leng, Melanie J.] British Geol Survey, Ctr Environm Sci, Nottingham NG12 5GG, England; [Quilty, Patrick G.] Univ Tasmania, Sch Earth Sci, Hobart, Tas 7001, Australia; [Ellis, Michael A.] British Geol Survey, Nottingham NG12 5GG, England</t>
  </si>
  <si>
    <t>University of Leicester; University of Leeds; UK Research &amp; Innovation (UKRI); Natural Environment Research Council (NERC); NERC British Geological Survey; University of Tasmania; UK Research &amp; Innovation (UKRI); Natural Environment Research Council (NERC); NERC British Geological Survey</t>
  </si>
  <si>
    <t>Clark, NA (corresponding author), Univ Leicester, Dept Geol, Univ Rd, Leicester LE1 7RH, Leics, England.</t>
  </si>
  <si>
    <t>nc118@le.ac.uk</t>
  </si>
  <si>
    <t>Ellis, Michael Alexander A/M-4505-2018; Ellis, Michael/AAP-2039-2020; Williams, Mark/B-7590-2009</t>
  </si>
  <si>
    <t>Ellis, Michael Alexander A/0000-0002-6613-3565; Ellis, Michael/0000-0002-6613-3565; Leng, Melanie/0000-0003-1115-5166; Hill, Daniel/0000-0001-5492-3925; Williams, Mark/0000-0002-7987-6069</t>
  </si>
  <si>
    <t>Department of Geology at the University of Leicester; Leverhulme Trust [ECF-2011-205]; British Geological Survey; National Centre for Atmospheric Science; NERC [bgs05002, nigl010001] Funding Source: UKRI; Natural Environment Research Council [ncas10009, nigl010001, bgs05002] Funding Source: researchfish</t>
  </si>
  <si>
    <t>Department of Geology at the University of Leicester; Leverhulme Trust(Leverhulme Trust); British Geological Survey; National Centre for Atmospheric Science; NERC(UK Research &amp; Innovation (UKRI)Natural Environment Research Council (NERC)); Natural Environment Research Council(UK Research &amp; Innovation (UKRI)Natural Environment Research Council (NERC))</t>
  </si>
  <si>
    <t>NAC thanks the Department of Geology at the University of Leicester for funding this research project. Thanks are also extended to the British Geology Survey Climate Change programme and the National Environment Research Council (NERC) Isotope Geosciences Laboratory (NIGL) for advice and the use of facilities for isotope analysis. Personal thanks go to Ian Millar from the British Geological Survey for helping with the strontium dating of bivalve shells from James Ross Island. We also appreciate the work and collaboration from the Pliocene Research, Interpretation and Synoptic Mapping (PRISM) and the Pliocene Paleoclimate Modelling Intercomparison (PlioMIP) projects as well as discussions facilitated by associated conferences especially with H. Dowsett (USGS). DH acknowledges the Leverhulme Trust for provision of an Early Career Fellowship (ECF-2011-205), and acknowledges financial support by the British Geological Survey and National Centre for Atmospheric Science. We are very grateful for the constructive comments of four reviewers and the journal editors that have greatly improved the clarity of our paper.</t>
  </si>
  <si>
    <t>0028-1042</t>
  </si>
  <si>
    <t>1432-1904</t>
  </si>
  <si>
    <t>Naturwissenschaften</t>
  </si>
  <si>
    <t>10.1007/s00114-013-1075-9</t>
  </si>
  <si>
    <t>Multidisciplinary Sciences</t>
  </si>
  <si>
    <t>Science &amp; Technology - Other Topics</t>
  </si>
  <si>
    <t>183AY</t>
  </si>
  <si>
    <t>WOS:000321787200001</t>
  </si>
  <si>
    <t>Shadwick, EH; Trull, TW; Thomas, H; Gibson, JAE</t>
  </si>
  <si>
    <t>Shadwick, E. H.; Trull, T. W.; Thomas, H.; Gibson, J. A. E.</t>
  </si>
  <si>
    <t>Vulnerability of Polar Oceans to Anthropogenic Acidification: Comparison of Arctic and Antarctic Seasonal Cycles</t>
  </si>
  <si>
    <t>SCIENTIFIC REPORTS</t>
  </si>
  <si>
    <t>DISSOLVED INORGANIC CARBON; NET COMMUNITY PRODUCTION; ROSS SEA; CO2 FLUXES; IRON; PHYTOPLANKTON; ICE; DYNAMICS; DIOXIDE; CHUKCHI</t>
  </si>
  <si>
    <t>Polar oceans are chemically sensitive to anthropogenic acidification due to their relatively low alkalinity and correspondingly weak carbonate buffering capacity. Here, we compare unique CO2 system observations covering complete annual cycles at an Arctic (Amundsen Gulf) and Antarctic site (Prydz Bay). The Arctic site experiences greater seasonal warming (10 vs 3 degrees C), and freshening (3 vs 2), has lower alkalinity (2220 vs 2320 mu mol/kg), and lower summer pH (8.15 vs 8.5), than the Antarctic site. Despite a larger uptake of inorganic carbon by summer photosynthesis, the Arctic carbon system exhibits smaller seasonal changes than the more alkaline Antarctic system. In addition, the excess surface nutrients in the Antarctic may allow mitigation of acidification, via CO2 removal by enhanced summer production driven by iron inputs from glacial and sea-ice melting. These differences suggest that the Arctic system is more vulnerable to anthropogenic change due to lower alkalinity, enhanced warming, and nutrient limitation.</t>
  </si>
  <si>
    <t>[Shadwick, E. H.; Trull, T. W.] Univ Tasmania, Antarctic Climate &amp; Ecosyst Cooperat Res Ctr, Hobart, Tas, Australia; [Trull, T. W.; Gibson, J. A. E.] Univ Tasmania, Inst Marine &amp; Antarctic Studies, Hobart, Tas, Australia; [Trull, T. W.] CSIRO Marine &amp; Atmospher Res, Hobart, Tas, Australia; [Thomas, H.] Dalhousie Univ, Dept Oceanog, Halifax, NS, Canada</t>
  </si>
  <si>
    <t>University of Tasmania; Antarctic Climate &amp; Ecosystems Cooperative Research Centre (ACE CRC); University of Tasmania; Commonwealth Scientific &amp; Industrial Research Organisation (CSIRO); Dalhousie University</t>
  </si>
  <si>
    <t>Shadwick, EH (corresponding author), Univ Tasmania, Antarctic Climate &amp; Ecosyst Cooperat Res Ctr, Hobart, Tas, Australia.</t>
  </si>
  <si>
    <t>Elizabeth.Shadwick@utas.edu.au</t>
  </si>
  <si>
    <t>Trull, Tom W/B-7028-2014</t>
  </si>
  <si>
    <t>Shadwick, Elizabeth/0000-0003-4008-3333</t>
  </si>
  <si>
    <t>Australian Government Cooperative Research Centres Program, through the Antarctic Climate &amp; Ecosystems Cooperative Research Centre (ACE CRC)</t>
  </si>
  <si>
    <t>Australian Government Cooperative Research Centres Program, through the Antarctic Climate &amp; Ecosystems Cooperative Research Centre (ACE CRC)(Australian GovernmentDepartment of Industry, Innovation and ScienceCooperative Research Centres (CRC) Programme)</t>
  </si>
  <si>
    <t>This work was supported by the Australian Government Cooperative Research Centres Program, through the Antarctic Climate &amp; Ecosystems Cooperative Research Centre (ACE CRC), and contributes to the International Geosphere Biosphere Programme/International Human Dimensions Programme (IGBP/IHDP), and to Land-Ocean Interactions in the Coastal Zone (LOICZ).</t>
  </si>
  <si>
    <t>2045-2322</t>
  </si>
  <si>
    <t>SCI REP-UK</t>
  </si>
  <si>
    <t>Sci Rep</t>
  </si>
  <si>
    <t>10.1038/srep02339</t>
  </si>
  <si>
    <t>193NA</t>
  </si>
  <si>
    <t>gold, Green Published, Green Submitted, Green Accepted</t>
  </si>
  <si>
    <t>WOS:000322565300002</t>
  </si>
  <si>
    <t>Kitsios, V; Frederiksen, JS; Zidikheri, MJ</t>
  </si>
  <si>
    <t>Kitsios, V.; Frederiksen, J. S.; Zidikheri, M. J.</t>
  </si>
  <si>
    <t>Scaling laws for parameterisations of subgrid eddy-eddy interactions in simulations of oceanic circulations</t>
  </si>
  <si>
    <t>OCEAN MODELLING</t>
  </si>
  <si>
    <t>General circulation model; Ocean; Stochastic modelling; Large eddy simulation; Subgrid parameterisation</t>
  </si>
  <si>
    <t>CONDITIONAL MODE-ELIMINATION; ISOTROPIC TURBULENCE; 2-DIMENSIONAL TURBULENCE; STOCHASTIC BACKSCATTER; GEOSTROPHIC TURBULENCE; CLOSURES; VISCOSITY; PARAMETERIZATIONS; VARIABILITY; TOPOGRAPHY</t>
  </si>
  <si>
    <t>Deterministic and stochastic parameterisations with self-similar scaling laws are developed to represent the subgrid eddy-eddy interactions in the large eddy simulation (LES) of oceanic flows simulated with a quasi-geostrophic model. Specifically the parameterisations are developed for flows broadly representative of the mean Antarctic Circumpolar Current. The stochastic parameterisation consists of a drain eddy viscosity and stochastic backscatter noise, whilst the deterministic parameterisation is governed solely by a net eddy viscosity representing the net effect of the drain and backscatter. All of the eddy viscosities are calculated self consistently from the statistics of high resolution benchmark numerical simulations. The subgrid interactions at each vertical level are represented by eddy viscosity scaling laws in potential vorticity space, and the coupling between levels is represented by eddy viscosity scaling laws in baroclinic vorticity space (related to the temperature). The eddy viscosities are dependent on the LES resolution, enstrophy flux, Rossby radius, and the extent of the energy containing range. LESs with the subgrid parameterisation coefficients defined by the scaling laws are also shown to reproduce the kinetic energy spectra of the benchmark simulation. These scaling laws make the subgrid parameterisations more widely applicable as they remove the need to generate the eddy viscosities from higher resolution simulations, and have implications for more complex ocean models. (C) 2013 Elsevier Ltd. All rights reserved.</t>
  </si>
  <si>
    <t>[Kitsios, V.; Frederiksen, J. S.] CSIRO Marine &amp; Atmospher Res, Ctr Australian Weather &amp; Climate Res, Aspendale, Vic, Australia; [Zidikheri, M. J.] Bur Meteorol, Ctr Australian Weather &amp; Climate Res, Melbourne, Vic, Australia</t>
  </si>
  <si>
    <t>Commonwealth Scientific &amp; Industrial Research Organisation (CSIRO); Bureau of Meteorology - Australia; Commonwealth Scientific &amp; Industrial Research Organisation (CSIRO)</t>
  </si>
  <si>
    <t>Kitsios, V (corresponding author), CSIRO Marine &amp; Atmospher Res, Ctr Australian Weather &amp; Climate Res, Aspendale, Vic, Australia.</t>
  </si>
  <si>
    <t>vassili.kitsios@csiro.au; jorgen.frederiksen@csir-o.au; m.zidikheri@bom.gov.au</t>
  </si>
  <si>
    <t>; Kitsios, Vassili/A-3141-2012</t>
  </si>
  <si>
    <t>Frederiksen, Jorgen/0000-0001-9449-0968; Kitsios, Vassili/0000-0002-2543-0264</t>
  </si>
  <si>
    <t>CSIRO Office of the Chief Executive</t>
  </si>
  <si>
    <t>CSIRO Office of the Chief Executive(Commonwealth Scientific &amp; Industrial Research Organisation (CSIRO))</t>
  </si>
  <si>
    <t>We would like to thank the editor S. Griffies, the reviewers and A. Hogg, for their input and comments on the paper. Their efforts have resulted in a manuscript that is more accessible to the oceanographic community. V. Kitsios also acknowledges the CSIRO Office of the Chief Executive for funding his post-doctoral research position.</t>
  </si>
  <si>
    <t>1463-5003</t>
  </si>
  <si>
    <t>1463-5011</t>
  </si>
  <si>
    <t>OCEAN MODEL</t>
  </si>
  <si>
    <t>Ocean Model.</t>
  </si>
  <si>
    <t>10.1016/j.ocemod.2013.05.001</t>
  </si>
  <si>
    <t>Meteorology &amp; Atmospheric Sciences; Oceanography</t>
  </si>
  <si>
    <t>167BY</t>
  </si>
  <si>
    <t>WOS:000320606500007</t>
  </si>
  <si>
    <t>Amelio, D; Garofalo, F; Wong, WP; Chew, SF; Ip, YK; Cerra, MC; Tota, B</t>
  </si>
  <si>
    <t>Amelio, D.; Garofalo, F.; Wong, W. P.; Chew, S. F.; Ip, Y. K.; Cerra, M. C.; Tota, B.</t>
  </si>
  <si>
    <t>Nitric oxide synthase-dependent On/Off switch and apoptosis in freshwater and aestivating lungfish, Protopterus annectens: Skeletal muscle versus cardiac muscle</t>
  </si>
  <si>
    <t>NITRIC OXIDE-BIOLOGY AND CHEMISTRY</t>
  </si>
  <si>
    <t>eNOS; Akt; Hsp-90; ARC; Environmental stress; Muscle disuse</t>
  </si>
  <si>
    <t>AFRICAN LUNGFISH; NITROGEN-METABOLISM; ANTARCTIC TELEOSTS; AMMONIA PRODUCTION; UREA SYNTHESIS; HEART; DOLLOI; FISH; ACTIVATION; EXPRESSION</t>
  </si>
  <si>
    <t>African lungfishes (Protopterus spp.) are obligate air breathers which enter in a prolonged torpor (aestivation) in association with metabolic depression, and biochemical and morpho-functional readjustments during the dry season. During aestivation, the lungfish heart continues to pump, while the skeletal muscle stops to function but can immediately contract during arousal. Currently, nothing is known regarding the orchestration of the multilevel rearrangements occurring in myotomal and myocardial muscles during aestivation and arousal. Because of its universal role in cardio-circulatory and muscle homeostasis, nitric oxide (NO) could be involved in coordinating these stress-induced adaptations. Western blotting and immunofluorescence microscopy on cardiac and skeletal muscles of Protopterus annectens (freshwater, 6 months of aestivation and 6 days after arousal) showed that expression, localization and activity of the endothelial-like nitric oxide synthase (eNOS) isoform and its partners Akt and Hsp-90 are tissue-specifically modulated. During aestivation, phospho-eNOS/eNOS and phospho-Akt/Akt ratios increased in the heart but decreased in the skeletal muscle. By contrast, Hsp-90 increased in both muscle types during aestivation. TUNEL assay revealed that increased apoptosis occurred in the skeletal muscle of aestivating lungfish, but the myocardial apoptotic rate of the aestivating lungfish remained unchanged as compared with the freshwater control. Consistent with the preserved cardiac activity during aestivation, the expression of apoptosis repressor (ARC) also remained unchanged in the heart of aestivating and aroused fish as compared with the freshwater control. Contrarily, ARC expression was strongly reduced in the skeletal muscle of aestivating lungfish. On the whole, our data indicate that changes in the eNOS/NO system and cell turnover are implicated in the morpho-functional readjustments occurring in lungfish cardiac and skeletal muscle during the switch from freshwater to aestivation, and between the maintenance and arousal phases of aestivation. (c) 2013 Elsevier Inc. All rights reserved.</t>
  </si>
  <si>
    <t>[Amelio, D.; Garofalo, F.; Cerra, M. C.; Tota, B.] Univ Calabria, Dept Biol Ecol &amp; Earth Sci, I-87030 Arcavacata Di Rende, CS, Italy; [Wong, W. P.; Ip, Y. K.] Natl Univ Singapore, Dept Biol Sci, Singapore 117543, Singapore; [Chew, S. F.] Nanyang Technol Univ, Natl Inst Educ, Singapore 637616, Singapore</t>
  </si>
  <si>
    <t>University of Calabria; National University of Singapore; Nanyang Technological University; National Institute of Education (NIE) Singapore</t>
  </si>
  <si>
    <t>Tota, B (corresponding author), Univ Calabria, Dept Biol Ecol &amp; Earth Sci, I-87030 Arcavacata Di Rende, CS, Italy.</t>
  </si>
  <si>
    <t>tota@unical.it</t>
  </si>
  <si>
    <t>Chew, Shit Fun/I-2248-2012; Ip, Yuen Kwong/H-8041-2012</t>
  </si>
  <si>
    <t>Chew, Shit Fun/0000-0003-4599-5817; Garofalo, Filippo/0000-0002-4211-3850; Ip, Yuen Kwong/0000-0001-9124-7911; Amelio, Daniela/0000-0002-5543-8531; Cerra, Maria Carmela/0000-0002-2091-928X</t>
  </si>
  <si>
    <t>Ministry of Education of the Republic of Singapore [R-154-000-429-112]</t>
  </si>
  <si>
    <t>Ministry of Education of the Republic of Singapore(Ministry of Education, Singapore)</t>
  </si>
  <si>
    <t>This project was supported by the Ministry of Education of the Republic of Singapore through a grant (R-154-000-429-112) administered to Y.K. Ip, Ministero dell'Istruzione, dell'Universita e della Ricerca, (Italy) (e.g. MURST 60%) and the Italian National Research Program in Antarctica (PNRA).</t>
  </si>
  <si>
    <t>1089-8603</t>
  </si>
  <si>
    <t>1089-8611</t>
  </si>
  <si>
    <t>NITRIC OXIDE-BIOL CH</t>
  </si>
  <si>
    <t>Nitric Oxide-Biol. Chem.</t>
  </si>
  <si>
    <t>10.1016/j.niox.2013.03.005</t>
  </si>
  <si>
    <t>Biochemistry &amp; Molecular Biology; Cell Biology</t>
  </si>
  <si>
    <t>164OG</t>
  </si>
  <si>
    <t>WOS:000320418800001</t>
  </si>
  <si>
    <t>Simpkins, GR; Ciasto, LM; England, MH</t>
  </si>
  <si>
    <t>Simpkins, Graham R.; Ciasto, Laura M.; England, Matthew H.</t>
  </si>
  <si>
    <t>Observed variations in multidecadal Antarctic sea ice trends during 1979-2012</t>
  </si>
  <si>
    <t>GEOPHYSICAL RESEARCH LETTERS</t>
  </si>
  <si>
    <t>Antarctic sea ice; sea ice; sea ice trends; Antarctic</t>
  </si>
  <si>
    <t>CLIMATE VARIABILITY</t>
  </si>
  <si>
    <t>The spatiotemporal sensitivity of Antarctic sea ice season length trends are examined using satellite-derived observations over 1979-2012. While the large-scale spatial structure of multidecadal trends has varied little during the satellite record, the magnitude of trends has undergone substantial weakening over the past decade. This weakening is particularly evident in the Ross and Bellingshausen Seas, where a approximate to 25-50% reduction is observed when comparing trends calculated over 1979-2012 and 1979-1999. Multidecadal trends in the Bellingshausen Sea are found to be dominated by variability over subdecadal time scales, particularly the rapid decline in season length observed between 1979 and 1989. In fact, virtually no trend is detectable when the first decade is excluded from trend calculations. In contrast, the sea ice expansion in the Ross Sea is less influenced by shorter-term variability, with trends shown to be more consistent at decadal time scales and beyond. Understanding these contrasting characteristics have implications for sea ice trend attribution.</t>
  </si>
  <si>
    <t>[Simpkins, Graham R.; England, Matthew H.] Univ New S Wales, Climate Change Res Ctr, Sydney, NSW 2052, Australia; [Simpkins, Graham R.; England, Matthew H.] Univ New S Wales, ARC Ctr Excellence Climate Syst Sci, Sydney, NSW 2052, Australia; [Ciasto, Laura M.] Univ Bergen, Inst Geophys, Bergen, Norway; [Ciasto, Laura M.] Univ Bergen, Bjerknes Ctr Climate Res, Bergen, Norway</t>
  </si>
  <si>
    <t>University of New South Wales Sydney; ARC Centre of Excellence for Climate System Science; University of New South Wales Sydney; University of Bergen; Bjerknes Centre for Climate Research; University of Bergen</t>
  </si>
  <si>
    <t>Simpkins, GR (corresponding author), Univ New S Wales, Climate Change Res Ctr, Sydney, NSW 2052, Australia.</t>
  </si>
  <si>
    <t>g.simpkins@unsw.edu.au</t>
  </si>
  <si>
    <t>England, Matthew/A-7539-2011</t>
  </si>
  <si>
    <t>England, Matthew/0000-0001-9696-2930; Simpkins, Graham/0000-0002-6509-658X</t>
  </si>
  <si>
    <t>UNSW University International Postgraduate Award; Australian Research Council; ARC Centre of Excellence for Climate System Science</t>
  </si>
  <si>
    <t>UNSW University International Postgraduate Award; Australian Research Council(Australian Research Council); ARC Centre of Excellence for Climate System Science(Australian Research Council)</t>
  </si>
  <si>
    <t>The authors thank three reviewers, M. Raphael for helpful discussions, and J. Comiso for supplying the 2012-2013 SIC data. This work was supported by a UNSW University International Postgraduate Award, the Australian Research Council, and the ARC Centre of Excellence for Climate System Science.</t>
  </si>
  <si>
    <t>0094-8276</t>
  </si>
  <si>
    <t>1944-8007</t>
  </si>
  <si>
    <t>GEOPHYS RES LETT</t>
  </si>
  <si>
    <t>Geophys. Res. Lett.</t>
  </si>
  <si>
    <t>JUL 28</t>
  </si>
  <si>
    <t>10.1002/grl.50715</t>
  </si>
  <si>
    <t>204TP</t>
  </si>
  <si>
    <t>WOS:000323392700028</t>
  </si>
  <si>
    <t>Grise, KM; Polvani, LM; Tselioudis, G; Wu, YT; Zelinka, MD</t>
  </si>
  <si>
    <t>Grise, Kevin M.; Polvani, Lorenzo M.; Tselioudis, George; Wu, Yutian; Zelinka, Mark D.</t>
  </si>
  <si>
    <t>The ozone hole indirect effect: Cloud-radiative anomalies accompanying the poleward shift of the eddy-driven jet in the Southern Hemisphere</t>
  </si>
  <si>
    <t>ozone hole; cloud-radiative processes</t>
  </si>
  <si>
    <t>CLIMATE</t>
  </si>
  <si>
    <t>This study quantifies the response of the clouds and the radiative budget of the Southern Hemisphere (SH) to the poleward shift in the tropospheric circulation induced by the development of the Antarctic ozone hole. Single forcing climate model integrations, in which only stratospheric ozone depletion is specified, indicate that (1) high-level and midlevel clouds closely follow the poleward shift in the SH midlatitude jet and that (2) low-level clouds decrease across most of the Southern Ocean. Similar cloud anomalies are found in satellite observations during periods when the jet is anomalously poleward. The hemispheric annual mean radiation response to the cloud anomalies is calculated to be approximately +0.25 W m(-2), arising largely from the reduction of the total cloud fraction at SH midlatitudes during austral summer. While these dynamically induced cloud and radiation anomalies are considerable and are supported by observational evidence, quantitative uncertainties remain from model biases in mean-state cloud-radiative processes.</t>
  </si>
  <si>
    <t>[Grise, Kevin M.; Polvani, Lorenzo M.] Columbia Univ, Lamont Doherty Earth Observ, Palisades, NY 10964 USA; [Polvani, Lorenzo M.; Tselioudis, George] Columbia Univ, Dept Appl Phys &amp; Appl Math, New York, NY USA; [Polvani, Lorenzo M.; Tselioudis, George] Columbia Univ, Dept Earth &amp; Environm Sci, New York, NY USA; [Tselioudis, George] NASA, Goddard Inst Space Studies, New York, NY 10025 USA; [Wu, Yutian] NYU, Courant Inst Math Sci, Ctr Atmosphere Ocean Sci, New York, NY USA; [Zelinka, Mark D.] Lawrence Livermore Natl Lab, Program Climate Model Diag &amp; Intercomparison, Livermore, CA USA</t>
  </si>
  <si>
    <t>Columbia University; Columbia University; Columbia University; National Aeronautics &amp; Space Administration (NASA); NASA Goddard Space Flight Center; Goddard Institute for Space Studies; New York University; United States Department of Energy (DOE); Lawrence Livermore National Laboratory</t>
  </si>
  <si>
    <t>Grise, KM (corresponding author), Columbia Univ, Lamont Doherty Earth Observ, POB 1000,61 Rt 9W, Palisades, NY 10964 USA.</t>
  </si>
  <si>
    <t>kgrise@ldeo.columbia.edu</t>
  </si>
  <si>
    <t>Zelinka, Mark/C-4627-2011; Polvani, Lorenzo M/E-5949-2011; Grise, Kevin/B-6939-2013</t>
  </si>
  <si>
    <t>Zelinka, Mark/0000-0002-6570-5445; Grise, Kevin/0000-0003-0934-8129; Wu, Yutian/0000-0002-4428-6624</t>
  </si>
  <si>
    <t>National Science Foundation; U.S. Department of Energy (DOE) by Lawrence Livermore National Laboratory [DE-AC52-07NA27344]; U.S. DOE's Office of Science</t>
  </si>
  <si>
    <t>National Science Foundation(National Science Foundation (NSF)); U.S. Department of Energy (DOE) by Lawrence Livermore National Laboratory(United States Department of Energy (DOE)); U.S. DOE's Office of Science(United States Department of Energy (DOE))</t>
  </si>
  <si>
    <t>We thank two anonymous reviewers for their helpful comments and G.J.P. Correa for assistance with the model experiments. K. M. G. and L. M. P. were supported by a National Science Foundation grant to Columbia University. M.D.Z.'s contribution was performed under the auspices of U.S. Department of Energy (DOE) by Lawrence Livermore National Laboratory under contract DE-AC52-07NA27344 and was supported by the Regional and Global Climate and Earth System Modeling programs of the U.S. DOE's Office of Science.</t>
  </si>
  <si>
    <t>10.1002/grl.50675</t>
  </si>
  <si>
    <t>WOS:000323392700036</t>
  </si>
  <si>
    <t>Medley, B; Joughin, I; Das, SB; Steig, EJ; Conway, H; Gogineni, S; Criscitiello, AS; McConnell, JR; Smith, BE; van den Broeke, MR; Lenaerts, JTM; Bromwich, DH; Nicolas, JP</t>
  </si>
  <si>
    <t>Medley, B.; Joughin, I.; Das, S. B.; Steig, E. J.; Conway, H.; Gogineni, S.; Criscitiello, A. S.; McConnell, J. R.; Smith, B. E.; van den Broeke, M. R.; Lenaerts, J. T. M.; Bromwich, D. H.; Nicolas, J. P.</t>
  </si>
  <si>
    <t>Airborne-radar and ice-core observations of annual snow accumulation over Thwaites Glacier, West Antarctica confirm the spatiotemporal variability of global and regional atmospheric models</t>
  </si>
  <si>
    <t>West Antarctica; snow accumulation; airborne radar; firn</t>
  </si>
  <si>
    <t>SURFACE INTERNAL LAYERS; MASS-BALANCE; POLAR FIRN; WIDE-BAND; RESOLUTION; PLATEAU</t>
  </si>
  <si>
    <t>We use an airborne-radar method, verified with ice-core accumulation records, to determine the spatiotemporal variations of snow accumulation over Thwaites Glacier, West Antarctica between 1980 and 2009. We also present a regional evaluation of modeled accumulation in Antarctica. Comparisons between radar-derived measurements and model outputs show that three global models capture the interannual variability well (r&gt;0.9), but a high-resolution regional model (RACMO2) has better absolute accuracy and captures the observed spatial variability (r=0.86). Neither the measured nor modeled accumulation records over Thwaites Glacier show any trend since 1980. Although an increase in accumulation may potentially accompany the observed warming in the region, the projected trend is too small to detect over the 30 year record.</t>
  </si>
  <si>
    <t>[Medley, B.; Steig, E. J.; Conway, H.] Univ Washington, Seattle, WA 98195 USA; [Medley, B.; Joughin, I.; Smith, B. E.] Univ Washington, Appl Phys Lab, Polar Sci Ctr, Seattle, WA 98195 USA; [Das, S. B.; Criscitiello, A. S.] Woods Hole Oceanog Inst, Woods Hole, MA 02543 USA; [Steig, E. J.] Univ Washington, Quaternary Res Ctr, Seattle, WA 98195 USA; [Gogineni, S.] Univ Kansas, Ctr Remote Sensing Ice Sheets, Lawrence, KS 66045 USA; [Criscitiello, A. S.] Woods Hole Oceanog Inst, MIT WHOI Joint Program Oceanog Appl Ocean Sci &amp; E, Woods Hole, MA 02543 USA; [McConnell, J. R.] Nevada Syst Higher Educ, Desert Res Inst, Reno, NV USA; [van den Broeke, M. R.; Lenaerts, J. T. M.] Univ Utrecht, Inst Marine &amp; Atmospher Res Utrecht, Utrecht, Netherlands; [Bromwich, D. H.; Nicolas, J. P.] Ohio State Univ, Dept Geog, Byrd Polar Res Ctr, Polar Meteorol Grp,Atmospher Sci Program, Columbus, OH 43210 USA</t>
  </si>
  <si>
    <t>University of Washington; University of Washington Seattle; University of Washington; University of Washington Seattle; Woods Hole Oceanographic Institution; University of Washington; University of Washington Seattle; University of Kansas; Woods Hole Oceanographic Institution; Massachusetts Institute of Technology (MIT); Nevada System of Higher Education (NSHE); Desert Research Institute NSHE; Utrecht University; University System of Ohio; Ohio State University</t>
  </si>
  <si>
    <t>Medley, B (corresponding author), Univ Washington, Dept Earth &amp; Space Sci, Seattle, WA 98195 USA.</t>
  </si>
  <si>
    <t>bmed@uw.edu</t>
  </si>
  <si>
    <t>Joughin, Ian R/A-2998-2008; Bromwich, David H/C-9225-2016; Joughin, Ian/AAR-7778-2021; Van den Broeke, Michiel R./F-7867-2011; Lenaerts, Jan/D-9423-2012; /G-9088-2015</t>
  </si>
  <si>
    <t>Joughin, Ian R/0000-0001-6229-679X; Joughin, Ian/0000-0001-6229-679X; Van den Broeke, Michiel R./0000-0003-4662-7565; Lenaerts, Jan/0000-0003-4309-4011; Conway, Howard/0000-0003-4634-3474; Criscitiello, Alison/0000-0002-8741-709X; /0000-0002-8191-5549</t>
  </si>
  <si>
    <t>NSF OPP [ANT-0631973, ANT-0424589, ANT-0632031]; NASA [NN12XAI29G, NNX10AT68G]</t>
  </si>
  <si>
    <t>NSF OPP(National Science Foundation (NSF)NSF - Directorate for Geosciences (GEO)); NASA(National Aeronautics &amp; Space Administration (NASA))</t>
  </si>
  <si>
    <t>We thank S. Arcone and an anonymous reviewer for their constructive comments. This research was supported at UW by NSF OPP grants ANT-0631973 (B. M., I.J., E.J.S., and H. C.) and ANT-0424589 (B. M. and I.J.) and at WHOI by ANT-0632031 (S. B. D. and A. S. C.). D. H. B. and J.P.N. were supported by NASA grant NN12XAI29G. We acknowledge the work by the CReSIS team that went into developing the snow-radar system, which was partially supported with by NASA grant NNX10AT68G and by NSF OPP grant ANT-0424589 awarded to S. P. We acknowledge the efforts of the students and staff of the ultra-trace chemistry laboratory at the Desert Research Institute in analyzing the ice cores. We thank L. Albershardt, L. Trusel, the U.S. Antarctic Program, and the U.S. Ice Drilling Program. This article is contribution 1433 of the Byrd Polar Research Center.</t>
  </si>
  <si>
    <t>10.1002/grl.50706</t>
  </si>
  <si>
    <t>Bronze, Green Published</t>
  </si>
  <si>
    <t>WOS:000323392700029</t>
  </si>
  <si>
    <t>Taguchi, S; Tasaka, S; Matsubara, M; Osada, K; Yokoi, T; Yamanouchi, T</t>
  </si>
  <si>
    <t>Taguchi, S.; Tasaka, S.; Matsubara, M.; Osada, K.; Yokoi, T.; Yamanouchi, T.</t>
  </si>
  <si>
    <t>Air-sea gas transfer rate for the Southern Ocean inferred from 222Rn concentrations in maritime air and a global atmospheric transport model</t>
  </si>
  <si>
    <t>JOURNAL OF GEOPHYSICAL RESEARCH-ATMOSPHERES</t>
  </si>
  <si>
    <t>air sea gas exchange; atmospheric transport model; radon-222; inverse method; Antarctic sea; reanalysis data</t>
  </si>
  <si>
    <t>CO2 EXCHANGE; TRANSFER VELOCITY; BOUNDARY-LAYER; RADON; FLUX; PACIFIC; TROPOSPHERE; ATLANTIC</t>
  </si>
  <si>
    <t>Measurements of atmospheric Rn-222 activity were made on board the icebreaker Shirase during the summers of 2004 and 2005, between 32 degrees S and 69 degrees S. Global atmospheric 3-D model calculation of Rn-222 were conducted using hypothetical emissions from ocean and land including the Antarctic continent. Oceanic emissions were estimated based on wind speed parameterizations from the literature and by using radium in the ocean as a surrogate of surface radon concentrations. Modeled results suggest that a significant part of the measured activities originate from a release from the ocean and the Antarctic continent. Based on regression analysis, we investigated the power-law description of wind speed that best fits the measured concentrations. The correlation, root mean square errors, and emission from the Antarctic continent suggest that a 3.5 power law best fits the measured activities. However, the merit of this choice is not statistically significant, and the proportionality factor that scales a wind speed description with a flux depends on the dilution of radon in the mixing layer of the ocean. These weaknesses, therefore, pose a limitation for the application of the current parameterization to the other gases.</t>
  </si>
  <si>
    <t>[Taguchi, S.; Yokoi, T.] Natl Inst Adv Ind Sci &amp; Technol, AIST WEST, Tsukuba, Ibaraki 3058569, Japan; [Tasaka, S.; Matsubara, M.] Gifu Univ, Informat &amp; Multimedia Ctr, Gifu, Japan; [Osada, K.] Nagoya Univ, Grad Sch Environm Studies, Nagoya, Aichi 4648601, Japan; [Yamanouchi, T.] NIPR, Tokyo, Japan</t>
  </si>
  <si>
    <t>National Institute of Advanced Industrial Science &amp; Technology (AIST); Gifu University; Nagoya University; Research Organization of Information &amp; Systems (ROIS); National Institute of Polar Research (NIPR) - Japan</t>
  </si>
  <si>
    <t>Taguchi, S (corresponding author), Natl Inst Adv Ind Sci &amp; Technol, AIST WEST, 16-1 Onogawa, Tsukuba, Ibaraki 3058569, Japan.</t>
  </si>
  <si>
    <t>s.taguchi@aist.go.jp</t>
  </si>
  <si>
    <t>Yamanouchi, Takashi/P-2041-2015; Osada, Kazuo/I-6395-2014</t>
  </si>
  <si>
    <t>Osada, Kazuo/0000-0003-3100-5835</t>
  </si>
  <si>
    <t>Ministry of Education, Science, Sports and Culture, Japan [2005/17GS0203, 16310007]; Grants-in-Aid for Scientific Research [16310007] Funding Source: KAKEN</t>
  </si>
  <si>
    <t>Ministry of Education, Science, Sports and Culture,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</si>
  <si>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express their gratitude to the crew member of the icebreaker Shirase, especially those on the 46th and 47th JARE cruise. Expeditions were conducted as part of a project of the National Institute of Polar Research. Digital data for monthly emissions for the Australian Continent are provided from Griffiths. Funding for this project was supported by the grants-in-aid for creative scientific research (2005/17GS0203) and (16310007) of the Ministry of Education, Science, Sports and Culture, Japan.</t>
  </si>
  <si>
    <t>2169-897X</t>
  </si>
  <si>
    <t>2169-8996</t>
  </si>
  <si>
    <t>J GEOPHYS RES-ATMOS</t>
  </si>
  <si>
    <t>J. Geophys. Res.-Atmos.</t>
  </si>
  <si>
    <t>JUL 27</t>
  </si>
  <si>
    <t>10.1002/jgrd.50594</t>
  </si>
  <si>
    <t>201DL</t>
  </si>
  <si>
    <t>WOS:000323120800016</t>
  </si>
  <si>
    <t>Capparelli, V; Franzke, C; Vecchio, A; Freeman, MP; Watkins, NW; Carbone, V</t>
  </si>
  <si>
    <t>Capparelli, V.; Franzke, C.; Vecchio, A.; Freeman, M. P.; Watkins, N. W.; Carbone, V.</t>
  </si>
  <si>
    <t>A spatiotemporal analysis of US station temperature trends over the last century</t>
  </si>
  <si>
    <t>global change; atmospheric processes; nonlinear geophysics</t>
  </si>
  <si>
    <t>EMPIRICAL MODE DECOMPOSITION; LONG-RANGE DEPENDENCE; CLIMATE NOISE PROPERTIES; HILBERT SPECTRUM; UNITED-STATES; VARIABILITY; MOTION</t>
  </si>
  <si>
    <t>This study presents a nonlinear spatiotemporal analysis of 1167 station temperature records from the United States Historical Climatology Network covering the period from 1898 through 2008. We use the empirical mode decomposition method to extract the generally nonlinear trends of each station. The statistical significance of each trend is assessed against three null models of the background climate variability, represented by stochastic processes of increasing temporal correlation length. We find strong evidence that more than 50% of all stations experienced a significant trend over the last century with respect to all three null models. A spatiotemporal analysis reveals a significant cooling trend in the South-East and significant warming trends in the rest of the contiguous U. S. It also shows that the warming trend appears to have migrated equatorward. This shows the complex spatiotemporal evolution of climate change at local scales.</t>
  </si>
  <si>
    <t>[Capparelli, V.; Vecchio, A.; Carbone, V.] Univ Calabria, Dipartimento Fis, IT-87100 Cosenza, Italy; [Capparelli, V.; Franzke, C.; Freeman, M. P.; Watkins, N. W.] British Antarctic Survey, Cambridge CB3 0ET, England; [Watkins, N. W.] Univ London London Sch Econ &amp; Polit Sci, Ctr Anal Time Series, London WC2A 2AE, England; [Watkins, N. W.] Univ Warwick, Ctr Fus Space &amp; Astrophys, Coventry CV4 7AL, W Midlands, England; [Carbone, V.] Univ Calabria, CNR, IPCF, IT-87100 Cosenza, Italy</t>
  </si>
  <si>
    <t>University of Calabria; UK Research &amp; Innovation (UKRI); Natural Environment Research Council (NERC); NERC British Antarctic Survey; University of London; London School Economics &amp; Political Science; University of Warwick; University of Calabria; Consiglio Nazionale delle Ricerche (CNR); Istituto per i Processi Chimico-Fisici (IPCF-CNR)</t>
  </si>
  <si>
    <t>Capparelli, V (corresponding author), Univ Calabria, Dipartimento Fis, Cubo 33 B, IT-87100 Cosenza, Italy.</t>
  </si>
  <si>
    <t>vincenzo.capparelli@fis.unical.it</t>
  </si>
  <si>
    <t>Vecchio, Antonio/AAS-9232-2020; Carbone, Vincenzo/AAD-8557-2020; Watkins, Nicholas Wynn/C-5140-2008; Watkins, Nick/GPX-7439-2022; Franzke, Christian/A-6191-2012; Freeman, Mervyn/E-5687-2019</t>
  </si>
  <si>
    <t>Carbone, Vincenzo/0000-0002-3182-6679; Watkins, Nicholas Wynn/0000-0003-4484-6588; Watkins, Nick/0000-0003-4484-6588; Vecchio, Antonio/0000-0002-2002-1701; Franzke, Christian/0000-0003-4111-1228; Freeman, Mervyn/0000-0002-8653-8279</t>
  </si>
  <si>
    <t>Natural Environment Research Council; NERC [bas0100026] Funding Source: UKRI; Natural Environment Research Council [bas0100026]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</si>
  <si>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</si>
  <si>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V.C. is grateful for the hospitality during a 6 months stay at the British Antarctic Survey, Cambridge (UK), where this work was initiated and the analysis mostly completed. This study is part of the British Antarctic Survey Polar Science for Planet Earth Programme. It was partly funded by the Natural Environment Research Council.</t>
  </si>
  <si>
    <t>10.1002/jgrd.50551</t>
  </si>
  <si>
    <t>Green Accepted, hybrid</t>
  </si>
  <si>
    <t>WOS:000323120800001</t>
  </si>
  <si>
    <t>Wu, Q; Chen, ZY; Mitchell, N; Fritts, D; Iimura, H</t>
  </si>
  <si>
    <t>Wu, Qian; Chen, Zeyu; Mitchell, Nick; Fritts, D.; Iimura, H.</t>
  </si>
  <si>
    <t>Mesospheric wind disturbances due to gravity waves near the Antarctica Peninsula</t>
  </si>
  <si>
    <t>gravity wave; mesosphere; Antarctica Peninsula; tides; Fabry-Perot interferometer; meteor radar</t>
  </si>
  <si>
    <t>MOMENTUM FLUX; SEASONAL-VARIATIONS; MOUNTAIN WAVES; ATMOSPHERE; ROTHERA</t>
  </si>
  <si>
    <t>Based on austral winter mesospheric wind observations from three closely deployed Antarctic Peninsula stations (King George Island, Palmer, and Rothera), mesospheric wind disturbances induced by gravity waves are examined. The mesospheric winds to the west of the Antarctic Peninsula below 88km were affected by gravity waves, while the winds on the east side of the peninsula were unperturbed. The gravity waves are most likely generated by orographic features of the peninsula. Because the strong westerly stratospheric wind filtered out all eastward propagating waves, only westward propagating waves can reach the mesosphere on the west side of the peninsula. This data set shows the strong gravity wave effect on small scales. Hence, the mesospheric wind data at one station may not be representative of the region for global waves like tides. Small local features can greatly affect the mesospheric winds and may impact the interpretation of global waves. High-density deployment of mesospheric wind instruments may be needed in some cases</t>
  </si>
  <si>
    <t>[Wu, Qian] Natl Ctr Atmospher Res, Boulder, CO 80307 USA; [Chen, Zeyu] Chinese Acad Sci, Inst Atmospher Phys, Beijing, Peoples R China; [Mitchell, Nick] Univ Bath, Dept Elect &amp; Elect Engn, Bath BA2 7AY, Avon, England; [Fritts, D.] Gats Inc, Boulder, CO USA; [Iimura, H.] Northwest Res Associates, Boulder, CO USA</t>
  </si>
  <si>
    <t>National Center Atmospheric Research (NCAR) - USA; Chinese Academy of Sciences; Institute of Atmospheric Physics, CAS; University of Bath; NorthWest Research Associates</t>
  </si>
  <si>
    <t>Wu, Q (corresponding author), Natl Ctr Atmospher Res, POB 3000, Boulder, CO 80307 USA.</t>
  </si>
  <si>
    <t>qwu@ucar.edu</t>
  </si>
  <si>
    <t>Wu, Qian/0000-0002-7508-3803</t>
  </si>
  <si>
    <t>National Science Foundation [OPP-0839119, AGS-0640745, 0334595]; National Science Foundation of China [41075028]; Chinese Academy of Sciences [KZZD-EW-01-1]; NSF [OPP-0839084, ATM-0634650]; NERC [NE/H009760/1] Funding Source: UKRI; Natural Environment Research Council [NE/H009760/1, NER/G/S/2003/00014] Funding Source: researchfish; Directorate For Geosciences; Div Atmospheric &amp; Geospace Sciences [0334595] Funding Source: National Science Foundation; Directorate For Geosciences; Office of Polar Programs (OPP) [0839119] Funding Source: National Science Foundation</t>
  </si>
  <si>
    <t>National Science Foundation(National Science Foundation (NSF)); National Science Foundation of China(National Natural Science Foundation of China (NSFC)); Chinese Academy of Sciences(Chinese Academy of Sciences); NSF(National Science Foundation (NSF)); 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 Directorate For Geosciences; Office of Polar Programs (OPP)(National Science Foundation (NSF)NSF - Directorate for Geosciences (GEO))</t>
  </si>
  <si>
    <t>The Fabry-Perot interferometer construction and operation at Palmer station were supported by the National Science Foundation grants OPP-0839119 and AGS-0640745 and 0334595. NCAR is supported by the National Science Foundation. Z. Chen is cosupported by the National Science Foundation of China grant 41075028 and the Chinese Academy of Sciences grant KZZD-EW-01-1. The KGI meteor radar project is supported by NSF grants OPP-0839084 and ATM-0634650. Authors would like to thank Barbara Emery for many useful suggestions and comments.</t>
  </si>
  <si>
    <t>10.1002/jgrd.50577</t>
  </si>
  <si>
    <t>WOS:000323120800027</t>
  </si>
  <si>
    <t>Bauer, SE; Bausch, A; Nazarenko, L; Tsigaridis, K; Xu, BQ; Edwards, R; Bisiaux, M; McConnell, J</t>
  </si>
  <si>
    <t>Bauer, Susanne E.; Bausch, Alexandra; Nazarenko, Larissa; Tsigaridis, Kostas; Xu, Baiqing; Edwards, Ross; Bisiaux, Marion; McConnell, Joe</t>
  </si>
  <si>
    <t>Historical and future black carbon deposition on the three ice caps: Ice core measurements and model simulations from 1850 to 2100</t>
  </si>
  <si>
    <t>aerosol; black carbon; deposition</t>
  </si>
  <si>
    <t>GENERAL-CIRCULATION MODEL; GODDARD-INSTITUTE; CLIMATE; AEROSOLS; SPACE; EMISSIONS; RECORDS; SULFUR; SOOT</t>
  </si>
  <si>
    <t>Ice core measurements in conjunction with climate model simulations are of tremendous value when examining anthropogenic and natural aerosol loads and their role in past and future climates. Refractory black carbon (BC) records from the Arctic, the Antarctic, and the Himalayas are analyzed using three transient climate simulations performed with the Goddard Institute for Space Studies ModelE. Simulations differ in aerosol schemes (bulk aerosols vs. aerosol microphysics) and ocean couplings (fully coupled vs. prescribed ocean). Regional analyses for past (1850-2005) and future (2005-2100) carbonaceous aerosol simulations focus on the Antarctic, Greenland, and the Himalayas. Measurements from locations in the Antarctic show clean conditions with no detectable trend over the past 150years. Historical atmospheric deposition of BC and sulfur in Greenland shows strong trends and is primarily influenced by emissions from early twentieth century agricultural and domestic practices. Models fail to reproduce observations of a sharp eightfold BC increase in Greenland at the beginning of the twentieth century that could be due to the only threefold increase in the North American emission inventory. BC deposition in Greenland is about 10 times greater than in Antarctica and 10 times less than in Tibet. The Himalayas show the most complicated transport patterns, due to the complex terrain and dynamical regimes of this region. Projections of future climate based on the four CMIP5 Representative Concentration Pathways indicate further dramatic advances of pollution to the Tibetan Plateau along with decreasing BC deposition fluxes in Greenland and the Antarctic.</t>
  </si>
  <si>
    <t>[Bauer, Susanne E.; Bausch, Alexandra; Nazarenko, Larissa; Tsigaridis, Kostas] Columbia Univ, Earth Inst, Ctr Climate Syst Res, New York, NY 10025 USA; [Bauer, Susanne E.; Nazarenko, Larissa; Tsigaridis, Kostas] NASA, Goddard Inst Space Studies, New York, NY 10025 USA; [Xu, Baiqing] Chinese Acad Sci, Inst Tibetan Plateau Res, Key Lab Tibetan Environm Changes &amp; Land Surface P, Beijing, Peoples R China; [Edwards, Ross] Curtin Univ, Dept Imaging &amp; Appl Phys, Bentley, WA, Australia; [Bisiaux, Marion; McConnell, Joe] Univ Nevada, Desert Res Inst, Reno, NV 89506 USA</t>
  </si>
  <si>
    <t>Columbia University; National Aeronautics &amp; Space Administration (NASA); NASA Goddard Space Flight Center; Goddard Institute for Space Studies; Chinese Academy of Sciences; Institute of Tibetan Plateau Research, CAS; Curtin University; Nevada System of Higher Education (NSHE); Desert Research Institute NSHE; University of Nevada Reno</t>
  </si>
  <si>
    <t>Bauer, SE (corresponding author), Columbia Univ, Earth Inst, Ctr Climate Syst Res, Broadway 2880, New York, NY 10025 USA.</t>
  </si>
  <si>
    <t>Susanne.Bauer@Columbia.edu</t>
  </si>
  <si>
    <t>Bauer, Susanne/P-3082-2014; Tsigaridis, Kostas/K-8292-2012; Edwards, Ross/B-1433-2013</t>
  </si>
  <si>
    <t>Tsigaridis, Kostas/0000-0001-5328-819X; Edwards, Ross/0000-0002-9233-8775</t>
  </si>
  <si>
    <t>NASA MAP program Modeling, Analysis and Prediction Climate Variability and Change [NN-H-04-Z-YS-008-N, NN-H-08-Z-DA-001-N]; NSF; NOAA; NASA; Directorate For Geosciences; Office of Polar Programs (OPP) [0839093] Funding Source: National Science Foundation; Directorate For Geosciences; Office of Polar Programs (OPP) [0909541] Funding Source: National Science Foundation</t>
  </si>
  <si>
    <t>NASA MAP program Modeling, Analysis and Prediction Climate Variability and Change(National Aeronautics &amp; Space Administration (NASA)); NSF(National Science Foundation (NSF)); NOAA(National Oceanic Atmospheric Admin (NOAA) - USA); NASA(National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t>
  </si>
  <si>
    <t>This work has been supported by the NASA MAP program Modeling, Analysis and Prediction Climate Variability and Change (NN-H-04-Z-YS-008-N and NN-H-08-Z-DA-001-N). Resources supporting this work were provided by the NASA High-End Computing (HEC) Program through the NASA Center for Climate Simulation (NCCS) at Goddard Space Flight Center. We acknowledge the IMPROVE monitoring program. We acknowledge the use of HIPPO data products (http://www.eol.ucar.edu/projects/hippo/). The HIPPO mission was funded by NSF, NOAA, and NASA.</t>
  </si>
  <si>
    <t>10.1002/jgrd.50612</t>
  </si>
  <si>
    <t>WOS:000323120800042</t>
  </si>
  <si>
    <t>[Anonymous]</t>
  </si>
  <si>
    <t>East Antarctic Ice Sheet Not So Stable?</t>
  </si>
  <si>
    <t>SCIENCE</t>
  </si>
  <si>
    <t>AMER ASSOC ADVANCEMENT SCIENCE</t>
  </si>
  <si>
    <t>1200 NEW YORK AVE, NW, WASHINGTON, DC 20005 USA</t>
  </si>
  <si>
    <t>0036-8075</t>
  </si>
  <si>
    <t>Science</t>
  </si>
  <si>
    <t>JUL 26</t>
  </si>
  <si>
    <t>189HX</t>
  </si>
  <si>
    <t>WOS:000322259200009</t>
  </si>
  <si>
    <t>Göcke, C; Janussen, D</t>
  </si>
  <si>
    <t>Goecke, Christian; Janussen, Dorte</t>
  </si>
  <si>
    <t>Demospongiae of ANT XXIV/2 (SYSTCO I) Expedition-Antarctic Eastern Weddell Sea</t>
  </si>
  <si>
    <t>ZOOTAXA</t>
  </si>
  <si>
    <t>Porifera; Demospongiae; Poecilosclerida; Cladorhizidae; Cornulum; new species; Antarctica</t>
  </si>
  <si>
    <t>SOUTH SHETLAND ISLANDS; SPONGES PORIFERA; HEXACTINELLIDA PORIFERA; MCMURDO-SOUND; POECILOSCLERIDA; HADROMERIDA; GENUS; DIVERSITY; VICINITY; BENTHOS</t>
  </si>
  <si>
    <t>In this study, we present the demosponges sampled in the Antarctic Weddell Sea during the ANT-XXIV/2 (SYSTCO I) expedition (28.11.2007-04.02.2008) by the RV Polarstern. This collection comprises 43 species of Demospongiae of which four species are new to science, three of which are described herein, Cornulum antarcticum sp. nov., Cladorhiza penniformis sp. nov., and Desmacella koltuni sp. nov. We furthermore provide short descriptions and remarks for all species found, and in cases of rare or badly characterized species we also provide detailed documentation and descriptions of our material. In conclusion, we discuss the comparative faunistic and ecological aspects of our collection with respect to the Weddell Sea sponge fauna.</t>
  </si>
  <si>
    <t>[Goecke, Christian; Janussen, Dorte] Forsch Inst &amp; Nat Museum Senckenberg, D-60325 Frankfurt, Germany</t>
  </si>
  <si>
    <t>Senckenberg Gesellschaft fur Naturforschung (SGN)</t>
  </si>
  <si>
    <t>Göcke, C (corresponding author), Forsch Inst &amp; Nat Museum Senckenberg, Senckenberganlage 25, D-60325 Frankfurt, Germany.</t>
  </si>
  <si>
    <t>christian.goecke@senckenberg.de</t>
  </si>
  <si>
    <t>Deutsche Forschungsgemeinschaft (DFG) [JA 1063/14-1.2]; SYNTHESYS [GB-TAF 885, NL-TAF 11, ES-TAF 1705, AT-TAF 2600]</t>
  </si>
  <si>
    <t>Deutsche Forschungsgemeinschaft (DFG)(German Research Foundation (DFG)); SYNTHESYS</t>
  </si>
  <si>
    <t>We acknowledge the Deutsche Forschungsgemeinschaft (DFG-Project JA 1063/14-1.2), as well as SYNTHESYS (projects, GB-TAF 885, NL-TAF 11, ES-TAF 1705, AT-TAF 2600) for financial support to our research on Antarctic Porifera and for financing of visits to important Porifera collections (NHM, London and ZMA, Amsterdam). We are especially indebted to Angelika Brandt and the SYSTCO team and also to the captain and crew of RV Polarstern for good cooperation and excellent on-board handling and great kindness during the SYSTCO I-cruise. Many spicule and histology preparations were made by Saskia Dimter and Heike Szmutka. Some SEM-pictures were made by Alexander Plotkin and some spicule measurements were done by Tim Bollinger. Revision of SEM-pictures was assisted by Max Klein. Claire Valentine and Emma Sherlock from NHM London are thanked for loan of specimens and slides. We are endepted to Henry M. Reiswig for critical reading and correction, especially of the English language, and to Myriam Schuller and two anonymous reviewers for their helpful critical comments to the manuscript. This is ANDEEP publication number 162.</t>
  </si>
  <si>
    <t>MAGNOLIA PRESS</t>
  </si>
  <si>
    <t>AUCKLAND</t>
  </si>
  <si>
    <t>PO BOX 41383, AUCKLAND, ST LUKES 1030, NEW ZEALAND</t>
  </si>
  <si>
    <t>1175-5326</t>
  </si>
  <si>
    <t>1175-5334</t>
  </si>
  <si>
    <t>Zootaxa</t>
  </si>
  <si>
    <t>JUL 25</t>
  </si>
  <si>
    <t>10.11646/zootaxa.3692.1.5</t>
  </si>
  <si>
    <t>Zoology</t>
  </si>
  <si>
    <t>188VZ</t>
  </si>
  <si>
    <t>WOS:000322226500003</t>
  </si>
  <si>
    <t>Hexactinellida of the genus Rossella, of ANT XXIV/2 (SYSTCO I) Expedition-Antarctic Eastern Weddell Sea</t>
  </si>
  <si>
    <t>Porifera; Hexactinellida; Rossellidae</t>
  </si>
  <si>
    <t>SPONGES; BENTHOS</t>
  </si>
  <si>
    <t>The genus Rossella Carter, 1872 comprises a group of very abundant and large sponges, which often dominate and even define the benthic habitats of the Antarctic shelf. While the ecological role and importance of the genus is unquestionable, the taxonomy of Rossella has been in a state of flux since its erection in 1872. Several species have been described, many of which have proven to be individual representatives of species with high variation in diagnostic characters, thus many published species are actually synonyms and a valid concept is still lacking. Here, we present the Rossella-fauna of one station sampled during the SYSTCO-I expedition in winter 2007/08 at 600 m depth on the lower Ekstrom-shelf near Kapp Norvegia, Eastern Weddell Sea, Antarctica. This sponge fauna showed some remarkable peculiarities in its characters, especially an unusually large growth of many microscleres, which will broaden the diagnoses of many Rossella spp. significantly. Implications for the definitions of these species are discussed.</t>
  </si>
  <si>
    <t>DFG (German Science Foundation) [JA-1063/14-1, JA-1063/14-2]; SYNTHESYS [GB-TAF-885, NL-TAF 11]</t>
  </si>
  <si>
    <t>DFG (German Science Foundation)(German Research Foundation (DFG)); SYNTHESYS</t>
  </si>
  <si>
    <t>We are obliged to Angelika Brandt for her initiation of the scientific program of SYSTCO, to all our colleagues on board and to the captain and crew of RV Polarstern for good cooperation during the expedition. Furthermore, we thank K. R. Tabachnick for valuable discussions. Skeletal preparations were made by T. Bollinger, S. Dimter, H. Szmutka. DFG (German Science Foundation) is acknowledged for financing our study of Antarctic sponges within the project JA-1063/14-1,2 (ANTARC-por). SYNTHESYS provided financial support for visits to different museums' Porifera collections (GB-TAF-885 and NL-TAF 11), and thanks are due to the staff of Natural History Museum London and Zoological Museum Amsterdam. We thank the two anonymous reviewers for valuable critical remarks and suggestions to the manuscript of this paper.</t>
  </si>
  <si>
    <t>10.11646/zootaxa.3692.1.6</t>
  </si>
  <si>
    <t>WOS:000322226500004</t>
  </si>
  <si>
    <t>Karanovic, I; Brandao, SN</t>
  </si>
  <si>
    <t>Karanovic, Ivana; Brandao, Simone Nunes</t>
  </si>
  <si>
    <t>Pseudopolycope (P.) andeep sp nov from the deep Southern Ocean (Crustacea, Ostracoda, Cladocopina)</t>
  </si>
  <si>
    <t>Myodocopa; Polycopidae; taxonomy; diversity; Antarctic; ANDEEP-SYSTCO</t>
  </si>
  <si>
    <t>BATHYAL OSTRACODES; SEA OSTRACODS; QUATERNARY; PACIFIC; GENUS; TAXONOMY; BASIN</t>
  </si>
  <si>
    <t>Polycopids are one of the most diverse and often very abundant ostracod group in the deep sea. The true diversity of polycopids today inhabiting this environment, however, is very poorly known, because most of the studies identify ostracod material to the genus level, and they are based on the shell characters only. In this paper we describe Pseudopolycope (Pseudopolycope) andeep sp. nov. collected during the ANDEEP-SYSTCO I expedition in 2007 in the Atlantic Sector of the Southern Ocean. The new species was collected from 2,063 m depth. It differs from other 18 Recent Pseudopolycope Chavtur, 1981 species by (1) a peculiar morphology of the structures between claws on the uropodal lamellae; (2) morphology of the mandibular exopod; and (3) ornamentation of the shell. This is the first description of a living polycopid species from the deep Southern Ocean.</t>
  </si>
  <si>
    <t>[Karanovic, Ivana] Hanyang Univ, Coll Nat Sci, Dept Life Sci, Seoul 133791, South Korea; [Karanovic, Ivana] Univ Tasmania, Inst Marine &amp; Antarctic Studies, Hobart, Tas 7001, Australia; [Brandao, Simone Nunes] Univ Fed Rio Grande do Norte, Dept Geol, Programa Posgrad Geodinam &amp; Geofis, Lab Geol &amp; Geofis Marinha &amp; Monitoramento Ambient, BR-59072970 Natal, RN, Brazil</t>
  </si>
  <si>
    <t>Hanyang University; University of Tasmania; Universidade Federal do Rio Grande do Norte</t>
  </si>
  <si>
    <t>Karanovic, I (corresponding author), Hanyang Univ, Coll Nat Sci, Dept Life Sci, Seoul 133791, South Korea.</t>
  </si>
  <si>
    <t>ivana@hanyang.ac.kr; brandao.sn.100@gmail.com</t>
  </si>
  <si>
    <t>Brandao, Simone/C-9416-2013</t>
  </si>
  <si>
    <t>Brandao, Simone/0000-0002-3487-6129</t>
  </si>
  <si>
    <t>10.11646/zootaxa.3692.1.7</t>
  </si>
  <si>
    <t>WOS:000322226500005</t>
  </si>
  <si>
    <t>Rapp, HT; Göcke, C; Tendal, OS; Janussen, D</t>
  </si>
  <si>
    <t>Rapp, Hans Tore; Goecke, Christian; Tendal, Ole Secher; Janussen, Dorte</t>
  </si>
  <si>
    <t>Two new species of calcareous sponges (Porifera: Calcarea) from the deep Antarctic Eckstrom Shelf and a revised list of species found in Antarctic waters</t>
  </si>
  <si>
    <t>Clathrina brandtae sp nov.; Leucetta delicata sp nov.; SYSTCO; endemic species; Weddell Sea; deep-water sponges</t>
  </si>
  <si>
    <t>WEDDELL SEA; HEXACTINELLIDA PORIFERA; CLATHRINA PORIFERA; DEMOSPONGIAE; HADROMERIDA; POLYMASTIIDAE; EXPEDITION; EVOLUTION; ATLANTIC; CALCINEA</t>
  </si>
  <si>
    <t>The paper reports on two new species of calcareous sponges (Porifera, Calcarea) from the Antarctic Weddell Sea, Clathrina brandtae sp. nov. and Leucetta delicata sp. nov., collected at 600 m depth during the ANT XXIV/2-SYSTCO expedition in January 2008. The new species are described based on a combination of morphological and molecular data. With these new additions the number of species of calcareous sponges reported from south of 50 degrees S (similar to south of the Polar Front) reaches 50 species. We report an exceptionally high degree of endemism within the group, and as many as 44 out of the 50 species of calcareous sponges are solely confined to Antarctic waters. An updated list of species of calcareous sponges from the area is provided.</t>
  </si>
  <si>
    <t>[Rapp, Hans Tore] Univ Bergen, Ctr Geobiol, N-5020 Bergen, Norway; [Rapp, Hans Tore] Univ Bergen, Dept Biol, N-5020 Bergen, Norway; [Goecke, Christian; Janussen, Dorte] Forsch Inst &amp; Nat Museum Senckenberg, D-60325 Frankfurt, Germany; [Tendal, Ole Secher] Univ Copenhagen, SNM, Zool Museum, DK-2100 Copenhagen, Denmark</t>
  </si>
  <si>
    <t>University of Bergen; University of Bergen; Senckenberg Gesellschaft fur Naturforschung (SGN); University of Copenhagen</t>
  </si>
  <si>
    <t>Rapp, HT (corresponding author), Univ Bergen, Ctr Geobiol, POB 7800, N-5020 Bergen, Norway.</t>
  </si>
  <si>
    <t>hans.rapp@bio.uib.no; christian.goecke@senckenberg.de; ostendal@snm.ku.dk; dorte.janussen@senckenberg.de</t>
  </si>
  <si>
    <t>Deutsche Forschungsgemeinschaft (DFG) [JA-1063/14-2]</t>
  </si>
  <si>
    <t>Deutsche Forschungsgemeinschaft (DFG)(German Research Foundation (DFG))</t>
  </si>
  <si>
    <t>Thanks are due to Elena Gerasimova and the staff of the Biodiversity Laboratories (University of Bergen) for helping with preparation of plates and the molecular work. Claire Valentine from NHM London is thanked for loan of specimens and slides. We thank Deutsche Forschungsgemeinschaft for financial support to our study of sponges from the Antarctic SYSTCO I expedition (DFG project JA-1063/14-2). Two anonymous referees are thanked for their very useful comments on the manuscript. This is ANDEEP Publication Nr. # 161.</t>
  </si>
  <si>
    <t>10.11646/zootaxa.3692.1.9</t>
  </si>
  <si>
    <t>WOS:000322226500007</t>
  </si>
  <si>
    <t>Riehl, T; Brandt, A</t>
  </si>
  <si>
    <t>Riehl, Torben; Brandt, Angelika</t>
  </si>
  <si>
    <t>Southern Ocean Macrostylidae reviewed with a key to the species and new descriptions from Maud Rise</t>
  </si>
  <si>
    <t>Janiroidea; benthos; deep sea; bathyal; abyssal; Antarctica; new species; ANDEEP-SYSTCO; Maud Rise; Southern Ocean; seamount</t>
  </si>
  <si>
    <t>DEEP-SEA; EPIBENTHIC SLEDGE; ISOPODA; ASELLOTA; CRUSTACEA; BIODIVERSITY; COLONIZATION; MALACOSTRACA; PERACARIDA; MORPHOLOGY</t>
  </si>
  <si>
    <t>The nine currently known Southern Ocean species of the asellote isopod family Macrostylidae Hansen, 1916 are reviewed. Modified diagnoses are provided. Two new species, Macrostylis matildae n. sp. and M. scotti n. sp. are formally described. M. setulosa Mezhov, 1992, and M. vinogradovae Mezhov, 1992 are redescribed. An identification key to all species is presented. Due to substantial damage and loss of type material, M. obscura (Brandt, 1992) and M. sarsi Brandt, 1992 are henceforward considered nomina dubia. DNA sequences were yielded for molecular characterization of both new species. A phylogenetic analysis shows, although from the same locality, both species are relatively distantly related. Huge divergence is discovered within Macrostylidae which casts doubt on the monotypy of the family.</t>
  </si>
  <si>
    <t>[Riehl, Torben; Brandt, Angelika] Univ Hamburg, Biozentrum Grindel &amp; Zool Museum, D-20146 Hamburg, Germany</t>
  </si>
  <si>
    <t>University of Hamburg</t>
  </si>
  <si>
    <t>Riehl, T (corresponding author), Univ Hamburg, Biozentrum Grindel &amp; Zool Museum, Martin Luther King Pl 3, D-20146 Hamburg, Germany.</t>
  </si>
  <si>
    <t>t.riehl@gmx.de</t>
  </si>
  <si>
    <t>Riehl, Torben/C-3711-2013; Brandt, Angelika/C-1630-2018</t>
  </si>
  <si>
    <t>Riehl, Torben/0000-0002-7363-4421</t>
  </si>
  <si>
    <t>department of Marine Invertebrates at the Australian Museum; German Federal Ministry for Education and Research (BMBF); British Antarctic Survey (BAS); CeDAMar taxonomic-exchange program; German National Academic Foundation (Studienstiftung des deutschen Volkes)</t>
  </si>
  <si>
    <t>department of Marine Invertebrates at the Australian Museum; German Federal Ministry for Education and Research (BMBF)(Federal Ministry of Education &amp; Research (BMBF)); British Antarctic Survey (BAS); CeDAMar taxonomic-exchange program; German National Academic Foundation (Studienstiftung des deutschen Volkes)</t>
  </si>
  <si>
    <t>Jorundur Svavarsson and one anonymous reviewer are thanked for their effort and helpful suggestions which led to an improved manuscript. The authors are grateful to the crew of R/V Polarstern and to the Alfred Wegener Institute (AWI) for logistic support which made sampling possible. The effort of all pickers and sorters of the material at the Zoological Museum Hamburg and the German Center for Marine Biodiversity Research is kindly acknowledged. Dr. Marina Malyutina corrected TR's translation of a Russian key to the species of Macrostylidae by Kussakin (1999) and her review of an earlier version of this manuscript largely improved this article. Dr. Stefanie Kaiser is thanked for creating the map. Dr. Saskia Brix kindly provided a microscope to prepare the illustrations and Dr. Karin Meissner gave access to her photo equipment. Gratitude is owed to Buz Wilson and the department of Marine Invertebrates at the Australian Museum for providing working space and support for TR during the preparation of this manuscript. Renate Walter kindly assisted at the SEM. Miranda Lowe kindly made type material available at the Natural History Museum, London. Kathrin Philipps-Bussau and Petra Wagner assisted with the loan of type material at the Zoological Museum Hamburg. DNA laboratory work was possible due to great help from Amy Driskell and Andrea Ormos at the Smithsonian Laboratories of Analytical Biology. The new species could be collected with financial support from the German Federal Ministry for Education and Research (BMBF) to AB. TR was financially supported by the British Antarctic Survey (BAS) during sampling, by the CeDAMar taxonomic-exchange program during sequencing and by the German National Academic Foundation (Studienstiftung des deutschen Volkes) during the preparation of the manuscript. This is ANDEEP publication # 167.</t>
  </si>
  <si>
    <t>250F Marua Road Mt Wellington, AUCKLAND, ST LUKES 1023, NEW ZEALAND</t>
  </si>
  <si>
    <t>10.11646/zootaxa.3692.1.10</t>
  </si>
  <si>
    <t>WOS:000322226500008</t>
  </si>
  <si>
    <t>Nara, BT; Pape, E; Freija, H; Vanreusel, A; Ingels, J</t>
  </si>
  <si>
    <t>Nara, Bezerra Tania; Pape, Ellen; Freija, Hauquier; Vanreusel, Ann; Ingels, Jeroen</t>
  </si>
  <si>
    <t>New genus and two new species of the family Ethmolaimidae (Nematoda: Chromadorida), found in two different cold-seep environments</t>
  </si>
  <si>
    <t>Antarctic; Larsen; Southern Ocean; Gulf of Cadiz; Northeast Atlantic; Dystomanema gen. nov.; Dystomanema cadizensis gen. nov sp nov.; Dystomanema brandtae gen. nov sp nov.; cold seep</t>
  </si>
  <si>
    <t>DARWIN MUD VOLCANO; EAST FLOWER GARDEN; RICH BRINE SEEP; ADJACENT BOTTOMS; METHANE SEEP; NORTH-SEA; NW GULF; CADIZ; OCEAN; DIVERSITY</t>
  </si>
  <si>
    <t>This study describes a new genus Dystomanema gen. nov. with two new species, D. cadizensis sp. nov. and D. brandtae sp. nov. within the family Ethmolaimidae, subfamily Neotonchinae, based on specimens from two low-activity cold-seep environments at distant geographical locations. The new genus was first identified in samples from the Darwin mud volcano (1100 m depth) in the Gulf of Cadiz and later on also found in samples from a low-activity seep in the Larsen B embayment (820m depth) off the eastern Antarctic Peninsula. Until now, the family Ethmolaimidae contained nine genera: Ethmolaimus and Paraethmolaimus in the subfamily Ethmolaiminae, and Comesa, Filitonchoides, Filitonchus, Gomphionchus, Gomphionema, Nannolaimus, and Neothonchus in the subfamily Neotonchinae. The most important family characteristics are: an annulated cuticle bearing transverse rows of dots, cephalic sensilla arrangement of 6+6+4, a spiral amphid, an oesophagus with muscular posterior bulb, paired gonads and males with cup-shaped precloacal supplements. The new genus resembles Comesa and Neotonchus, but is typified by a ventrally displaced oral opening with three very small teeth that are easily overlooked. D. cadizensis gen. nov. sp. nov. is characterized by the 1401-2123 mu m long body; cuticle transversally striated with fine punctation; head conical; low lips; amphid spiralled 3 turns, oral opening ventrally displaced, male with outstretched testes; spicules of equal size; gubernaculum plate-like and ten to twelve conspicuous cup-shaped precloacal supplements with external longitudinal articulated flange. D. brandtae gen. nov. sp. nov. can be distinguished by the 2438-3280 mu m long body; cuticle transversally striated with fine punctuation; head conical; low lips; amphid spiraled 3+ turns; oral opening ventrally displaced; male with anterior testes outstretched and posterior one smaller and reflexed; spicules of equal size; gubernaculum plate-like and twenty conspicuous cup-shaped precloacal supplements with external longitudinal articulated flange. Notes on the ecology and habitat of the new genus are provided in light of its discovery in cold-seep environments.</t>
  </si>
  <si>
    <t>[Nara, Bezerra Tania; Pape, Ellen; Freija, Hauquier; Vanreusel, Ann; Ingels, Jeroen] Univ Ghent, Dept Biol, Marine Biol Sect, B-9000 Ghent, Belgium; [Ingels, Jeroen] Plymouth Marine Lab, Plymouth PL1 3DH, Devon, England</t>
  </si>
  <si>
    <t>Ghent University; Plymouth Marine Laboratory</t>
  </si>
  <si>
    <t>Nara, BT (corresponding author), Univ Ghent, Dept Biol, Marine Biol Sect, Krijgslaan 281-S8, B-9000 Ghent, Belgium.</t>
  </si>
  <si>
    <t>tania.campinasbezerra@ugent.be</t>
  </si>
  <si>
    <t>Bezerra, Tania Nara C/F-3070-2011; pape, ellen/A-9594-2011; Ingels, Jeroen/A-1691-2008</t>
  </si>
  <si>
    <t>Bezerra, Tania Nara/0000-0002-4414-7827; Ingels, Jeroen/0000-0001-8342-2222; Hauquier, Freija/0000-0002-6606-2162</t>
  </si>
  <si>
    <t>European Commission's Seventh Framework Programme HERMIONE project [226354]; BIANZOII project; Belgian Science Policy (Scientific Research Program on Antarctica); FWO project 'ColdSeeps' [G034607]; Marie Curie Intra-European Fellowship within the 7th European Community Framework Programme (Grant Agreement FP7-PEOPLE-IEF) [300879]; NERC [pml010004] Funding Source: UKRI; Natural Environment Research Council [pml010004] Funding Source: researchfish</t>
  </si>
  <si>
    <t>European Commission's Seventh Framework Programme HERMIONE project; BIANZOII project; Belgian Science Policy (Scientific Research Program on Antarctica)(Belgian Federal Science Policy Office); FWO project 'ColdSeeps'; Marie Curie Intra-European Fellowship within the 7th European Community Framework Programme (Grant Agreement FP7-PEOPLE-IEF); NERC(UK Research &amp; Innovation (UKRI)Natural Environment Research Council (NERC)); Natural Environment Research Council(UK Research &amp; Innovation (UKRI)Natural Environment Research Council (NERC))</t>
  </si>
  <si>
    <t>This research was funded through the European Commission's Seventh Framework Programme HERMIONE project (grant number 226354), the BIANZOII project, financed by the Belgian Science Policy (Scientific Research Program on Antarctica) and the FWO project 'ColdSeeps' nr. G034607. Jeroen Ingels is currently supported by a Marie Curie Intra-European Fellowship within the 7th European Community Framework Programme (Grant Agreement FP7-PEOPLE-2011-IEF No 300879).</t>
  </si>
  <si>
    <t>10.11646/zootaxa.3692.1.4</t>
  </si>
  <si>
    <t>WOS:000322226500002</t>
  </si>
  <si>
    <t>Timm, M; Kaiser, S; Brandt, A</t>
  </si>
  <si>
    <t>Timm, Marlene; Kaiser, Stefanie; Brandt, Angelika</t>
  </si>
  <si>
    <t>A new species of Acanthaspidia Stebbing, 1898 (Isopoda, Asellota, Acanthaspidiidae) from the bathyal Weddell Sea (Southern Ocean)</t>
  </si>
  <si>
    <t>Acanthaspidia matsi sp nov.; Antarctic; deep sea; taxonomy; Crustacea; Ianthopsis</t>
  </si>
  <si>
    <t>CRUSTACEA; SETAE</t>
  </si>
  <si>
    <t>A new acanthaspidiid species, Acanthaspidia matsi sp. nov., is described from the Powell Basin slope (Weddell Sea, Southern Ocean). Specimens of the new species were collected during the expedition ANDEEP III on board RV Polarstern in March 2005. The new species most closely resembles Acanthaspidia typhlops (G. O. Sars, 1879), Acanthaspidia natalensis (Kensley, 1977) and Acanthaspidia bifurcatoides Kussakin &amp; Vasina, 1982, but can be distinguished from all these species by the following characters: rostrum strongly trifid (tips 0.4 times rostrum length); pereonites 1, 3-4 and 6 with 2 mid-dorsal spines; pleotelson spinulated, with 2 robust mid-dorsal spines. Systematic difficulties to distinguish the genera Acanthaspidia Stebbing, 1898 and Ianthopsis Beddard, 1886 are discussed and a key to all species in the genus Acanthaspidia is provided.</t>
  </si>
  <si>
    <t>[Timm, Marlene; Kaiser, Stefanie; Brandt, Angelika] Biozentrum Grindel &amp; Zool Museum, D-20146 Hamburg, Germany; [Kaiser, Stefanie] Deutsch Zentrum Marine Biodivers Forsch DZMB, Biozentrum Grindel &amp; Zool Museum, Hamburg, Germany</t>
  </si>
  <si>
    <t>University of Hamburg; University of Hamburg</t>
  </si>
  <si>
    <t>Kaiser, S (corresponding author), Univ Southampton, Natl Oceanog Ctr, Waterfront Campus,European Way, Southampton SO14 3ZH, Hants, England.</t>
  </si>
  <si>
    <t>stefk@noc.ac.uk</t>
  </si>
  <si>
    <t>Brandt, Angelika/C-1630-2018</t>
  </si>
  <si>
    <t>Kaiser, Stefanie/0000-0003-2026-4663</t>
  </si>
  <si>
    <t>German Research Foundation (DFG) [Br 1121/261-3]; University of Hamburg (Innovationsfond); German Academic Exchange Service (DAAD); NERC [noc010009] Funding Source: UKRI; Natural Environment Research Council [noc010009] Funding Source: researchfish</t>
  </si>
  <si>
    <t>German Research Foundation (DFG)(German Research Foundation (DFG)); University of Hamburg (Innovationsfond); German Academic Exchange Service (DAAD)(Deutscher Akademischer Austausch Dienst (DAAD)); NERC(UK Research &amp; Innovation (UKRI)Natural Environment Research Council (NERC)); Natural Environment Research Council(UK Research &amp; Innovation (UKRI)Natural Environment Research Council (NERC))</t>
  </si>
  <si>
    <t>We are grateful to the master and crew of RV Polarstern for their help on board and the Alfred-Wegener Institute fur Polar- and Marine Sciences for logistic support. Laura Wurzberg (ZMH), Madhumita Choudhury (Synarc, Hamburg) and Antje Fischer (DZMB, Hamburg) provided initial drawings of the new species. We also would like to thank Renate Walter (ZMH) for her invaluable help with the SEM pictures and Charles Oliver Coleman (Museum fur Naturkunde, Berlin) for making type material available. We owe our thanks to Saskia Brix (DZMB, Hamburg) for her comments on an earlier version of the manuscript, Torben Riehl (ZMH) for improving the illustrations and to Lenka Neal (Natural History Museum, London) for English corrections. Many thanks to Marina Malyutina and an anonymous referee whose constructive comments greatly improved the content of this manuscript. The project was supported by the German Research Foundation (DFG, Br 1121/261-3), the University of Hamburg (Innovationsfond) and the German Academic Exchange Service (DAAD). This is ANDEEP publication # 164.</t>
  </si>
  <si>
    <t>10.11646/zootaxa.3692.1.12</t>
  </si>
  <si>
    <t>WOS:000322226500010</t>
  </si>
  <si>
    <t>Levy, JS; Fountain, AG; Dickson, JL; Head, JW; Okal, M; Marchant, DR; Watters, J</t>
  </si>
  <si>
    <t>Levy, Joseph S.; Fountain, Andrew G.; Dickson, James L.; Head, James W.; Okal, Marianne; Marchant, David R.; Watters, Jaclyn</t>
  </si>
  <si>
    <t>Accelerated thermokarst formation in the McMurdo Dry Valleys, Antarctica</t>
  </si>
  <si>
    <t>THAW SLUMP ACTIVITY; HERSCHEL ISLAND; YUKON-TERRITORY; BANKS-ISLAND; GROUND-ICE; SOUTHERN; GLACIER; REGION</t>
  </si>
  <si>
    <t>Thermokarst is a land surface lowered and disrupted by melting ground ice. Thermokarst is a major driver of landscape change in the Arctic, but has been considered to be a minor process in Antarctica. Here, we use ground-based and airborne LiDAR coupled with timelapse imaging and meteorological data to show that 1) thermokarst formation has accelerated in Garwood Valley, Antarctica; 2) the rate of thermokarst erosion is presently similar to 10 times the average Holocene rate; and 3) the increased rate of thermokarst formation is driven most strongly by increasing insolation and sediment/albedo feedbacks. This suggests that sediment enhancement of insolation-driven melting may act similarly to expected increases in Antarctic air temperature (presently occurring along the Antarctic Peninsula), and may serve as a leading indicator of imminent landscape change in Antarctica that will generate thermokarst landforms similar to those in Arctic periglacial terrains.</t>
  </si>
  <si>
    <t>[Levy, Joseph S.; Watters, Jaclyn] Univ Texas Austin, Jackson Sch Geosci, Univ Texas Inst Geophys, Austin, TX 78712 USA; [Fountain, Andrew G.] Portland State Univ, Dept Geol, Portland, OR 97210 USA; [Dickson, James L.; Head, James W.] Brown Univ, Dept Geol Sci, Providence, RI 02912 USA; [Okal, Marianne] UNAVCO, Boulder, CO 80301 USA; [Marchant, David R.] Boston Univ, Dept Earth &amp; Environm, Boston, MA 02215 USA</t>
  </si>
  <si>
    <t>University of Texas System; University of Texas Austin; Portland State University; Brown University; Boston University</t>
  </si>
  <si>
    <t>Levy, JS (corresponding author), Univ Texas Austin, Jackson Sch Geosci, Univ Texas Inst Geophys, Austin, TX 78712 USA.</t>
  </si>
  <si>
    <t>joe.levy@utexas.edu</t>
  </si>
  <si>
    <t>Okal, Marianne/P-5336-2017</t>
  </si>
  <si>
    <t>Okal, Marianne/0000-0002-9344-6196; Levy, Joseph/0000-0002-6222-139X</t>
  </si>
  <si>
    <t>U.S. National Science Foundation (NSF) Antarctic Earth Sciences program [ANT-1343835]; Directorate For Geosciences; Office of Polar Programs (OPP) [1115245, 1343835] Funding Source: National Science Foundation</t>
  </si>
  <si>
    <t>U.S. National Science Foundation (NSF) Antarctic Earth Sciences program(National Science Foundation (NSF)NSF - Directorate for Geosciences (GEO)); Directorate For Geosciences; Office of Polar Programs (OPP)(National Science Foundation (NSF)NSF - Directorate for Geosciences (GEO))</t>
  </si>
  <si>
    <t>This work was supported by the U.S. National Science Foundation (NSF) Antarctic Earth Sciences program under award ANT-1343835 to Levy, Fountain, and W. B. Lyons. Many thanks go to the extensive team that made this research possible, notably, to Dustin Black for bringing the Garwood Valley ice cliff to the attention of the research team, and to all the PHI pilots and ground staff for providing reliable and safe access to the site; to Thomas Nylen, Hasan Basagic, Rickard Pettersson, and James Jerome Bethune for field assistance; to Deb Leslie for stable isotope analyses of ice samples; to the Arizona Accelerator Mass Spectrometry (AMS) Laboratory for radiocarbon dating services; and to Paul Morin and the Polar Geospatial Center for access to satellite image data. Airborne light detection and ranging (LiDAR) topography used in this paper was kindly made possible through a joint effort from the NSF, the National Aeronautics and Space Administration, and the U.S. Geological survey, with basic post-processing from the Byrd Polar Research Center. Ground based LiDAR was collected by UNAVCO. This manuscript has benefited from thoughtful reviews from two anonymous reviewers.</t>
  </si>
  <si>
    <t>JUL 24</t>
  </si>
  <si>
    <t>10.1038/srep02269</t>
  </si>
  <si>
    <t>187XB</t>
  </si>
  <si>
    <t>Green Accepted, Green Published, Green Submitted, gold</t>
  </si>
  <si>
    <t>WOS:000322153700004</t>
  </si>
  <si>
    <t>Hu, QH; Xie, ZQ; Wang, XM; Kang, H; He, QF; Zhang, PF</t>
  </si>
  <si>
    <t>Hu, Qi-Hou; Xie, Zhou-Qing; Wang, Xin-Ming; Kang, Hui; He, Quan-Fu; Zhang, Pengfei</t>
  </si>
  <si>
    <t>Secondary organic aerosols over oceans via oxidation of isoprene and monoterpenes from Arctic to Antarctic</t>
  </si>
  <si>
    <t>MARINE BOUNDARY-LAYER; SEA-SALT-SULFATE; NOX EMISSIONS; PHOTOOXIDATION; PRODUCTS; IMPACT; FOREST; QUANTIFICATION; PHYTOPLANKTON; CHEMISTRY</t>
  </si>
  <si>
    <t>Isoprene and monoterpenes are important precursors of secondary organic aerosols (SOA) in continents. However, their contributions to aerosols over oceans are still inconclusive. Here we analyzed SOA tracers from isoprene and monoterpenes in aerosol samples collected over oceans during the Chinese Arctic and Antarctic Research Expeditions. Combined with literature reports elsewhere, we found that the dominant tracers are the oxidation products of isoprene. The concentrations of tracers varied considerably. The mean average values were approximately one order of magnitude higher in the Northern Hemisphere than in the Southern Hemisphere. High values were generally observed in coastal regions. This phenomenon was ascribed to the outflow influence from continental sources. High levels of isoprene could emit from oceans and consequently have a significant impact on marine SOA as inferred from isoprene SOA during phytoplankton blooms, which may abruptly increase up to 95 ng/m(3) in the boundary layer over remote oceans.</t>
  </si>
  <si>
    <t>[Hu, Qi-Hou; Xie, Zhou-Qing; Kang, Hui; Zhang, Pengfei] Univ Sci &amp; Technol China, Sch Earth &amp; Space Sci, Inst Polar Environm, Hefei 230026, Peoples R China; [Wang, Xin-Ming; He, Quan-Fu] Chinese Acad Sci, Guangzhou Inst Geochem, State Key Lab Organ Geochem, Guangzhou 510640, Guangdong, Peoples R China; [Zhang, Pengfei] CUNY City Coll, Dept Earth &amp; Atmospher Sci, New York, NY 10031 USA</t>
  </si>
  <si>
    <t>Chinese Academy of Sciences; University of Science &amp; Technology of China, CAS; Chinese Academy of Sciences; Guangzhou Institute of Geochemistry, CAS; City University of New York (CUNY) System; City College of New York (CUNY)</t>
  </si>
  <si>
    <t>Xie, ZQ (corresponding author), Univ Sci &amp; Technol China, Sch Earth &amp; Space Sci, Inst Polar Environm, Hefei 230026, Peoples R China.</t>
  </si>
  <si>
    <t>zqxie@ustc.edu.cn</t>
  </si>
  <si>
    <t>xie, zhouqing/P-9661-2019; Wang, Xinming/A-7388-2014; He, Quanfu/P-1180-2019; Zhang, Pengfei/C-2264-2013</t>
  </si>
  <si>
    <t>Wang, Xinming/0000-0002-1982-0928; He, Quanfu/0000-0002-3229-8206; Zhang, Pengfei/0000-0002-1765-5965</t>
  </si>
  <si>
    <t>National Natural Science Foundation of China [41025020, 41176170]; Chinese Arctic and Antarctic Administration [CHINARE2013-01-01, CHINARE2013-03-04, CHINARE2013-04-01]; Fundamental Research Funds for the Central Universities</t>
  </si>
  <si>
    <t>National Natural Science Foundation of China(National Natural Science Foundation of China (NSFC)); Chinese Arctic and Antarctic Administration; Fundamental Research Funds for the Central Universities(Fundamental Research Funds for the Central Universities)</t>
  </si>
  <si>
    <t>This research was supported by grants from the National Natural Science Foundation of China (Project Nos. 41025020, 41176170), the Chinese Arctic and Antarctic Administration (Projects Nos. CHINARE2013-01-01, CHINARE2013-03-04, CHINARE2013-04-01) and the Fundamental Research Funds for the Central Universities. We wish to think Ming Li and Xiang Ding for their help in sampling and analysis. The authors acknowledge the NOAA Air Resources Laboratory (ARL) for making the HYSPLIT transport and dispersion model available on the Internet (http://www.arl.noaa.gov/ready.html).</t>
  </si>
  <si>
    <t>10.1038/srep02280</t>
  </si>
  <si>
    <t>187XC</t>
  </si>
  <si>
    <t>Green Published, Green Submitted, gold</t>
  </si>
  <si>
    <t>WOS:000322153800008</t>
  </si>
  <si>
    <t>Schroeder, DM; Blankenship, DD; Young, DA</t>
  </si>
  <si>
    <t>Schroeder, Dustin M.; Blankenship, Donald D.; Young, Duncan A.</t>
  </si>
  <si>
    <t>Evidence for a water system transition beneath Thwaites Glacier, West Antarctica</t>
  </si>
  <si>
    <t>PROCEEDINGS OF THE NATIONAL ACADEMY OF SCIENCES OF THE UNITED STATES OF AMERICA</t>
  </si>
  <si>
    <t>subglacial hydrology; radio glaciology; ice sheet stability</t>
  </si>
  <si>
    <t>RADAR-SOUNDING DATA; PINE ISLAND; ICE FLOW; SATELLITE; REFLECTION; GREENLAND; MODEL; DOME</t>
  </si>
  <si>
    <t>Thwaites Glacier is one of the largest, most rapidly changing glaciers on Earth, and its landward-sloping bed reaches the interior of the marine West Antarctic Ice Sheet, which impounds enough ice to yield meters of sea-level rise. Marine ice sheets with landward-sloping beds have a potentially unstable configuration in which acceleration can initiate or modulate grounding-line retreat and ice loss. Subglacial water has been observed and theorized to accelerate the flow of overlying ice dependent on whether it is hydrologically distributed or concentrated. However, the subglacial water systems of Thwaites Glacier and their control on ice flow have not been characterized by geophysical analysis. The only practical means of observing these water systems is airborne ice-penetrating radar, but existing radar analysis approaches cannot discriminate between their dynamically critical states. We use the angular distribution of energy in radar bed echoes to characterize both the extent and hydrologic state of subglacial water systems across Thwaites Glacier. We validate this approach with radar imaging, showing that substantial water volumes are ponding in a system of distributed canals upstream of a bedrock ridge that is breached and bordered by a system of concentrated channels. The transition between these systems occurs with increasing surface slope, melt-water flux, and basal shear stress. This indicates a feedback between the subglacial water system and overlying ice dynamics, which raises the possibility that subglacial water could trigger or facilitate a grounding-line retreat in Thwaites Glacier capable of spreading into the interior of the West Antarctic Ice Sheet.</t>
  </si>
  <si>
    <t>[Schroeder, Dustin M.; Blankenship, Donald D.; Young, Duncan A.] Univ Texas Austin, Inst Geophys, Jackson Sch Geosci, Austin, TX 78758 USA</t>
  </si>
  <si>
    <t>University of Texas System; University of Texas Austin</t>
  </si>
  <si>
    <t>Schroeder, DM (corresponding author), Univ Texas Austin, Inst Geophys, Jackson Sch Geosci, Austin, TX 78758 USA.</t>
  </si>
  <si>
    <t>dustin.m.schroeder@utexas.edu</t>
  </si>
  <si>
    <t>Young, Duncan A./G-6256-2010</t>
  </si>
  <si>
    <t>Schroeder, Dustin/0000-0003-1916-3929</t>
  </si>
  <si>
    <t>National Science Foundation (NSF) [PLR0636724, PLR-0941678]; National Aeronautics and Space Administration [NNX08AN68G]; G. Unger Vetlesen Foundation; NSF Graduate Research Fellowship Program Fellowship; University of Texas Recruiting Fellowship; University of Texas Institute for Geophysics (UTIG) Gale White Fellowship; Directorate For Geosciences; Office of Polar Programs (OPP) [0941678] Funding Source: National Science Foundation</t>
  </si>
  <si>
    <t>National Science Foundation (NSF)(National Science Foundation (NSF)); National Aeronautics and Space Administration(National Aeronautics &amp; Space Administration (NASA)); G. Unger Vetlesen Foundation; NSF Graduate Research Fellowship Program Fellowship; University of Texas Recruiting Fellowship; University of Texas Institute for Geophysics (UTIG) Gale White Fellowship; Directorate For Geosciences; Office of Polar Programs (OPP)(National Science Foundation (NSF)NSF - Directorate for Geosciences (GEO))</t>
  </si>
  <si>
    <t>Radar focusing algorithms and code were developed by M. Peters and S. Kempf. Radar interpretation was performed by J. DeSantos, A. Jones, M. Williams, and E. Powell. We thank G.K.C. Clarke and K. Matsuoka for their helpful comments on the manuscript. This work was supported by National Science Foundation (NSF) Grants PLR0636724 and PLR-0941678, National Aeronautics and Space Administration Grant NNX08AN68G, and the G. Unger Vetlesen Foundation. D.M.S. received support from a NSF Graduate Research Fellowship Program Fellowship, a University of Texas Recruiting Fellowship, and the University of Texas Institute for Geophysics (UTIG) Gale White Fellowship. This is UTIG Contribution 2567.</t>
  </si>
  <si>
    <t>NATL ACAD SCIENCES</t>
  </si>
  <si>
    <t>2101 CONSTITUTION AVE NW, WASHINGTON, DC 20418 USA</t>
  </si>
  <si>
    <t>0027-8424</t>
  </si>
  <si>
    <t>P NATL ACAD SCI USA</t>
  </si>
  <si>
    <t>Proc. Natl. Acad. Sci. U. S. A.</t>
  </si>
  <si>
    <t>JUL 23</t>
  </si>
  <si>
    <t>10.1073/pnas.1302828110</t>
  </si>
  <si>
    <t>187JA</t>
  </si>
  <si>
    <t>WOS:000322112300031</t>
  </si>
  <si>
    <t>Santoro, M; Mattiucci, S; Work, T; Cimmaruta, R; Nardi, V; Cipriani, P; Bellisario, B; Nascetti, G</t>
  </si>
  <si>
    <t>Santoro, Mario; Mattiucci, Simonetta; Work, Thierry; Cimmaruta, Roberta; Nardi, Valentina; Cipriani, Paolo; Bellisario, Bruno; Nascetti, Giuseppe</t>
  </si>
  <si>
    <t>Parasitic infection by larval helminths in Antarctic fishes: pathological changes and impact on the host body condition index</t>
  </si>
  <si>
    <t>DISEASES OF AQUATIC ORGANISMS</t>
  </si>
  <si>
    <t>Diphyllobothridean; Tetraphyllidean; Contracaecum osculatum s.l.; Antarctic fish; Ross Sea; Pathology</t>
  </si>
  <si>
    <t>MCMURDO SOUND; ROSS SEA; FOOD-WEB; NEMATODA; ANISAKIDAE; IDENTIFICATION; ASCARIDOIDEA; MORPHOLOGY; PATTERNS; ECOLOGY</t>
  </si>
  <si>
    <t>We examined pathological changes and relationship between body condition index (BCI) and parasitic infection in 5 species of fish, including 42 icefish Chionodraco hamatus (Channichtyidae), 2 dragonfish Cygnodraco mawsoni (Bathydraconidae), 30 emerald rock cod Trematomus bernacchii, 46 striped rock cod T. hansoni and 9 dusty rock cod T. newnesi (Nototheniidae) from the Ross Sea, Antarctica. All parasites were identified by a combination of morphology and mtDNA cytochrome-oxidase-2 sequence (mtDNA cox2) analysis, except Contracaecum osculatum s.l., for which only the latter was used. Five larval taxa were associated with pathological changes including 2 sibling species (D and E) of the C. osculatum species complex and 3 cestodes including plerocercoids of a diphyllobothridean, and 2 tetraphyllidean forms including cercoids with monolocular and bilocular bothridia. The most heavily infected hosts were C. hamatus and C. mawsoni, with C. hamatus most often infected by C. osculatum sp. D and sp. E and diphyllobothrideans, while C. mawsoni was most often infected with tetraphyllidean forms. Histologically, all fish showed varying severity of chronic inflammation associated with larval forms of helminths. Diphyllobothrideans and C. osculatum spp. were located in gastric muscularis or liver and were associated with necrosis and mild to marked fibrosis. Moderate multifocal rectal mucosal chronic inflammation was associated with attached tetraphyllidean scolices. C. hamatus showed a strong negative correlation between BCI and parasite burden.</t>
  </si>
  <si>
    <t>[Santoro, Mario; Mattiucci, Simonetta; Nardi, Valentina; Cipriani, Paolo] Sapienza Univ Rome, Dept Publ Hlth &amp; Infect Dis, Sect Parasitol, I-00185 Rome, Italy; [Santoro, Mario; Cimmaruta, Roberta; Nardi, Valentina; Bellisario, Bruno; Nascetti, Giuseppe] Univ Tuscia, Dept Ecol &amp; Biol Sci, I-01100 Viterbo, Italy; [Work, Thierry] US Geol Survey, Natl Wildlife Hlth Ctr, Honolulu Field Stn, Honolulu, HI 96850 USA</t>
  </si>
  <si>
    <t>Sapienza University Rome; Tuscia University; United States Department of the Interior; United States Geological Survey</t>
  </si>
  <si>
    <t>Santoro, M (corresponding author), Sapienza Univ Rome, Dept Publ Hlth &amp; Infect Dis, Sect Parasitol, Piazzale Aldo Moro, I-00185 Rome, Italy.</t>
  </si>
  <si>
    <t>marisant@libero.it</t>
  </si>
  <si>
    <t>Bellisario, Bruno/JHU-4573-2023; Santoro, Mario/K-3251-2019; Bellisario, Bruno/S-2651-2019; Bellisario, Bruno/D-5766-2015; Mattiucci, Simonetta/K-5285-2018; Cimmaruta, Roberta/AAC-9151-2020; Nascetti, Giuseppe/AAA-6396-2020; Work, Thierry/F-1550-2015</t>
  </si>
  <si>
    <t>Bellisario, Bruno/0000-0002-5339-0757; Bellisario, Bruno/0000-0002-5339-0757; Cimmaruta, Roberta/0000-0002-1421-5155; Nascetti, Giuseppe/0000-0002-1159-8103; Work, Thierry/0000-0002-4426-9090; cipriani, paolo/0000-0003-4599-7724</t>
  </si>
  <si>
    <t>Italian Project PRNA (Italian Ministry of Education and Research-MIUR)</t>
  </si>
  <si>
    <t>This study was supported by the Italian Project PRNA 2009 (Italian Ministry of Education and Research-MIUR) 'Spatial-temporal genetic diversity of endoparasites in polar regions: an approach to the study of the impact of global changes on the marine trophic webs'. Mention of products or trade names does not imply endorsement by the US Government.</t>
  </si>
  <si>
    <t>INTER-RESEARCH</t>
  </si>
  <si>
    <t>OLDENDORF LUHE</t>
  </si>
  <si>
    <t>NORDBUNTE 23, D-21385 OLDENDORF LUHE, GERMANY</t>
  </si>
  <si>
    <t>0177-5103</t>
  </si>
  <si>
    <t>1616-1580</t>
  </si>
  <si>
    <t>DIS AQUAT ORGAN</t>
  </si>
  <si>
    <t>Dis. Aquat. Org.</t>
  </si>
  <si>
    <t>JUL 22</t>
  </si>
  <si>
    <t>10.3354/dao02626</t>
  </si>
  <si>
    <t>Fisheries; Veterinary Sciences</t>
  </si>
  <si>
    <t>187RF</t>
  </si>
  <si>
    <t>WOS:000322135600005</t>
  </si>
  <si>
    <t>Fillinger, L; Janussen, D; Lundälv, T; Richter, C</t>
  </si>
  <si>
    <t>Fillinger, Laura; Janussen, Dorte; Lundalv, Tomas; Richter, Claudio</t>
  </si>
  <si>
    <t>Rapid Glass Sponge Expansion after Climate-Induced Antarctic Ice Shelf Collapse</t>
  </si>
  <si>
    <t>CURRENT BIOLOGY</t>
  </si>
  <si>
    <t>WEDDELL; PENINSULA; COMMUNITIES; BIOLOGY; IMPACT</t>
  </si>
  <si>
    <t>Over 30% of the Antarctic continental shelf is permanently covered by floating ice shelves [1], providing aphotic conditions [2, 3] for a depauperate fauna sustained by laterally advected food [4, 5]. In much of the remaining Antarctic shallows (&lt;300 m depth), seasonal sea-ice melting allows a patchy primary production supporting rich megabenthic communities [6, 7] dominated by glass sponges (Porifera, Hexactinellida) [8-10]. The catastrophic collapse of ice shelves due to rapid regional warming along the Antarctic Peninsula in recent decades [11] has exposed over 23,000 km(2) of seafloor to local primary production [12]. The response of the benthos to this unprecedented flux of food [13] is, however, still unknown. In 2007, 12 years after disintegration of the Larsen A ice shelf, a first biological survey interpreted the presence of hexactinellids as remnants of a former under-ice fauna with deep-sea characteristics [14]. Four years later, we revisited the original transect, finding 2- and 3-fold increases in glass sponge biomass and abundance, respectively, after only two favorable growth periods. Our findings, along with other long-term studies [15], suggest that Antarctic hexactinellids, locked in arrested growth for decades [8, 16], may undergo boom-and-bust cycles, allowing them to quickly colonize new habitats. The cues triggering growth and reproduction in Antarctic glass sponges remain enigmatic.</t>
  </si>
  <si>
    <t>[Fillinger, Laura; Richter, Claudio] Helmholtz Zentrum Polar &amp; Meeresforsch, Alfred Wegener Inst, D-27568 Bremerhaven, Germany; [Janussen, Dorte] Forschungsinst, D-60325 Frankfurt, Germany; [Janussen, Dorte] Nat Museum Senckenberg, D-60325 Frankfurt, Germany; [Lundalv, Tomas] Univ Gothenburg, Sven Loven Ctr Marine Sci, S-45296 Stromstad, Sweden</t>
  </si>
  <si>
    <t>Helmholtz Association; Alfred Wegener Institute, Helmholtz Centre for Polar &amp; Marine Research; Senckenberg Gesellschaft fur Naturforschung (SGN); University of Gothenburg</t>
  </si>
  <si>
    <t>Richter, C (corresponding author), Helmholtz Zentrum Polar &amp; Meeresforsch, Alfred Wegener Inst, Alten Hafen 26, D-27568 Bremerhaven, Germany.</t>
  </si>
  <si>
    <t>crichter@awi.de</t>
  </si>
  <si>
    <t>Richter, Claudio/AAT-1212-2020; Lundälv, Tomas/O-7121-2019</t>
  </si>
  <si>
    <t>Richter, Claudio/0000-0002-8182-6896;</t>
  </si>
  <si>
    <t>Alfred Wegener Institute [PACES T1.4, T1.6]; University of Gothenburg; Deutsche Forschungsgemeinschaft [JA 1063/14, JA 1063/1, JA 1063/2, JA 1063/17-1]</t>
  </si>
  <si>
    <t>Alfred Wegener Institute; University of Gothenburg; Deutsche Forschungsgemeinschaft(German Research Foundation (DFG))</t>
  </si>
  <si>
    <t>This research was supported by the Alfred Wegener Institute (PACES T1.4, T1.6) and the University of Gothenburg. D.J. is supported by the Deutsche Forschungsgemeinschaft (JA 1063/14, 1, 2; JA 1063/17-1). We thank Julian Gutt for providing the 2007 video material, Stephan Frickenhaus for statistical support, Christian Gocke for taxonomic input, Daniel Damaske for editing the bathymetry, Mariana Altenburg Soppa for chlorophyll data conversion, Katharina Vollkopf for assistance in video analyses, Lea Krause for laboratory assistance, Ruth Alheit for the English review, and Paul K. Dayton, David K.A. Barnes, and an anonymous reviewer for their valuable contributions to the final manuscript.</t>
  </si>
  <si>
    <t>CELL PRESS</t>
  </si>
  <si>
    <t>50 HAMPSHIRE ST, FLOOR 5, CAMBRIDGE, MA 02139 USA</t>
  </si>
  <si>
    <t>0960-9822</t>
  </si>
  <si>
    <t>1879-0445</t>
  </si>
  <si>
    <t>CURR BIOL</t>
  </si>
  <si>
    <t>Curr. Biol.</t>
  </si>
  <si>
    <t>10.1016/j.cub.2013.05.051</t>
  </si>
  <si>
    <t>Biochemistry &amp; Molecular Biology; Biology; Cell Biology</t>
  </si>
  <si>
    <t>Biochemistry &amp; Molecular Biology; Life Sciences &amp; Biomedicine - Other Topics; Cell Biology</t>
  </si>
  <si>
    <t>191LJ</t>
  </si>
  <si>
    <t>WOS:000322414200026</t>
  </si>
  <si>
    <t>Barnes, DKA</t>
  </si>
  <si>
    <t>Barnes, David K. A.</t>
  </si>
  <si>
    <t>Marine Biology: New Light on Growth in the Cold</t>
  </si>
  <si>
    <t>British Antarctic Survey, NERC, Cambridge CB3 0ET, England</t>
  </si>
  <si>
    <t>Barnes, DKA (corresponding author), British Antarctic Survey, NERC, Madingley Rd, Cambridge CB3 0ET, England.</t>
  </si>
  <si>
    <t>dkab@bas.ac.uk</t>
  </si>
  <si>
    <t>NERC [bas0100025] Funding Source: UKRI; Natural Environment Research Council [bas0100025] Funding Source: researchfish</t>
  </si>
  <si>
    <t>600 TECHNOLOGY SQUARE, 5TH FLOOR, CAMBRIDGE, MA 02139 USA</t>
  </si>
  <si>
    <t>R609</t>
  </si>
  <si>
    <t>R611</t>
  </si>
  <si>
    <t>10.1016/j.cub.2013.05.058</t>
  </si>
  <si>
    <t>WOS:000322414200010</t>
  </si>
  <si>
    <t>Fraser, CI; Zuccarello, GC; Spencer, HG; Salvatore, LC; Garcia, GR; Waters, JM</t>
  </si>
  <si>
    <t>Fraser, Ceridwen I.; Zuccarello, Giuseppe C.; Spencer, Hamish G.; Salvatore, Laura C.; Garcia, Gabriella R.; Waters, Jonathan M.</t>
  </si>
  <si>
    <t>Genetic Affinities between Trans-Oceanic Populations of Non-Buoyant Macroalgae in the High Latitudes of the Southern Hemisphere</t>
  </si>
  <si>
    <t>PLOS ONE</t>
  </si>
  <si>
    <t>LONG-DISTANCE DISPERSAL; STICTOSIPHONIA HOOKERI RHODOMELACEAE; MARINE-ENVIRONMENT; NOV PHAEOPHYCEAE; NEW-ZEALAND; KELP; RHODOPHYTA; PHYLOGENIES; ECOLOGY; ICE</t>
  </si>
  <si>
    <t>Marine biologists and biogeographers have long been puzzled by apparently non-dispersive coastal taxa that nonetheless have extensive transoceanic distributions. We here carried out a broad-scale phylogeographic study to test whether two widespread Southern Hemisphere species of non-buoyant littoral macroalgae are capable of long-distance dispersal. Samples were collected from along the coasts of southern Chile, New Zealand and several subAntarctic islands, with the focus on high latitude populations in the path of the Antarctic Circumpolar Current or West Wind Drift. We targeted two widespread littoral macroalgal species: the brown alga Adenocystis utricularis (Ectocarpales, Heterokontophyta) and the red alga Bostrychia intricata (Ceramiales, Rhodophyta). Phylogenetic analyses were performed using partial mitochondrial (COI), chloroplast (rbcL) and ribosomal nuclear (LSU / 28S) DNA sequence data. Numerous deeply-divergent clades were resolved across all markers in each of the target species, but close phylogenetic relationships - even shared haplotypes - were observed among some populations separated by large oceanic distances. Despite not being particularly buoyant, both Adenocystis utricularis and Bostrychia intricata thus show genetic signatures of recent dispersal across vast oceanic distances, presumably by attachment to floating substrata such as wood or buoyant macroalgae.</t>
  </si>
  <si>
    <t>[Fraser, Ceridwen I.; Spencer, Hamish G.; Waters, Jonathan M.] Univ Otago, Dept Zool, Allan Wilson Ctr Mol Ecol &amp; Evolut, Dunedin, New Zealand; [Zuccarello, Giuseppe C.] Victoria Univ Wellington, Sch Biol Sci, Wellington, New Zealand; [Salvatore, Laura C.; Garcia, Gabriella R.] Univ Otago, Dept Zool, Dunedin, New Zealand</t>
  </si>
  <si>
    <t>University of Otago; Victoria University Wellington; University of Otago</t>
  </si>
  <si>
    <t>Fraser, CI (corresponding author), Univ Otago, Dept Zool, Allan Wilson Ctr Mol Ecol &amp; Evolut, POB 56, Dunedin, New Zealand.</t>
  </si>
  <si>
    <t>ceridwen.fraser@gmail.com</t>
  </si>
  <si>
    <t>Waters, Jonathan/B-4983-2009; Zuccarello, Giuseppe C./D-8323-2015; Spencer, Hamish G/B-9637-2008</t>
  </si>
  <si>
    <t>Waters, Jonathan/0000-0002-1514-7916; Zuccarello, Giuseppe C./0000-0003-0028-7227; Spencer, Hamish G/0000-0001-7531-597X; Fraser, Ceridwen/0000-0002-6918-8959</t>
  </si>
  <si>
    <t>New Zealand Marsden [07-UOO-099]; Department of Zoology; University of Otago; CIF; Shackleton Scholarship; Allan Wilson Centre for Molecular Ecology and Evolution; Australian Antarctic Division AAS project [2914]</t>
  </si>
  <si>
    <t>New Zealand Marsden(Royal Society of New ZealandMarsden Fund (NZ)); Department of Zoology; University of Otago; CIF; Shackleton Scholarship; Allan Wilson Centre for Molecular Ecology and Evolution; Australian Antarctic Division AAS project</t>
  </si>
  <si>
    <t>This work was funded by New Zealand Marsden contract 07-UOO-099, Department of Zoology and University of Otago Research grants to JMW and CIF; a Shackleton Scholarship to CIF; an Allan Wilson Centre for Molecular Ecology and Evolution postdoctoral grant to CIF; Australian Antarctic Division AAS project #2914.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</si>
  <si>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</si>
  <si>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</si>
  <si>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</si>
  <si>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</si>
  <si>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</si>
  <si>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e69138</t>
  </si>
  <si>
    <t>10.1371/journal.pone.0069138</t>
  </si>
  <si>
    <t>187PW</t>
  </si>
  <si>
    <t>Green Submitted, Green Published, gold</t>
  </si>
  <si>
    <t>WOS:000322132100048</t>
  </si>
  <si>
    <t>Wei, JJ; Wu, XF; Melia, F</t>
  </si>
  <si>
    <t>Wei, Jun-Jie; Wu, Xue-Feng; Melia, Fulvio</t>
  </si>
  <si>
    <t>THE GAMMA-RAY BURST HUBBLE DIAGRAM AND ITS IMPLICATIONS FOR COSMOLOGY</t>
  </si>
  <si>
    <t>ASTROPHYSICAL JOURNAL</t>
  </si>
  <si>
    <t>cosmology: observations; cosmology: theory; dark energy; early universe; gamma-ray burst: general</t>
  </si>
  <si>
    <t>HOST GALAXY; OPTICAL AFTERGLOW; DARK ENERGY; E-P,E-I-E-ISO CORRELATION; LUMINOSITY RELATIONS; INTRINSIC SPECTRA; MODEL SELECTION; SPACE-TELESCOPE; PEAK LUMINOSITY; IA SUPERNOVAE</t>
  </si>
  <si>
    <t>In this paper, we continue to build support for the proposal to use gamma-ray bursts (GRBs) as standard candles in constructing the Hubble diagram at redshifts beyond the current reach of Type Ia supernova observations. We confirm that correlations among certain spectral and light-curve features can indeed be used as luminosity indicators, and demonstrate from the most up-to-date GRB sample appropriate for this work that the Lambda CDM model optimized with these data is characterized by parameter values consistent with those in the concordance model. Specifically, we find that (Omega(m), Omega(Lambda)) approximate to (0.25(-0.06)(+0.05), 0.75(-0.05)(+0.06)), which are consistent, to within 1 sigma, with (0.29, 0.71) obtained from the 9 yr Wilkinson Microwave Anisotropy Probe data. We also carry out a comparative analysis between Lambda CDM and the R-h = ct universe and find that the optimal Lambda CDM model fits the GRB Hubble diagram with a reduced chi(2)(dof) approximate to 2.26, whereas the fit using R-h = ct results in a chi(2)(dof) approximate to 2.14. In both cases, about 20% of the events lie at least 2 sigma away from the best-fit curves, suggesting that either some contamination by non-standard GRB luminosities is unavoidable or that the errors and intrinsic scatter associated with the data are being underestimated. With these optimized fits, we use three statistical tools-the Akaike information criterion, the Kullback information criterion, and the Bayes information criterion-to show that, based on the GRB Hubble diagram, the likelihood of R-h = ct being closer to the correct model is similar to 85%-96%, compared to similar to 4%-15% for Lambda CDM.</t>
  </si>
  <si>
    <t>[Wei, Jun-Jie; Wu, Xue-Feng] Chinese Acad Sci, Purple Mt Observ, Nanjing 210008, Jiangsu, Peoples R China; [Wu, Xue-Feng] Chinese Ctr Antarctic Astron, Nanjing 210008, Jiangsu, Peoples R China; [Wu, Xue-Feng] Nanjing Univ, Purple Mt Observ, Joint Ctr Particle Nucl Phys &amp; Cosmol, Nanjing 210008, Jiangsu, Peoples R China; [Melia, Fulvio] Univ Arizona, Program Appl Math, Dept Phys, Tucson, AZ 85721 USA; [Melia, Fulvio] Univ Arizona, Dept Astron, Tucson, AZ 85721 USA</t>
  </si>
  <si>
    <t>Purple Mountain Observatory, CAS; Chinese Academy of Sciences; Nanjing Institute of Astronomical Optics &amp; Technology, NAOC, CAS; Nanjing University; Chinese Academy of Sciences; Nanjing Institute of Astronomical Optics &amp; Technology, NAOC, CAS; Purple Mountain Observatory, CAS; University of Arizona; University of Arizona</t>
  </si>
  <si>
    <t>Wei, JJ (corresponding author), Chinese Acad Sci, Purple Mt Observ, Nanjing 210008, Jiangsu, Peoples R China.</t>
  </si>
  <si>
    <t>jjwei@pmo.ac.cn; xfwu@pmo.ac.cn; fmelia@email.arizona.edu</t>
  </si>
  <si>
    <t>Melia, Fulvio/V-4197-2018; Wu, Xuefeng/G-5316-2015</t>
  </si>
  <si>
    <t>Melia, Fulvio/0000-0002-8014-0593; Wu, Xuefeng/0000-0002-6299-1263; Wei, Jun-Jie/0000-0003-0162-2488</t>
  </si>
  <si>
    <t>National Basic Research Program (973 Program) of China [2009CB824800, 2013CB834900]; One-Hundred-Talents Program; Youth Innovation Promotion Association of the Chinese Academy of Sciences; Natural Science Foundation of Jiangsu Province; Chinese Academy of Sciences [2012T1J0011]; Chinese State Administration of Foreign Experts Affairs [GDJ20120491013]</t>
  </si>
  <si>
    <t>National Basic Research Program (973 Program) of China(National Basic Research Program of China); One-Hundred-Talents Program(Chinese Academy of Sciences); Youth Innovation Promotion Association of the Chinese Academy of Sciences; Natural Science Foundation of Jiangsu Province(Natural Science Foundation of Jiangsu Province); Chinese Academy of Sciences(Chinese Academy of Sciences); Chinese State Administration of Foreign Experts Affairs</t>
  </si>
  <si>
    <t>We thank the anonymous referee for his/her very constructive suggestions. We also thank Z. G. Dai, E. W. Liang, T. Lu, S. Qi, F. Y. Wang, M. Xu, and B. Zhang for helpful discussions. X.-F.W. acknowledges the National Basic Research Program (973 Program) of China under Grant Nos. 2009CB824800 and 2013CB834900, the One-Hundred-Talents Program and the Youth Innovation Promotion Association of the Chinese Academy of Sciences, and the Natural Science Foundation of Jiangsu Province. F. M. is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t>
  </si>
  <si>
    <t>IOP PUBLISHING LTD</t>
  </si>
  <si>
    <t>BRISTOL</t>
  </si>
  <si>
    <t>TEMPLE CIRCUS, TEMPLE WAY, BRISTOL BS1 6BE, ENGLAND</t>
  </si>
  <si>
    <t>0004-637X</t>
  </si>
  <si>
    <t>1538-4357</t>
  </si>
  <si>
    <t>ASTROPHYS J</t>
  </si>
  <si>
    <t>Astrophys. J.</t>
  </si>
  <si>
    <t>JUL 20</t>
  </si>
  <si>
    <t>10.1088/0004-637X/772/1/43</t>
  </si>
  <si>
    <t>181NG</t>
  </si>
  <si>
    <t>WOS:000321673700043</t>
  </si>
  <si>
    <t>Planquette, H; Sherrell, RM; Stammerjohn, S; Field, MP</t>
  </si>
  <si>
    <t>Planquette, Helene; Sherrell, Robert M.; Stammerjohn, Sharon; Field, M. Paul</t>
  </si>
  <si>
    <t>Particulate iron delivery to the water column of the Amundsen Sea, Antarctica</t>
  </si>
  <si>
    <t>MARINE CHEMISTRY</t>
  </si>
  <si>
    <t>Polynyas; Suspended particulate matter; Trace elements; Ice shelves; Resuspended sediments; Southern Ocean; Amundsen Sea</t>
  </si>
  <si>
    <t>PINE ISLAND GLACIER; CIRCUMPOLAR DEEP-WATER; ROSS SEA; SOUTHERN-OCEAN; TRACE-METALS; PHYTOPLANKTON GROWTH; BIOLOGICAL RESPONSE; ICE; NUTRIENTS; BLOOMS</t>
  </si>
  <si>
    <t>The Amundsen Sea, West Antarctica, is home to the most productive polynyas of the Southern Ocean, where summer primary production can reach 3 g C m(-2) d(-1). The remoteness of this region has meant that systematic studies of biogeochemistry in the Amundsen Sea polynyas have been limited, despite their importance to overall Antarctic shelf productivity and proximity to the fastest thinning glaciers on the continent. Particulate iron inputs to the productive shelf waters of the Amundsen Sea may be important to the overall bioavailability of Fe in this region of natural Fe fertilization. Here we discuss findings from the US-Swedish 2007-08 expedition aboard the I/B Oden, during which 12 stations were sampled for particulate trace metal analyses at depths of 8-800 m in the eastern and central polynyas as well as in sea ice covered waters, both on the Amundsen continental shelf and in deep waters north of the shelf break. Suspended particulate samples were collected in two size fractions, 0.45-5 mu m and &gt;5 mu m. Particulate Fe concentrations ranged from as low as 10 pmol L-1 in open Antarctic Circumpolar Current (ACC) waters off the continental shelf to &gt;100,000 pmol L-1 near the Crosson Ice Shelf, and were dominated by particles &gt; 5 mu m at all stations. The relative concentrations of total particulate Fe, Al, Mn and P show the near-ubiquitous influence of crustal particles in the water column at stations on the Amundsen continental shelf. However, many samples had Fe/Al and Mn/Al ratios substantially in excess of mean crustal ratios, especially in the small size fraction (0.45-5 mu m), suggesting that more labile Fe oxyhydroxides and authigenic MnO2 phases, resulting from sediment resuspension, are also present at relatively high concentrations. In contrast, Fe/P ratios indicate that Fe associated with biogenic particles rarely accounts for more than 20% of total particulate Fe, even in offshore stations. A detailed examination of particulate elemental composition and spatial distribution in the context of water mass temperature and salinity gradients suggests that particle delivery processes associated with melting ice shelves and sediment resuspension dominate the particulate Fe sources to the Amundsen Sea water column. (C) 2013 Elsevier B.V. All rights reserved.</t>
  </si>
  <si>
    <t>[Planquette, Helene; Sherrell, Robert M.; Field, M. Paul] Rutgers State Univ, Inst Marine &amp; Coastal Sci, New Brunswick, NJ 08904 USA; [Sherrell, Robert M.] Rutgers State Univ, Dept Earth &amp; Planetary Sci, Piscataway, NJ 08854 USA; [Stammerjohn, Sharon] Univ Colorado, Inst Arctic &amp; Alpine Res, Boulder, CO 80303 USA</t>
  </si>
  <si>
    <t>Rutgers University System; Rutgers University New Brunswick; Rutgers University System; Rutgers University New Brunswick; University of Colorado System; University of Colorado Boulder</t>
  </si>
  <si>
    <t>Planquette, H (corresponding author), Lab Sci Environm Marin LEMAR, UMR 6549, IUEM Technopole Brest Iroise,Rue Dumont dUrville, F-29280 Plouzane, France.</t>
  </si>
  <si>
    <t>helene.planquette@univ-brest.fr</t>
  </si>
  <si>
    <t>Planquette, Helene/B-4990-2013</t>
  </si>
  <si>
    <t>Planquette, Helene/0000-0002-2235-5158; STAMMERJOHN, SHARON/0000-0002-1697-8244</t>
  </si>
  <si>
    <t>NSF [ANT 0741403, ANT 0741510]; Directorate For Geosciences; Office of Polar Programs (OPP) [1440435, 0838975] Funding Source: National Science Foundation</t>
  </si>
  <si>
    <t>NSF(National Science Foundation (NSF)); Directorate For Geosciences; Office of Polar Programs (OPP)(National Science Foundation (NSF)NSF - Directorate for Geosciences (GEO))</t>
  </si>
  <si>
    <t>We would like to thank Frank Nitsche for providing the detailed bathymetry map as well as Michele LaVigne and Eleni Anagnostou for their hard work in collecting the samples during the 2007 OSO cruise. We are greatly indebted to the highly professional and helpful captain and crew of the I/B Oden, in particular to Axel Meiton, Marvin Seibert and to all of our Swedish colleagues on board. Contour plots and profiles for Figs. 1, 2, 3 and 5 were generated using Ocean Data View (Schlitzer, 2011). This work was funded by the NSF grant ANT 0741403 to RMS, and by ANT 0741510 to SES.</t>
  </si>
  <si>
    <t>0304-4203</t>
  </si>
  <si>
    <t>1872-7581</t>
  </si>
  <si>
    <t>MAR CHEM</t>
  </si>
  <si>
    <t>Mar. Chem.</t>
  </si>
  <si>
    <t>10.1016/j.marchem.2013.04.006</t>
  </si>
  <si>
    <t>Chemistry, Multidisciplinary; Oceanography</t>
  </si>
  <si>
    <t>Chemistry; Oceanography</t>
  </si>
  <si>
    <t>168EJ</t>
  </si>
  <si>
    <t>WOS:000320688200002</t>
  </si>
  <si>
    <t>Macphail, M; Carpenter, RJ; Iglesias, A; Wilf, P</t>
  </si>
  <si>
    <t>Macphail, Mike; Carpenter, Raymond J.; Iglesias, Ari; Wilf, Peter</t>
  </si>
  <si>
    <t>First Evidence for Wollemi Pine-type Pollen (Dilwynites: Araucariaceae) in South America</t>
  </si>
  <si>
    <t>PHYLOGENETIC-RELATIONSHIPS; AGATHIS ARAUCARIACEAE; HUITRERA FORMATION; 40AR/39AR AGE; FOSSIL POLLEN; SP NOV.; PATAGONIA; EOCENE; PALEOGENE; RECORD</t>
  </si>
  <si>
    <t>We report the first fossil pollen from South America of the lineage that includes the recently discovered, extremely rare Australian Wollemi Pine, Wollemia nobilis (Araucariaceae). The grains are from the late Paleocene to early middle Eocene Ligorio Marquez Formation of Santa Cruz, Patagonia, Argentina, and are assigned to Dilwynites, the fossil pollen type that closely resembles the pollen of modern Wollemia and some species of its Australasian sister genus, Agathis. Dilwynites was formerly known only from Australia, New Zealand, and East Antarctica. The Patagonian Dilwynites occurs with several taxa of Podocarpaceae and a diverse range of cryptogams and angiosperms, but not Nothofagus. The fossils greatly extend the known geographic range of Dilwynites and provide important new evidence for the Antarctic region as an early Paleogene portal for biotic interchange between Australasia and South America.</t>
  </si>
  <si>
    <t>[Macphail, Mike] Australian Natl Univ, Coll Asia &amp; Pacific, Dept Archaeol &amp; Nat Hist, Canberra, ACT, Australia; [Carpenter, Raymond J.] Univ Adelaide, Sch Earth &amp; Environm Sci, Adelaide, SA 5005, Australia; [Iglesias, Ari] Univ Nacl La Plata, Fac Ciencias Nat &amp; Museo, Div Palaeobot, La Plata, Buenos Aires, Argentina; [Iglesias, Ari] Consejo Nacl Invest Cient &amp; Tecn, RA-1033 Buenos Aires, DF, Argentina; [Wilf, Peter] Penn State Univ, Dept Geosci, University Pk, PA 16802 USA</t>
  </si>
  <si>
    <t>Australian National University; University of Adelaide; National University of La Plata; Museo La Plata; Consejo Nacional de Investigaciones Cientificas y Tecnicas (CONICET); Pennsylvania Commonwealth System of Higher Education (PCSHE); Pennsylvania State University; Pennsylvania State University - University Park</t>
  </si>
  <si>
    <t>Macphail, M (corresponding author), Australian Natl Univ, Coll Asia &amp; Pacific, Dept Archaeol &amp; Nat Hist, Canberra, ACT, Australia.</t>
  </si>
  <si>
    <t>mike.macphail@anu.edu.au</t>
  </si>
  <si>
    <t>Wilf, Peter/0000-0001-6813-1937; Carpenter, Raymond/0000-0001-7129-2870; Iglesias, Ari/0000-0002-9098-8758</t>
  </si>
  <si>
    <t>NSF [DEB-0919071]; Direct For Biological Sciences; Division Of Environmental Biology [0919071] Funding Source: National Science Foundation</t>
  </si>
  <si>
    <t>NSF(National Science Foundation (NSF)); Direct For Biological Sciences; Division Of Environmental Biology(National Science Foundation (NSF)NSF - Directorate for Biological Sciences (BIO))</t>
  </si>
  <si>
    <t>Funding provided by NSF DEB-0919071 to PW and AI. The funders had no role in study design, data collection and analysis, decision to publish, or preparation of the manuscript.</t>
  </si>
  <si>
    <t>JUL 19</t>
  </si>
  <si>
    <t>e69281</t>
  </si>
  <si>
    <t>10.1371/journal.pone.0069281</t>
  </si>
  <si>
    <t>191CY</t>
  </si>
  <si>
    <t>WOS:000322391400044</t>
  </si>
  <si>
    <t>Rignot, E; Jacobs, S; Mouginot, J; Scheuchl, B</t>
  </si>
  <si>
    <t>Rignot, E.; Jacobs, S.; Mouginot, J.; Scheuchl, B.</t>
  </si>
  <si>
    <t>Ice-Shelf Melting Around Antarctica</t>
  </si>
  <si>
    <t>PINE ISLAND GLACIER; MASS-BALANCE; SHEET; CIRCULATION; THICKNESS; CAVITY</t>
  </si>
  <si>
    <t>We compare the volume flux divergence of Antarctic ice shelves in 2007 and 2008 with 1979 to 2010 surface accumulation and 2003 to 2008 thinning to determine their rates of melting and mass balance. Basal melt of 1325 +/- 235 gigatons per year (Gt/year) exceeds a calving flux of 1089 +/- 139 Gt/year, making ice-shelf melting the largest ablation process in Antarctica. The giant cold-cavity Ross, Filchner, and Ronne ice shelves covering two-thirds of the total ice-shelf area account for only 15% of net melting. Half of the meltwater comes from 10 small, warm-cavity Southeast Pacific ice shelves occupying 8% of the area. A similar high melt/area ratio is found for six East Antarctic ice shelves, implying undocumented strong ocean thermal forcing on their deep grounding lines.</t>
  </si>
  <si>
    <t>[Rignot, E.; Mouginot, J.; Scheuchl, B.] Univ Calif Irvine, Dept Earth Syst Sci, Irvine, CA 92697 USA; [Rignot, E.] CALTECH, Jet Prop Lab, Pasadena, CA 91109 USA; [Jacobs, S.] Columbia Univ, Lamont Doherty Earth Observ, Palisades, NY 10964 USA</t>
  </si>
  <si>
    <t>University of California System; University of California Irvine; California Institute of Technology; National Aeronautics &amp; Space Administration (NASA); NASA Jet Propulsion Laboratory (JPL); Columbia University</t>
  </si>
  <si>
    <t>Rignot, E (corresponding author), Univ Calif Irvine, Dept Earth Syst Sci, Irvine, CA 92697 USA.</t>
  </si>
  <si>
    <t>erignot@uci.edu</t>
  </si>
  <si>
    <t>Mouginot, Jeremie/G-7045-2015; Rignot, Eric/A-4560-2014</t>
  </si>
  <si>
    <t>Mouginot, Jeremie/0000-0001-9155-5455; Rignot, Eric/0000-0002-3366-0481; Scheuchl, Bernd/0000-0001-5947-7709</t>
  </si>
  <si>
    <t>NASA's Cryospheric Science Program; NASA's Operation IceBridge (OIB); National Science Foundation; National Oceanic and Atmospheric Administration</t>
  </si>
  <si>
    <t>NASA's Cryospheric Science Program(National Aeronautics &amp; Space Administration (NASA)); NASA's Operation IceBridge (OIB); National Science Foundation(National Science Foundation (NSF)); National Oceanic and Atmospheric Administration(National Oceanic Atmospheric Admin (NOAA) - USA)</t>
  </si>
  <si>
    <t>We thank three anonymous reviewers for their constructive criticism of the manuscript. This work was performed at the University of California, Irvine, and at the Jet Propulsion Laboratory, California Institute of Technology, under grants from NASA's Cryospheric Science Program and Operation IceBridge (OIB) and at the Lamont-Doherty Earth Observatory of Columbia University under grants from the National Science Foundation and the National Oceanic and Atmospheric Administration.</t>
  </si>
  <si>
    <t>10.1126/science.1235798</t>
  </si>
  <si>
    <t>185HV</t>
  </si>
  <si>
    <t>Y</t>
  </si>
  <si>
    <t>N</t>
  </si>
  <si>
    <t>WOS:000321959300040</t>
  </si>
  <si>
    <t>De Pittà, C; Biscontin, A; Albiero, A; Sales, G; Millino, C; Mazzotta, GM; Bertolucci, C; Costa, R</t>
  </si>
  <si>
    <t>De Pitta, Cristiano; Biscontin, Alberto; Albiero, Alessandro; Sales, Gabriele; Millino, Caterina; Mazzotta, Gabriella M.; Bertolucci, Cristiano; Costa, Rodolfo</t>
  </si>
  <si>
    <t>The Antarctic Krill Euphausia superba Shows Diurnal Cycles of Transcription under Natural Conditions</t>
  </si>
  <si>
    <t>GENE-EXPRESSION; CIRCADIAN CLOCK; MESSENGER-RNA; CLIMATE-CHANGE; METABOLISM; MOUSE; CRUSTACEANS; HORMONE</t>
  </si>
  <si>
    <t>Background: Polar environments are characterized by extreme seasonal changes in day length, light intensity and spectrum, the extent of sea ice during the winter, and food availability. A key species of the Southern Ocean ecosystem, the Antarctic krill (Euphausia superba) has evolved rhythmic physiological and behavioral mechanisms to adapt to daily and seasonal changes. The molecular organization of the clockwork underlying these biological rhythms is, nevertheless, still only partially understood. Methodology/Principal Findings: The genome sequence of the Antarctic krill is not yet available. A normalized cDNA library was produced and pyrosequenced in the attempt to identify large numbers of transcripts. All available E. superba sequences were then assembled to create the most complete existing oligonucleotide microarray platform with a total of 32,217 probes. Gene expression signatures of specimens collected in the Ross Sea at five different time points over a 24-hour cycle were defined, and 1,308 genes differentially expressed were identified. Of the corresponding transcripts, 609 showed a significant sinusoidal expression pattern; about 40% of these exibithed a 24-hour periodicity while the other 60% was characterized by a shorter (about 12-hour) rhythm. We assigned the differentially expressed genes to functional categories and noticed that those concerning translation, proteolysis, energy and metabolic process, redox regulation, visual transduction and stress response, which are most likely related to daily environmental changes, were significantly enriched. Two transcripts of peroxiredoxin, thought to represent the ancestral timekeeping system that evolved about 2.5 billion years ago, were also identified as were two isoforms of the EsRh1 opsin and two novel arrestin1 sequences involved in the visual transduction cascade. Conclusions: Our work represents the first characterization of the krill diurnal transcriptome under natural conditions and provides a first insight into the genetic regulation of physiological changes, which occur around the clock during an Antarctic summer day.</t>
  </si>
  <si>
    <t>[De Pitta, Cristiano; Biscontin, Alberto; Sales, Gabriele; Mazzotta, Gabriella M.; Costa, Rodolfo] Univ Padua, Dipartimento Biol, Padua, Italy; [Albiero, Alessandro; Millino, Caterina] Univ Padua, CRIBI, Padua, Italy; [Albiero, Alessandro] BMR Genom, Padua, Italy; [Bertolucci, Cristiano] Univ Ferrara, Dipartimento Sci Vita &amp; Biotecnol, I-44100 Ferrara, Italy</t>
  </si>
  <si>
    <t>University of Padua; University of Padua; University of Ferrara</t>
  </si>
  <si>
    <t>Costa, R (corresponding author), Univ Padua, Dipartimento Biol, Padua, Italy.</t>
  </si>
  <si>
    <t>rodolfo.costa@unipd.it</t>
  </si>
  <si>
    <t>De Pitta, Cristiano/AAY-7302-2020; Bertolucci, Cristiano/H-1916-2015; Sales, Gabriele/K-5065-2016</t>
  </si>
  <si>
    <t>De Pitta, Cristiano/0000-0001-8013-8162; Bertolucci, Cristiano/0000-0003-0252-3107; MAZZOTTA, GABRIELLA MARGHERITA/0000-0001-5461-6837; Biscontin, Alberto/0000-0003-1492-7715; Sales, Gabriele/0000-0003-2078-5661</t>
  </si>
  <si>
    <t>Italian Programma Nazionale di Ricerche in Antartide - PNRA [2003/1.3, 2005/1.04]; Helmholtz Virtual Institute PolarTime [VH-VI-500]; European Community [01874]; University of Ferrara</t>
  </si>
  <si>
    <t>Italian Programma Nazionale di Ricerche in Antartide - PNRA; Helmholtz Virtual Institute PolarTime; European Community; University of Ferrara</t>
  </si>
  <si>
    <t>This work was supported by the Italian Programma Nazionale di Ricerche in Antartide - PNRA (grant 2003/1.3 and grant 2005/1.04 to RC and CB) and the Helmholtz Virtual Institute PolarTime (VH-VI-500: Biological timing in a changing marine environment - clocks and rhythms in polar pelagic organisms). RC also thanks the European Community (6th Framework Project EUCLOCK number 01874) research grant. CB acknowledges research grants from the University of Ferrara. The funders had no role in study design, data collection and analysis, decision to publish, or preparation of the manuscript.</t>
  </si>
  <si>
    <t>JUL 17</t>
  </si>
  <si>
    <t>e68652</t>
  </si>
  <si>
    <t>10.1371/journal.pone.0068652</t>
  </si>
  <si>
    <t>185WH</t>
  </si>
  <si>
    <t>WOS:000322000600013</t>
  </si>
  <si>
    <t>Ayers, JM; Strutton, PG</t>
  </si>
  <si>
    <t>Ayers, Jennifer M.; Strutton, Peter G.</t>
  </si>
  <si>
    <t>Nutrient variability in Subantarctic Mode Waters forced by the Southern Annular Mode and ENSO</t>
  </si>
  <si>
    <t>Subantarctic Mode Water (SAMW); meridional overturning circulation (MOC; Southern Annular Mode (SAM; El Nino-Southern Oscillation (ENSO); nutrients; carbon cycling</t>
  </si>
  <si>
    <t>OCEAN; CIRCULATION; ATMOSPHERE; LATITUDE; PACIFIC; IMPACT; ICE; SI</t>
  </si>
  <si>
    <t>As the primary source of nutrients to the global thermocline, Subantarctic Mode Waters (SAMWs) play a key role in primary production and climate. Here we use repeat hydrographic World Ocean Circulation Experiment/Climate Variability and Predictability data to quantify interannual SAMW nutrient variability and its forcing. Pacific sector SAMW nutrients were significantly correlated with the Southern Annular Mode (SAM) and wind stress curl anomalies associated with a faster meridional overturning circulation (MOC). A stronger MOC results in greater upwelling of nutrients at high latitudes, increased Ekman transport of nutrients equatorward, and subduction of higher preformed nutrient loads in SAMWs. Australian sector SAMWs were significantly correlated with El Nino-Southern Oscillation (ENSO), likely due to its modulation of transport in the East Australian Current extension. Interannual variability in SAMW nutrients impacts downstream tropical export production by as much as 5-12% of the annual mean.</t>
  </si>
  <si>
    <t>[Ayers, Jennifer M.; Strutton, Peter G.] Univ Tasmania, Inst Marine &amp; Antarctic Studies, Hobart, Tas 7001, Australia</t>
  </si>
  <si>
    <t>University of Tasmania</t>
  </si>
  <si>
    <t>Ayers, JM (corresponding author), Univ Tasmania, Inst Marine &amp; Antarctic Studies, Private Bag 129, Hobart, Tas 7001, Australia.</t>
  </si>
  <si>
    <t>jennifer.ayers@utas.edu.au</t>
  </si>
  <si>
    <t>Ayers, Jennifer M/A-2570-2012; Strutton, Peter/C-4466-2011</t>
  </si>
  <si>
    <t>Strutton, Peter/0000-0002-2395-9471</t>
  </si>
  <si>
    <t>Australian Research Council Centre of Excellence for Climate System Science</t>
  </si>
  <si>
    <t>Australian Research Council Centre of Excellence for Climate System Science(Australian Research Council)</t>
  </si>
  <si>
    <t>This work was supported by the Australian Research Council Centre of Excellence for Climate System Science.</t>
  </si>
  <si>
    <t>JUL 16</t>
  </si>
  <si>
    <t>10.1002/grl.50638</t>
  </si>
  <si>
    <t>244NQ</t>
  </si>
  <si>
    <t>WOS:000326396600029</t>
  </si>
  <si>
    <t>Hirasawa, N; Nakamura, H; Motoyama, H; Hayashi, M; Yamanouchi, T</t>
  </si>
  <si>
    <t>Hirasawa, Naohiko; Nakamura, Hisashi; Motoyama, Hideaki; Hayashi, Masahiko; Yamanouchi, Takashi</t>
  </si>
  <si>
    <t>The role of synoptic-scale features and advection in prolonged warming and generation of different forms of precipitation at Dome Fuji station, Antarctica, following a prominent blocking event</t>
  </si>
  <si>
    <t>Antarctic; blocking; synoptic-scale warming; precipitation</t>
  </si>
  <si>
    <t>ATMOSPHERIC NET TRANSPORT; DRONNING MAUD LAND; SOUTH-PACIFIC; LATENT-HEAT; WATER-VAPOR; VARIABILITY</t>
  </si>
  <si>
    <t>A blocking event over the East Antarctic ice sheet during June 1997 generated the highest surface air temperature (which increased from around -70 degrees C to around -30 degrees C) and pressure of that year at the Dome Fuji station (77.5 degrees S, 40 degrees E). Following the blocking event, the anomalously high air temperature (around -50 degrees C to -60 degrees C) and pressure were maintained at the surface for about 1 week. This study investigates how these warm conditions were maintained and documents the sequential occurrence of two forms of synoptic-scale high-pressure systems with conditions that produced precipitation by different processes in each case. In the first half of the warm period, a solitary high-pressure system (the Solitary High) formed over the Dome Fuji station and traveled west over East Antarctica after being cut off from the tip of the preceding blocking ridge. During this phase, tropospheric temperatures were higher, and surface-based temperature inversions were more intense than during the following period. While a dry-out developed in the troposphere below about 300 hPa, the precipitation of ice crystals in the surface-based temperature inversion layer was generated by deposition of moisture that had become trapped in the boundary layer after being transported onto the continent by the previous blocking ridge. This mechanism has not been previously reported elsewhere. During the second half of the warm period, a ridge of high pressure (the Transcontinental Ridge) traversed East Antarctica almost completely, and its western section was amplified by the merging of the Solitary High with a preceding quasi-stationary Rossby wave train propagating along the Southern Ocean. This ridge allowed an intrusion of warm, moist air from the Weddell Sea toward the station, which generated precipitation throughout the whole troposphere by orographic uplift once again, and ended the dry-out. This represents the typical mechanism of both moisture transportation and the generation of precipitation, and this mechanism was the same as that associated with the preceding blocking ridge.</t>
  </si>
  <si>
    <t>[Hirasawa, Naohiko; Motoyama, Hideaki; Yamanouchi, Takashi] Natl Inst Polar Res, Tachikawa, Tokyo 1908518, Japan; [Nakamura, Hisashi] Univ Tokyo, Res Ctr Adv Sci &amp; Technol, Tokyo, Japan; [Hayashi, Masahiko] Fukuoka Univ, Fac Sci, Fukuoka 81401, Japan</t>
  </si>
  <si>
    <t>Research Organization of Information &amp; Systems (ROIS); National Institute of Polar Research (NIPR) - Japan; University of Tokyo; Fukuoka University</t>
  </si>
  <si>
    <t>Hirasawa, N (corresponding author), Natl Inst Polar Res, 10-3 Midoricho, Tachikawa, Tokyo 1908518, Japan.</t>
  </si>
  <si>
    <t>hira.n@nipr.ac.jp</t>
  </si>
  <si>
    <t>Yamanouchi, Takashi/P-2041-2015</t>
  </si>
  <si>
    <t>NSF [ANT-0944018]; Japanese Ministry of Education, Culture, Sports, Science and Technology [18024044]; Grants-in-Aid for Scientific Research [25287120, 22106001, 22106009] Funding Source: KAKEN</t>
  </si>
  <si>
    <t>NSF(National Science Foundation (NSF));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</si>
  <si>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wish to thank the members of the JARE-38 wintering team at the Dome Fuji station. Data analysis was carried out at the Polar Data Center of the National Institute of Polar Research, Japan. The authors appreciate the support of the University of Wisconsin-Madison Automatic Weather Station Program for provision of the data set, data display, and other information under NSF grant ANT-0944018. The production of this paper was supported by an NIPR publication subsidy. Hisashi Nakamura was supported in part by a Grant-in-Aid for Scientific Research (18024044) from the Japanese Ministry of Education, Culture, Sports, Science and Technology. The authors wish to thank the three anonymous reviewers and the editor for their helpful comments and discussions.</t>
  </si>
  <si>
    <t>10.1002/jgrd.50532</t>
  </si>
  <si>
    <t>188KP</t>
  </si>
  <si>
    <t>WOS:000322192200004</t>
  </si>
  <si>
    <t>Sheese, PE; Strong, K; Gattinger, RL; Llewellyn, EJ; Urban, J; Boone, CD; Smith, AK</t>
  </si>
  <si>
    <t>Sheese, P. E.; Strong, K.; Gattinger, R. L.; Llewellyn, E. J.; Urban, J.; Boone, C. D.; Smith, A. K.</t>
  </si>
  <si>
    <t>Odin observations of Antarctic nighttime NO densities in the mesosphere-lower thermosphere and observations of a lower NO layer</t>
  </si>
  <si>
    <t>Odin; nitric oxide; mesosphere lower thermosphere; ACE; OSIRIS; WACCM</t>
  </si>
  <si>
    <t>NITRIC-OXIDE; ATMOSPHERIC CHEMISTRY; GLOBAL OBSERVATIONS; SOLAR STORMS; APRIL 2002; MU-M; STRATOSPHERE; CLIMATOLOGY; TRANSPORT; SATELLITE</t>
  </si>
  <si>
    <t>The Optical Spectrograph and Infrared Imaging System (OSIRIS) on the Odin satellite currently has an eight-year dataset of nighttime Antarctic nitric oxide densities, [NO], in the mesosphere-lower thermosphere (MLT) region. In this work, the OSIRIS data are compared with a similar data set from the Sub-Millimeter Radiometer (SMR), also on the Odin satellite. Both of the Odin data sets are compared with twilight [NO] from the Atmospheric Chemistry Experiment-Fourier Transform Spectrometer (ACE-FTS) on the SciSat-I satellite. Direct comparisons of OSIRIS and SMR profiles show large differences, indicating that the individual [NO] profiles of one or both data sets may not be valid. However, when comparing averaged [NO], variations on timescales of weeks-years in all three data sets are in good agreement and correspond to the 27 day and 11 year solar cycles. The averaged OSIRIS values are typically 10% greater than SMR and 30% greater than ACE-FTS, which are within the estimated OSIRIS systematic uncertainties. These results suggest that the satellite-derived data sets can be used for determining polar-mean NO climatology and variations on timescales of weeks-years. The OSIRIS and SMR nighttime data sets show that the [NO] peak height in the MLT decreases throughout the autumn, from an altitude near or above 100 km to a minimum altitude ranging from 90 to 95 km around winter solstice. A similar decrease in [NO] peak height is observed in modeled NO climatology from the Specified Dynamics-Whole Atmosphere Community Climate Model (SD-WACCM), although the SD-WACCM climatology exhibits a decrease throughout autumn from 107 km down to 102 km. The results suggest that global climate models require more sophisticated auroral forcing simulations in order to reproduce observed NO variations in this region.</t>
  </si>
  <si>
    <t>[Sheese, P. E.; Strong, K.] Univ Toronto, Dept Phys, Toronto, ON M5S 1A7, Canada; [Gattinger, R. L.; Llewellyn, E. J.] Univ Saskatchewan, Dept Phys &amp; Engn Phys, ISAS, Saskatoon, SK, Canada; [Urban, J.] Chalmers Univ Technol, Dept Earth &amp; Space Sci, S-41296 Gothenburg, Sweden; [Boone, C. D.] Univ Waterloo, Dept Chem, Waterloo, ON N2L 3G1, Canada; [Smith, A. K.] Natl Ctr Atmospher Res, Div Atmospher Chem, Boulder, CO 80307 USA</t>
  </si>
  <si>
    <t>University of Toronto; University of Saskatchewan; Chalmers University of Technology; University of Waterloo; National Center Atmospheric Research (NCAR) - USA</t>
  </si>
  <si>
    <t>Sheese, PE (corresponding author), Univ Toronto, Dept Phys, 60 St George St, Toronto, ON M5S 1A7, Canada.</t>
  </si>
  <si>
    <t>psheese@atmosp.physics.utoronto.ca</t>
  </si>
  <si>
    <t>Urban, Jo/F-9172-2010; Strong, Kimberly/D-2563-2012</t>
  </si>
  <si>
    <t>Urban, Jo/0000-0001-7026-793X; Smith, Anne/0000-0003-2384-5033; Strong, Kimberly/0000-0001-9947-1053</t>
  </si>
  <si>
    <t>Canadian Space Agency (CSA); Natural Sciences and Engineering Research Council Canada (NSERC); Sweden (Swedish National Space Board), Canada (CSA), France; (Centre National d'Etudes Spatiales); Finland (Tekes); European Space Agency (ESA); CSA; National Science Foundation</t>
  </si>
  <si>
    <t>Canadian Space Agency (CSA)(Canadian Space Agency); Natural Sciences and Engineering Research Council Canada (NSERC)(Natural Sciences and Engineering Research Council of Canada (NSERC)); Sweden (Swedish National Space Board), Canada (CSA), France; (Centre National d'Etudes Spatiales)(Centre National D'etudes Spatiales); Finland (Tekes)(Finnish Funding Agency for Technology &amp; Innovation (TEKES)); European Space Agency (ESA)(European Space Agency); CSA; National Science Foundation(National Science Foundation (NSF))</t>
  </si>
  <si>
    <t>This project was funded by grants from the Canadian Space Agency (CSA) and the Natural Sciences and Engineering Research Council Canada (NSERC). Odin is a Swedish-led satellite project funded jointly by Sweden (Swedish National Space Board), Canada (CSA), France (Centre National d'Etudes Spatiales), and Finland (Tekes), with support by the third party mission program of the European Space Agency (ESA). The Atmospheric Chemistry Experiment is a Canadian-led mission mainly supported by the CSA. The National Center for Atmospheric Research is sponsored by the National Science Foundation. The authors thank the anonymous referees for their valuable comments.</t>
  </si>
  <si>
    <t>10.1002/jgrd.50563</t>
  </si>
  <si>
    <t>WOS:000322192200037</t>
  </si>
  <si>
    <t>Nair, VS; Moorthy, KK; Babu, SS</t>
  </si>
  <si>
    <t>Nair, Vijayakumar S.; Moorthy, K. Krishna; Babu, S. Suresh</t>
  </si>
  <si>
    <t>Influence of continental outflow and ocean biogeochemistry on the distribution of fine and ultrafine particles in the marine atmospheric boundary layer over Arabian Sea and Bay of Bengal</t>
  </si>
  <si>
    <t>aerosol number size distribution; ocean biogeochemistry; aerosol outflow; chlorophyll</t>
  </si>
  <si>
    <t>NUMBER SIZE DISTRIBUTION; AEROSOLS; PHYTOPLANKTON; CLIMATE; GROWTH</t>
  </si>
  <si>
    <t>Extensive measurements of aerosol number size distributions (in the size range of 10 to 875 nm) carried out over the oceanic regions of the Bay of Bengal and Arabian Sea during two large cruise experiments (one during pre-monsoon and the other during winter) are used to investigate the spatial distribution of aerosol size distributions, in general, and that of fine particles, in particular, within the marine atmospheric boundary layer. The size distributions over the northwestern Bay of Bengal, lying downwind of the continental outflow from the Indo-Gangetic Plain, and over the eastern Bay of Bengal, under the influence of the East Asian outflow, showed a bimodal structure with prominent mode (100-125 nm) in the accumulation regime and weak mode (30-40 nm) in the Aitken regime during both pre-monsoon and winter seasons. While the Aitken mode was found to be relatively quite weak in the Indo-Gangetic Plain outflow during both seasons, it was prominent in the East Asian outflow regions, especially during the winter season. The distributions over the northern Arabian Sea, a region quite prone to advection of dust during pre-monsoon and summer seasons, showed a prominent Aitken mode (similar to 45 nm) followed by a weaker accumulation mode during pre-monsoon season. Analysis of SeaWiFS data revealed a systematic collocation of Aitken mode aerosols and the high chlorophyll concentration in the northern Arabian Sea, implying the role of ocean biogeochemistry in influencing the aerosol size distributions. Such a feature implying biogeochemical influence was not seen over the eastern and northern Bay of Bengal during pre-monsoon and winter seasons.</t>
  </si>
  <si>
    <t>[Nair, Vijayakumar S.; Moorthy, K. Krishna; Babu, S. Suresh] Vikram Sarabhai Space Ctr, Space Phys Lab, Thiruvananthapuram 695022, Kerala, India</t>
  </si>
  <si>
    <t>Department of Space (DoS), Government of India; Indian Space Research Organisation (ISRO); Vikram Sarabhai Space Center (VSSC)</t>
  </si>
  <si>
    <t>Nair, VS (corresponding author), Vikram Sarabhai Space Ctr, Space Phys Lab, Thiruvananthapuram 695022, Kerala, India.</t>
  </si>
  <si>
    <t>vijayakumar_s@vssc.gov.in</t>
  </si>
  <si>
    <t>MOORTHY, KRISHNA/AAG-6807-2019</t>
  </si>
  <si>
    <t>Moorthy, K. Krishna/0000-0002-7234-3868</t>
  </si>
  <si>
    <t>ICARB team; officers onboard ICARB; W-ICARB</t>
  </si>
  <si>
    <t>This study was carried out as a part of the ICARB project of ISRO-GBP. We are thankful to the National Centre for Antarctic and Ocean Studies for providing the ship and onboard facilities. We thank the entire ICARB team and officers onboard ICARB and W-ICARB cruises for their support throughout the campaigns. The authors gratefully acknowledge the NASA Giovanni for SeaWiFS and NOBM data made available. Analyses and visualizations used in this study were produced with the Giovanni online data system, developed and maintained by the NASA GES DISC. We acknowledge NASA and NOAA for providing QuickSCAT data for this study.</t>
  </si>
  <si>
    <t>10.1002/jgrd.50541</t>
  </si>
  <si>
    <t>WOS:000322192200028</t>
  </si>
  <si>
    <t>Hoffman, JI; Thorne, MAS; McEwing, R; Forcada, J; Ogden, R</t>
  </si>
  <si>
    <t>Hoffman, Joseph I.; Thorne, Michael A. S.; McEwing, Rob; Forcada, Jaume; Ogden, Rob</t>
  </si>
  <si>
    <t>Cross-Amplification and Validation of SNPs Conserved over 44 Million Years between Seals and Dogs</t>
  </si>
  <si>
    <t>ANTARCTIC FUR SEALS; SINGLE-NUCLEOTIDE POLYMORPHISMS; GENOME; DISCOVERY; SELECTION; SUCCESS; MARKERS; LONG; WILD; NO</t>
  </si>
  <si>
    <t>High-density SNP arrays developed for humans and their companion species provide a rapid and convenient tool for generating SNP data in closely-related non-model organisms, but have not yet been widely applied to phylogenetically divergent taxa. Consequently, we used the CanineHD BeadChip to genotype 24 Antarctic fur seal (Arctocephalus gazella) individuals. Despite seals and dogs having diverged around 44 million years ago, 33,324 out of 173,662 loci (19.2%) could be genotyped, of which 173 were polymorphic and clearly interpretable. Two SNPs were validated using KASP genotyping assays, with the resulting genotypes being 100% concordant with those obtained from the high-density array. Two loci were also confirmed through in silico visualisation after mapping them to the fur seal transcriptome. Polymorphic SNPs were distributed broadly throughout the dog genome and did not differ significantly in proximity to genes from either monomorphic SNPs or those that failed to cross-amplify in seals. However, the nearest genes to polymorphic SNPs were significantly enriched for functional annotations relating to energy metabolism, suggesting a possible bias towards conserved regions of the genome.</t>
  </si>
  <si>
    <t>[Hoffman, Joseph I.] Univ Bielefeld, Dept Anim Behav, D-33615 Bielefeld, North Rhine Wes, Germany; [Thorne, Michael A. S.; Forcada, Jaume] British Antarctic Survey, Nat Environm Res Council, Cambridge CB3 0ET, England; [McEwing, Rob; Ogden, Rob] Royal Zool Soc Scotland, Wildgenes Lab, Edinburgh, Midlothian, Scotland</t>
  </si>
  <si>
    <t>University of Bielefeld; UK Research &amp; Innovation (UKRI); Natural Environment Research Council (NERC); NERC British Antarctic Survey</t>
  </si>
  <si>
    <t>Hoffman, JI (corresponding author), Univ Bielefeld, Dept Anim Behav, D-33615 Bielefeld, North Rhine Wes, Germany.</t>
  </si>
  <si>
    <t>joseph.hoffman@uni-bielefeld.de</t>
  </si>
  <si>
    <t>Forcada, Jaume/GYU-0677-2022; Hoffman, Joseph/K-7725-2012</t>
  </si>
  <si>
    <t>Ogden, Rob/0000-0002-2831-0428; Thorne, Michael/0000-0001-7759-612X; Hoffman, Joseph/0000-0001-5895-8949</t>
  </si>
  <si>
    <t>Marie Curie Career Integration Grant [PCIG-GA-2011-303618]; NERC [bas0100025] Funding Source: UKRI; Natural Environment Research Council [bas0100025] Funding Source: researchfish</t>
  </si>
  <si>
    <t>Marie Curie Career Integration Grant(Marie Curie Actions); NERC(UK Research &amp; Innovation (UKRI)Natural Environment Research Council (NERC)); Natural Environment Research Council(UK Research &amp; Innovation (UKRI)Natural Environment Research Council (NERC))</t>
  </si>
  <si>
    <t>This work was funded by a Marie Curie Career Integration Grant (PCIG-GA-2011-303618) awarded to JH. The funders had no role in study design, data collection and analysis, decision to publish, or preparation of the manuscript.</t>
  </si>
  <si>
    <t>e68365</t>
  </si>
  <si>
    <t>10.1371/journal.pone.0068365</t>
  </si>
  <si>
    <t>186SF</t>
  </si>
  <si>
    <t>gold, Green Submitted, Green Published, Green Accepted</t>
  </si>
  <si>
    <t>WOS:000322064300026</t>
  </si>
  <si>
    <t>Wang, NF; Zang, JY; Ming, KL; Liu, Y; Wu, ZH; Ding, H</t>
  </si>
  <si>
    <t>Wang, Nengfei; Zang, Jiaye; Ming, Kaili; Liu, Yu; Wu, Zuohao; Ding, Hui</t>
  </si>
  <si>
    <t>Production of cold-adapted cellulase by Verticillium sp isolated from Antarctic soils</t>
  </si>
  <si>
    <t>ELECTRONIC JOURNAL OF BIOTECHNOLOGY</t>
  </si>
  <si>
    <t>Antarctic soil; cellulose; filter paper cellulase assay; psychrotrophic fungi; Verticillium sp.</t>
  </si>
  <si>
    <t>HYDROLYSIS; ETHANOL; ISLAND; FUNGI</t>
  </si>
  <si>
    <t>Background: Cellulose can be converted to ethanol by simultaneous saccharification and fermentation (SSF). The difference between the optimal temperature of cellulase and microbial fermentation, however, has been identified as the critical problem with SSF. In this study, one fungal strain (AnsX1) with high cellulase activity at low temperature was isolated from Antarctic soils and identified as Verticillium sp. by morphological and molecular analyses. Results: The biochemical properties of crude AnsX1 cellulase samples were studied by filter paper cellulase assay. The maximum cellulase activity was achieved at low temperature in an acidic environment with addition of metal ions. Furthermore, AnsX1 cellulase demonstrated 54-63% enzymatic activity at ethanol concentrations of 5-10%. AnsX1 cellulase production was influenced by inoculum size, carbon and nitrogen sources, and elicitors. The optimal culture conditions for AnsX1 cellulase production were 5% inoculum, wheat bran as carbon source, (NH4)(2)SO4 as nitrogen source, and sorbitol added in the medium. Conclusions: Our present work has potential to enable the development of an economic and efficient cold-adapted cellulase system for bioconversion of lignocellulosic biomass into biofuels in future.</t>
  </si>
  <si>
    <t>[Wang, Nengfei; Zang, Jiaye; Ming, Kaili; Liu, Yu; Wu, Zuohao; Ding, Hui] State Ocean Adm, Inst Oceanog 1, Key Lab Marine Bioact Subst, Qingdao, Shandong, Peoples R China</t>
  </si>
  <si>
    <t>First Institute of Oceanography, Ministry of Natural Resources</t>
  </si>
  <si>
    <t>Wang, NF (corresponding author), State Ocean Adm, Inst Oceanog 1, Key Lab Marine Bioact Subst, Qingdao, Shandong, Peoples R China.</t>
  </si>
  <si>
    <t>nfwangsoa@gmail.com</t>
  </si>
  <si>
    <t>National Science and Technology projects of China; Basic Scientific Fund for National Public Research Institutes of China, Nonprofit scientific research of Marine [201005031, 200905022-2, 201005020, 201105028-02]; Ministry of Science and Technology [2010DFA24340]</t>
  </si>
  <si>
    <t>National Science and Technology projects of China; Basic Scientific Fund for National Public Research Institutes of China, Nonprofit scientific research of Marine; Ministry of Science and Technology(Spanish Government)</t>
  </si>
  <si>
    <t>This work was supported by the National Science and Technology projects of China research grant (Grant No. 2011BAD14B04), Basic Scientific Fund for National Public Research Institutes of China, Nonprofit scientific research of Marine (Grant No. 201005031, 200905022-2, 201005020, and 201105028-02) and International cooperation subject of Ministry of Science and Technology (Grant No. 2010DFA24340).</t>
  </si>
  <si>
    <t>UNIV CATOLICA DE VALPARAISO</t>
  </si>
  <si>
    <t>VALPARAISO</t>
  </si>
  <si>
    <t>AV BRASIL 2950, PO BOX 4059, VALPARAISO, CHILE</t>
  </si>
  <si>
    <t>0717-3458</t>
  </si>
  <si>
    <t>ELECTRON J BIOTECHN</t>
  </si>
  <si>
    <t>Electron. J. Biotechnol.</t>
  </si>
  <si>
    <t>JUL 15</t>
  </si>
  <si>
    <t>10.2225/vol16-issue4-fulltext-12</t>
  </si>
  <si>
    <t>Biotechnology &amp; Applied Microbiology</t>
  </si>
  <si>
    <t>270SS</t>
  </si>
  <si>
    <t>Green Submitted, hybrid, Green Published</t>
  </si>
  <si>
    <t>WOS:000328339600009</t>
  </si>
  <si>
    <t>Kirillov, SA; Dmitrenko, IA; Hölemann, JA; Kassens, H; Bloshkina, E</t>
  </si>
  <si>
    <t>Kirillov, Sergey A.; Dmitrenko, Igor A.; Hoelemann, Jens A.; Kassens, Heidemarie; Bloshkina, Ekaterina</t>
  </si>
  <si>
    <t>The penetrative mixing in the Laptev Sea coastal polynya pycnocline layer</t>
  </si>
  <si>
    <t>CONTINENTAL SHELF RESEARCH</t>
  </si>
  <si>
    <t>Laptev Sea; Coastal polynya; Pycnocline; Penetrative mixing</t>
  </si>
  <si>
    <t>ARCTIC-OCEAN; ICE; TURBULENCE; CIRCULATION; HALOCLINE; SHELF; WATER</t>
  </si>
  <si>
    <t>The large recurrent areas of open water and/or thin ice (polynyas) producing cold brine-enriched waters off the fast-ice edge are evident in the Laptev Sea in winter time. A number of abrupt positively correlated transitions in temperature and salinity were recorded in the bottom and intermediate layers at a mooring station in the West New Siberian (WNS) polynya in February-March 2008. Being in the range of -0.5 degrees C and -1.6 psu these changes are induced by horizontal motions across the polynya and correspond to temperature and salinity horizontal gradients in the range of 0.3-1.0 degrees C/10 km and 1.4-3.5 psu/10 km, respectively. The events of distinct freshening and temperature decrease coincide with a northward current off the fast-ice edge, while southward currents brought saltier and warmer waters at intermediate depths. We suggest that the observed transitions are connected to altering pycnocline depths across the polynya. The source of relatively fresher waters at the intermediate depths in polynya is supposed to originate from penetrative mixing of surface low salinity waters to intermediate water depth. Several forcing processes that could be responsible for a penetrative mixing through the density interface in polynya are discussed. These are penetrative convection and shear-driven mixing that originates from two-layer water dynamics and/or baroclinic tidal motions. The heavily ridged seaward fast-ice edge could produce an additional source of turbulent mixing even through a shear-free density interface due to the increased roughness at the ice-water interface. (C) 2013 Elsevier Ltd. All rights reserved.</t>
  </si>
  <si>
    <t>[Kirillov, Sergey A.; Bloshkina, Ekaterina] Arctic &amp; Antarctic Res Inst, St Petersburg 199226, Russia; [Dmitrenko, Igor A.] Univ Manitoba, Ctr Earth Observat Sci, Winnipeg, MB, Canada; [Hoelemann, Jens A.] Alfred Wegener Inst Polar &amp; Marine Res, Bremerhaven, Germany; [Kassens, Heidemarie] Helmholtz Ctr Ocean Res, Kiel, Germany</t>
  </si>
  <si>
    <t>Arctic &amp; Antarctic Research Institute; University of Manitoba; Helmholtz Association; Alfred Wegener Institute, Helmholtz Centre for Polar &amp; Marine Research; Helmholtz Association; GEOMAR Helmholtz Center for Ocean Research Kiel</t>
  </si>
  <si>
    <t>Kirillov, SA (corresponding author), Arctic &amp; Antarctic Res Inst, St Petersburg 199226, Russia.</t>
  </si>
  <si>
    <t>skirillov@aari.ru</t>
  </si>
  <si>
    <t>Hoelemann, Jens/N-3608-2016; Bloshkina, Ekaterina/I-6901-2015</t>
  </si>
  <si>
    <t>Hoelemann, Jens/0000-0001-5102-4086; Dmitrenko, Igor/0000-0001-8388-7839; Bloshkina, Ekaterina/0000-0002-2078-7459</t>
  </si>
  <si>
    <t>German ministry BMBF (OSL) [09-11]; BMBF project System Laptev Sea-The Eurasian Shelf Seas in the Arctic's Changing Environment: Frontal Zones and Polynya Systems in the Laptev Sea</t>
  </si>
  <si>
    <t>German ministry BMBF (OSL); BMBF project System Laptev Sea-The Eurasian Shelf Seas in the Arctic's Changing Environment: Frontal Zones and Polynya Systems in the Laptev Sea(Federal Ministry of Education &amp; Research (BMBF))</t>
  </si>
  <si>
    <t>This research was funded by the German ministry BMBF (OSL grant 09-11). Another financial support through the BMBF project System Laptev Sea-The Eurasian Shelf Seas in the Arctic's Changing Environment: Frontal Zones and Polynya Systems in the Laptev Sea is gratefully acknowledged. We wish also to thank T. Klagge (GEOMAR) for his assistance with mooring deployment and recovering.</t>
  </si>
  <si>
    <t>0278-4343</t>
  </si>
  <si>
    <t>1873-6955</t>
  </si>
  <si>
    <t>CONT SHELF RES</t>
  </si>
  <si>
    <t>Cont. Shelf Res.</t>
  </si>
  <si>
    <t>10.1016/j.csr.2013.04.040</t>
  </si>
  <si>
    <t>178CA</t>
  </si>
  <si>
    <t>Green Accepted, Green Published</t>
  </si>
  <si>
    <t>WOS:000321420500004</t>
  </si>
  <si>
    <t>Kender, S; Stephenson, MH; Riding, JB; Leng, MJ; Knox, RWO; Peck, VL; Kendrick, CP; Ellis, MA; Vane, CH; Jamieson, R</t>
  </si>
  <si>
    <t>Kender, Sev; Stephenson, Michael H.; Riding, James B.; Leng, Melanie J.; Knox, Robert W. O'B.; Peck, Victoria L.; Kendrick, Christopher P.; Ellis, Michael A.; Vane, Christopher H.; Jamieson, Rachel</t>
  </si>
  <si>
    <t>Marine and terrestrial environmental changes in NW Europe preceding carbon release at the Paleocene-Eocene transition (vol 353, pg 108, 2013)</t>
  </si>
  <si>
    <t>Correction</t>
  </si>
  <si>
    <t>[Kender, Sev; Stephenson, Michael H.; Riding, James B.; Knox, Robert W. O'B.; Ellis, Michael A.; Vane, Christopher H.] British Geol Survey, Nottingham NG12 5GG, England; [Leng, Melanie J.; Kendrick, Christopher P.] British Geol Survey, Isotope Geosci Lab, NERC, Nottingham NG12 5GG, England; [Leng, Melanie J.] Univ Leicester, Dept Geol, Leicester LE1 7RH, Leics, England; [Peck, Victoria L.] British Antarctic Survey, Cambridge CB3 0ET, England; [Jamieson, Rachel] Univ Edinburgh, Sch Geosci, Edinburgh EH9 3JW, Midlothian, Scotland</t>
  </si>
  <si>
    <t>UK Research &amp; Innovation (UKRI); Natural Environment Research Council (NERC); NERC British Geological Survey; UK Research &amp; Innovation (UKRI); Natural Environment Research Council (NERC); NERC British Geological Survey; University of Leicester; UK Research &amp; Innovation (UKRI); Natural Environment Research Council (NERC); NERC British Antarctic Survey; University of Edinburgh</t>
  </si>
  <si>
    <t>Kender, S (corresponding author), British Geol Survey, Nottingham NG12 5GG, England.</t>
  </si>
  <si>
    <t>sev.kender@bgs.ac.uk</t>
  </si>
  <si>
    <t>Vane, Christopher Howard/A-8814-2008; Ellis, Michael/AAP-2039-2020; Vane, Christopher H./AAG-6538-2020; Ellis, Michael Alexander A/M-4505-2018; Kender, Sev/B-9409-2016</t>
  </si>
  <si>
    <t>Vane, Christopher Howard/0000-0002-8150-3640; Ellis, Michael/0000-0002-6613-3565; Vane, Christopher H./0000-0002-8150-3640; Ellis, Michael Alexander A/0000-0002-6613-3565; Kendrick, Christopher/0000-0003-0382-4868; Leng, Melanie/0000-0003-1115-5166; Kender, Sev/0000-0003-4216-3214</t>
  </si>
  <si>
    <t>Natural Environment Research Council [bgs05002, nigl010001] Funding Source: researchfish; NERC [bgs05002, nigl010001] Funding Source: UKRI</t>
  </si>
  <si>
    <t>10.1016/j.epsl.2013.07.005</t>
  </si>
  <si>
    <t>221MT</t>
  </si>
  <si>
    <t>WOS:000324663700028</t>
  </si>
  <si>
    <t>Bieber, JW; Clem, J; Evenson, P; Pyle, R; Sáiz, A; Ruffolo, D</t>
  </si>
  <si>
    <t>Bieber, J. W.; Clem, J.; Evenson, P.; Pyle, R.; Saiz, A.; Ruffolo, D.</t>
  </si>
  <si>
    <t>GIANT GROUND LEVEL ENHANCEMENT OF RELATIVISTIC SOLAR PROTONS ON 2005 JANUARY 20. I. SPACESHIP EARTH OBSERVATIONS</t>
  </si>
  <si>
    <t>interplanetary medium; solar-terrestrial relations; Sun: coronal mass ejections (CMEs); Sun: particle emission</t>
  </si>
  <si>
    <t>COSMIC-RAYS; OCTOBER 22; TRANSPORT; MODEL; ACCELERATION; EVENTS; ANISOTROPY</t>
  </si>
  <si>
    <t>A ground level enhancement (GLE) is a solar event that accelerates ions (mostly protons) to GeV range energies in such great numbers that ground-based detectors, such as neutron monitors, observe their showers in Earth's atmosphere above the Galactic cosmic ray background. GLEs are of practical interest because an enhanced relativistic ion flux poses a hazard to astronauts, air crews, and aircraft electronics, and provides the earliest direct indication of an impending space radiation storm. The giant GLE of 2005 January 20 was the second largest on record (and largest since 1956), with up to 4200% count rate enhancement at sea level. We analyzed data from the Spaceship Earth network, supplemented to comprise 13 polar neutron monitor stations with distinct asymptotic viewing directions and Polar Bare neutron counters at South Pole, to determine the time evolution of the relativistic proton density, energy spectrum, and three-dimensional directional distribution. We identify two energy-dispersive peaks, indicating two solar injections. The relativistic solar protons were initially strongly beamed, with a peak maximum-to-minimum anisotropy ratio over 1000:1. The directional distribution is characterized by an axis of symmetry, determined independently for each minute of data, whose angle from the magnetic field slowly varied from about 60 degrees to low values and then rose to about 90 degrees. The extremely high relativistic proton flux from certain directions allowed 10 s tracking of count rates, revealing fluctuations of period less than or similar to 2 minutes with up to 50% fractional changes, which we attribute to fluctuations in the axis of symmetry.</t>
  </si>
  <si>
    <t>[Bieber, J. W.; Clem, J.; Evenson, P.; Pyle, R.] Univ Delaware, Bartol Res Inst, Newark, DE 19716 USA; [Bieber, J. W.; Clem, J.; Evenson, P.; Pyle, R.] Univ Delaware, Dept Phys &amp; Astron, Newark, DE 19716 USA; [Saiz, A.; Ruffolo, D.] Mahidol Univ, Fac Sci, Dept Phys, Bangkok 10400, Thailand; [Saiz, A.; Ruffolo, D.] Minist Educ, CHE, Thailand Ctr Excellence Phys, Bangkok 10400, Thailand</t>
  </si>
  <si>
    <t>University of Delaware; University of Delaware; Mahidol University</t>
  </si>
  <si>
    <t>Bieber, JW (corresponding author), Univ Delaware, Bartol Res Inst, Newark, DE 19716 USA.</t>
  </si>
  <si>
    <t>jwbieber@bartol.udel.edu; clem@bartol.udel.edu; evenson@udel.edu; pyle@bartol.udel.edu; alejandro.sai@mahidol.ac.th; david.ruf@mahidol.ac.th</t>
  </si>
  <si>
    <t>Sáiz, Alejandro/F-7367-2010</t>
  </si>
  <si>
    <t>Sáiz, Alejandro/0000-0001-7771-4341; Ruffolo, David/0000-0003-3414-9666</t>
  </si>
  <si>
    <t>US National Science Foundation [ANT-0739620, ANT-0838839]; Thailand Research Fund; Directorate For Geosciences; Office of Polar Programs (OPP) [0739620] Funding Source: National Science Foundation; Directorate For Geosciences; Office of Polar Programs (OPP) [0838839] Funding Source: National Science Foundation</t>
  </si>
  <si>
    <t>US National Science Foundation(National Science Foundation (NSF)); Thailand Research Fund(Thailand Research Fund (TRF)); Directorate For Geosciences; Office of Polar Programs (OPP)(National Science Foundation (NSF)NSF - Directorate for Geosciences (GEO)); Directorate For Geosciences; Office of Polar Programs (OPP)(National Science Foundation (NSF)NSF - Directorate for Geosciences (GEO))</t>
  </si>
  <si>
    <t>We thank our colleagues at IZMIRAN (Russia), the Polar Geophysical Institute (Russia), and the Australian Antarctic Division for furnishing data. Terre Adelie data were kindly provided by the French Polar Institute (IPEV, Brest) and by Paris Observatory. This solar event was a SHINE campaign event, and we thank Allan Tylka for making his summary and bibliography for this event available through the SHINE Web site. We thank the ACE/MAG team and the ACE Science Center for providing magnetometer data online, and the GOES program for online energetic proton data. This research was partially supported by the US National Science Foundation (grants ANT-0739620 and ANT-0838839) and the Thailand Research Fund.</t>
  </si>
  <si>
    <t>JUL 10</t>
  </si>
  <si>
    <t>10.1088/0004-637X/771/2/92</t>
  </si>
  <si>
    <t>176XS</t>
  </si>
  <si>
    <t>WOS:000321340700017</t>
  </si>
  <si>
    <t>Gao, H; Ding, X; Wu, XF; Zhang, B; Dai, ZG</t>
  </si>
  <si>
    <t>Gao, He; Ding, Xuan; Wu, Xue-Feng; Zhang, Bing; Dai, Zi-Gao</t>
  </si>
  <si>
    <t>BRIGHT BROADBAND AFTERGLOWS OF GRAVITATIONAL WAVE BURSTS FROM MERGERS OF BINARY NEUTRON STARS</t>
  </si>
  <si>
    <t>gravitational waves; hydrodynamics; radiation mechanisms: non-thermal; shock waves; stars: magnetars; stars: neutron</t>
  </si>
  <si>
    <t>GAMMA-RAY BURSTS; COMPACT OBJECT MERGERS; EARLY X-RAY; ENERGY INJECTION; MILLISECOND MAGNETAR; GENERAL-RELATIVITY; LIGHT CURVES; FLARES; PULSAR; MODEL</t>
  </si>
  <si>
    <t>If double neutron star mergers leave behind a massive magnetar rather than a black hole, then a bright early afterglow can follow the gravitational wave burst (GWB) even if there is no short gamma-ray burst (SGRB)-GWB association or if there is an association but the SGRB does not beam toward Earth. Besides directly dissipating the proto-magnetar wind, as suggested by Zhang, here we suggest that the magnetar wind could push the ejecta launched during the merger process and, under certain conditions, would reach a relativistic speed. Such a magnetar-powered ejecta, when interacting with the ambient medium, would develop a bright broadband afterglow due to synchrotron radiation. We study this physical scenario in detail and present the predicted X-ray, optical, and radio light curves for a range of magnetar and ejecta parameters. We show that the X-ray and optical light curves usually peak around the magnetar spin-down timescale (similar to 10(3)-10(5) s), reaching brightnesses readily detectable by wide-field X-ray and optical telescopes, and remain detectable for an extended period. The radio afterglow peaks later, but is much brighter than the case without a magnetar energy injection. Therefore, such bright broadband afterglows, if detected and combined with GWBs in the future, would be a probe of massive millisecond magnetars and stiff equations of state for nuclear matter.</t>
  </si>
  <si>
    <t>[Gao, He; Ding, Xuan; Wu, Xue-Feng] Chinese Acad Sci, Purple Mt Observ, Nanjing 210008, Jiangsu, Peoples R China; [Gao, He; Zhang, Bing] Univ Nevada, Dept Phys &amp; Astron, Las Vegas, NV 89154 USA; [Wu, Xue-Feng] Chinese Acad Sci, Chinese Ctr Antarctic Astron, Nanjing 210008, Jiangsu, Peoples R China; [Wu, Xue-Feng] Nanjing Univ, Joint Ctr Particle Nucl Phys &amp; Cosmol, Purple Mt Observ, Chinese Acad Sci, Nanjing 210008, Jiangsu, Peoples R China; [Zhang, Bing] Peking Univ, Dept Astron, Beijing 100871, Peoples R China; [Zhang, Bing] Peking Univ, Kavli Inst Astron &amp; Astrophys, Beijing 100871, Peoples R China; [Dai, Zi-Gao] Nanjing Univ, Sch Astron &amp; Space Sci, Nanjing 210093, Jiangsu, Peoples R China</t>
  </si>
  <si>
    <t>Purple Mountain Observatory, CAS; Chinese Academy of Sciences; Nanjing Institute of Astronomical Optics &amp; Technology, NAOC, CAS; Nevada System of Higher Education (NSHE); University of Nevada Las Vegas; Chinese Academy of Sciences; Purple Mountain Observatory, CAS; Nanjing University; Chinese Academy of Sciences; Nanjing Institute of Astronomical Optics &amp; Technology, NAOC, CAS; Peking University; Peking University; Nanjing University</t>
  </si>
  <si>
    <t>Gao, H (corresponding author), Chinese Acad Sci, Purple Mt Observ, Nanjing 210008, Jiangsu, Peoples R China.</t>
  </si>
  <si>
    <t>xfwu@pmo.ac.cn; zhang@physics.unlv.edu; dzg@nju.edu.cn</t>
  </si>
  <si>
    <t>Zhang, Bing/AAG-2824-2019; Wu, Xuefeng/G-5316-2015</t>
  </si>
  <si>
    <t>Wu, Xuefeng/0000-0002-6299-1263; Zhang, Bing/0000-0002-9725-2524; gao, he/0000-0003-2516-6288</t>
  </si>
  <si>
    <t>National Basic Research Program (973 Program) of China [2009CB824800, 2013CB834900]; National Natural Science Foundation of China [11033002, 10921063]; NSF [AST-0908362]; One-Hundred-Talents Program; Youth Innovation Promotion Association of Chinese Academy of Sciences; Direct For Mathematical &amp; Physical Scien; Division Of Astronomical Sciences [0908362] Funding Source: National Science Foundation</t>
  </si>
  <si>
    <t>National Basic Research Program (973 Program) of China(National Basic Research Program of China); National Natural Science Foundation of China(National Natural Science Foundation of China (NSFC)); NSF(National Science Foundation (NSF)); One-Hundred-Talents Program(Chinese Academy of Sciences); Youth Innovation Promotion Association of Chinese Academy of Sciences; Direct For Mathematical &amp; Physical Scien; Division Of Astronomical Sciences(National Science Foundation (NSF)NSF - Directorate for Mathematical &amp; Physical Sciences (MPS))</t>
  </si>
  <si>
    <t>We thank Yi-Zhong Fan and Jian-Yan Wei for stimulating discussions. We acknowledge the National Basic Research Program (973 Program) of China under grant Nos. 2009CB824800 and 2013CB834900. This work is also supported by the National Natural Science Foundation of China (grant Nos. 11033002 and 10921063) and by NSF AST-0908362. X.F.W. acknowledges support by the One-Hundred-Talents Program and the Youth Innovation Promotion Association of Chinese Academy of Sciences.</t>
  </si>
  <si>
    <t>10.1088/0004-637X/771/2/86</t>
  </si>
  <si>
    <t>WOS:000321340700011</t>
  </si>
  <si>
    <t>Lu, QB</t>
  </si>
  <si>
    <t>Lu, Q. -B.</t>
  </si>
  <si>
    <t>COSMIC-RAY-DRIVEN REACTION AND GREENHOUSE EFFECT OF HALOGENATED MOLECULES: CULPRITS FOR ATMOSPHERIC OZONE DEPLETION AND GLOBAL CLIMATE CHANGE</t>
  </si>
  <si>
    <t>INTERNATIONAL JOURNAL OF MODERN PHYSICS B</t>
  </si>
  <si>
    <t>Cosmic rays; chlorofluorocarbons (CFCs); ozone depletion; ozone hole; global warming; global cooling</t>
  </si>
  <si>
    <t>DISSOCIATIVE ELECTRON-ATTACHMENT; SURFACE AIR-TEMPERATURE; NEGATIVE-ION FORMATION; REDUCTIVE DNA-DAMAGE; STIMULATED DESORPTION; STRATOSPHERIC OZONE; REACTION-MECHANISM; SOLAR VARIABILITY; LARGE ENHANCEMENT; CHARGE-TRANSFER</t>
  </si>
  <si>
    <t>This study is focused on the effects of cosmic rays (solar activity) and halogen-containing molecules (mainly chlorofluorocarbons - CFCs) on atmospheric ozone depletion and global climate change. Brief reviews are first given on the cosmic-ray-driven electron-induced-reaction (CRE) theory for O-3 depletion and the warming theory of halogenated molecules for climate change. Then natural and anthropogenic contributions to these phenomena are examined in detail and separated well through in-depth statistical analyses of comprehensive measured datasets of quantities, including cosmic rays (CRs), total solar irradiance, sunspot number, halogenated gases (CFCs, CCl4 and HCFCs), CO2, total O-3, lower stratospheric temperatures and global surface temperatures. For O-3 depletion, it is shown that an analytical equation derived from the CRE theory reproduces well 11-year cyclic variations of both polar O-3 loss and stratospheric cooling, and new statistical analyses of the CRE equation with observed data of total O-3 and stratospheric temperature give high linear correlation coefficients &gt;= 0.92. After the removal of the CR effect, a pronounced recovery by 20 similar to 25% of the Antarctic O-3 hole is found, while no recovery of O-3 loss in mid-latitudes has been observed. These results show both the correctness and dominance of the CRE mechanism and the success of the Montreal Protocol. For global climate change, in-depth analyses of the observed data clearly show that the solar effect and human-made halogenated gases played the dominant role in Earth's climate change prior to and after 1970, respectively. Remarkably, a statistical analysis gives a nearly zero correlation coefficient (R = -0.05) between corrected global surface temperature data by removing the solar effect and CO2 concentration during 1850-1970. In striking contrast, a nearly perfect linear correlation with coefficients as high as 0.96-0.97 is found between corrected or uncorrected global surface temperature and total amount of stratospheric halogenated gases during 1970-2012. Furthermore, a new theoretical calculation on the greenhouse effect of halogenated gases shows that they (mainly CFCs) could alone result in the global surface temperature rise of similar to 0.6 degrees C in 1970-2002. These results provide solid evidence that recent global warming was indeed caused by the greenhouse effect of anthropogenic halogenated gases. Thus, a slow reversal of global temperature to the 1950 value is predicted for coming 5 similar to 7 decades. It is also expected that the global sea level will continue to rise in coming 1 similar to 2 decades until the effect of the global temperature recovery dominates over that of the polar O-3 hole recovery; after that, both will drop concurrently. All the observed, analytical and theoretical results presented lead to a convincing conclusion that both the CRE mechanism and the CFC-warming mechanism not only provide new fundamental understandings of the O-3 hole and global climate change but have superior predictive capabilities, compared with the conventional models.</t>
  </si>
  <si>
    <t>[Lu, Q. -B.] Univ Waterloo, Dept Phys &amp; Astron, Waterloo, ON N2L 3G1, Canada; [Lu, Q. -B.] Univ Waterloo, Dept Biol, Waterloo, ON N2L 3G1, Canada; [Lu, Q. -B.] Univ Waterloo, Dept Chem, Waterloo, ON N2L 3G1, Canada</t>
  </si>
  <si>
    <t>University of Waterloo; University of Waterloo; University of Waterloo</t>
  </si>
  <si>
    <t>Lu, QB (corresponding author), Univ Waterloo, Dept Phys &amp; Astron, Waterloo, ON N2L 3G1, Canada.</t>
  </si>
  <si>
    <t>Canadian Institutes of Health Research; Natural Science and Engineering Research Council of Canada</t>
  </si>
  <si>
    <t>Canadian Institutes of Health Research(Canadian Institutes of Health Research (CIHR)); Natural Science and Engineering Research Council of Canada(Natural Sciences and Engineering Research Council of Canada (NSERC))</t>
  </si>
  <si>
    <t>The author is greatly indebted to the following Science Teams for making the data used in this study available: NASA TOMS and OMI Teams (especially Drs. P. K. Bhartia, R. McPeters, A. Krueger, J. Herman), NASA UARS's CLAES Team (especially Drs. A. E. Roche and J. B. Kumer), the British Antarctic Survey's Ozone Team (Dr. J. D. Shanklin), the University of Oxford's MIPAS team (Dr. Anu Dudhia), the Bartol Research Institute's Neutron Monitor Team (Dr. John W. Bieber) and the Network of Cosmic Ray Stations, the UK Met Office Hadley Centre, the US NOAA National Climatic Data Center (NCDC) and Global Monitoring Division, the US DOE Oak Ridge National Laboratory (ORNL)'s Carbon Dioxide Information Analysis Center (CDIAC), the Royal Observatory of Belgium's Solar Influences Data Analysis Center (SIDC), the Swiss PMOD/WRC team (Dr. Claus Frohlich) and the US NASA's ACRIM team (Dr. Richard C. Willson). This work is supported by the Canadian Institutes of Health Research and Natural Science and Engineering Research Council of Canada.</t>
  </si>
  <si>
    <t>WORLD SCIENTIFIC PUBL CO PTE LTD</t>
  </si>
  <si>
    <t>SINGAPORE</t>
  </si>
  <si>
    <t>5 TOH TUCK LINK, SINGAPORE 596224, SINGAPORE</t>
  </si>
  <si>
    <t>0217-9792</t>
  </si>
  <si>
    <t>1793-6578</t>
  </si>
  <si>
    <t>INT J MOD PHYS B</t>
  </si>
  <si>
    <t>Int. J. Mod. Phys. B</t>
  </si>
  <si>
    <t>10.1142/S0217979213500732</t>
  </si>
  <si>
    <t>Physics, Applied; Physics, Condensed Matter; Physics, Mathematical</t>
  </si>
  <si>
    <t>Physics</t>
  </si>
  <si>
    <t>178FG</t>
  </si>
  <si>
    <t>WOS:000321429400003</t>
  </si>
  <si>
    <t>Strobel, A; Graeve, M; Poertner, HO; Mark, FC</t>
  </si>
  <si>
    <t>Strobel, Anneli; Graeve, Martin; Poertner, Hans O.; Mark, Felix C.</t>
  </si>
  <si>
    <t>Mitochondrial Acclimation Capacities to Ocean Warming and Acidification Are Limited in the Antarctic Nototheniid Fish, Notothenia rossii and Lepidonotothen squamifrons</t>
  </si>
  <si>
    <t>CYTOCHROME-C-OXIDASE; THERMAL-ACCLIMATION; ENVIRONMENTAL HYPERCAPNIA; OXIDATIVE CAPACITIES; LIVER-MITOCHONDRIA; METABOLIC-RATE; TEMPERATURE-ACCLIMATION; BIOLOGICAL-MEMBRANES; MUSCLE MITOCHONDRIA; LIPID-COMPOSITION</t>
  </si>
  <si>
    <t>Antarctic notothenioid fish are characterized by their evolutionary adaptation to the cold, thermostable Southern Ocean, which is associated with unique physiological adaptations to withstand the cold and reduce energetic requirements but also entails limited compensation capacities to environmental change. This study compares the capacities of mitochondrial acclimation to ocean warming and acidification between the Antarctic nototheniid Notothenia rossii and the sub-Antarctic Lepidonotothen squamifrons, which share a similar ecology, but different habitat temperatures. After acclimation of L. squamifrons to 9 degrees C and N. rossii to 7 degrees C (normocapnic/hypercapnic, 0.2 kPa CO2/2000 ppm CO2) for 4-6 weeks, we compared the capacities of their mitochondrial respiratory complexes I (CI) and II (CII), their P/O ratios (phosphorylation efficiency), proton leak capacities and mitochondrial membrane fatty acid compositions. Our results reveal reduced CII respiration rates in warm-acclimated L. squamifrons and cold hypercapnia-acclimated N. rossii. Generally, L. squamifrons displayed a greater ability to increase CI contribution during acute warming and after warm-acclimation than N. rossii. Membrane unsaturation was not altered by warm or hypercapnia-acclimation in both species, but membrane fatty acids of warm-acclimated L. squamifrons were less saturated than in warm normocapnia-/hypercapnia-acclimated N. rossii. Proton leak capacities were not affected by warm or hypercapnia-acclimation of N. rossii. We conclude that an acclimatory response of mitochondrial capacities may include higher thermal plasticity of CI supported by enhanced utilization of anaplerotic substrates (via oxidative decarboxylation reactions) feeding into the citrate cycle. L. squamifrons possesses higher relative CI plasticities than N. rossii, which may facilitate the usage of energy efficient NADH-related substrates under conditions of elevated energy demand, possibly induced by ocean warming and acidification. The observed adjustments of electron transport system complexes with a higher flux through CI under warming and acidification suggest a metabolic acclimation potential of the sub-Antarctic L. squamifrons, but only limited acclimation capacities for N. rossii.</t>
  </si>
  <si>
    <t>[Strobel, Anneli; Graeve, Martin; Poertner, Hans O.; Mark, Felix C.] Helmholtz Ctr Polar &amp; Marine Res, Alfred Wegener Inst, Bremerhaven, Germany</t>
  </si>
  <si>
    <t>Helmholtz Association; Alfred Wegener Institute, Helmholtz Centre for Polar &amp; Marine Research</t>
  </si>
  <si>
    <t>Strobel, A (corresponding author), Helmholtz Ctr Polar &amp; Marine Res, Alfred Wegener Inst, Bremerhaven, Germany.</t>
  </si>
  <si>
    <t>anneli.strobel@awi.de</t>
  </si>
  <si>
    <t>Pörtner, Hans-O./ISU-9397-2023; Mark, Felix Christopher/P-4759-2016; Pörtner, Hans-O./K-9429-2016; Strobel, Anneli/S-5853-2016; Graeve, Martin/B-5751-2017</t>
  </si>
  <si>
    <t>Mark, Felix Christopher/0000-0002-5586-6704; Pörtner, Hans-O./0000-0001-6535-6575; Graeve, Martin/0000-0002-2294-1915</t>
  </si>
  <si>
    <t>Deutsche Forschungsgemeinschaft DFG [PO 278/13-1]</t>
  </si>
  <si>
    <t>Deutsche Forschungsgemeinschaft DFG(German Research Foundation (DFG))</t>
  </si>
  <si>
    <t>This work was supported by the Deutsche Forschungsgemeinschaft DFG grants PO 278/13-1 to HO Poertner and FC Mark. DFG website: http://www.spp-antarktisforschung.de. The funders had no role in study design, data collection and analysis, decision to publish, or preparation of the manuscript.</t>
  </si>
  <si>
    <t>e68865</t>
  </si>
  <si>
    <t>10.1371/journal.pone.0068865</t>
  </si>
  <si>
    <t>182SU</t>
  </si>
  <si>
    <t>gold, Green Published, Green Submitted</t>
  </si>
  <si>
    <t>WOS:000321765300070</t>
  </si>
  <si>
    <t>Swan, BK; Tupper, B; Sczyrba, A; Lauro, FM; Martinez-Garcia, M; González, JM; Luo, HW; Wright, JJ; Landry, ZC; Hanson, NW; Thompson, BP; Poulton, NJ; Schwientek, P; Acinas, SG; Giovannoni, SJ; Moran, MA; Hallam, SJ; Cavicchioli, R; Woyke, T; Stepanauskas, R</t>
  </si>
  <si>
    <t>Swan, Brandon K.; Tupper, Ben; Sczyrba, Alexander; Lauro, Federico M.; Martinez-Garcia, Manuel; Gonzalez, Jose M.; Luo, Haiwei; Wright, Jody J.; Landry, Zachary C.; Hanson, Niels W.; Thompson, Brian P.; Poulton, Nicole J.; Schwientek, Patrick; Acinas, Silvia G.; Giovannoni, Stephen J.; Moran, Mary Ann; Hallam, Steven J.; Cavicchioli, Ricardo; Woyke, Tanja; Stepanauskas, Ramunas</t>
  </si>
  <si>
    <t>Prevalent genome streamlining and latitudinal divergence of planktonic bacteria in the surface ocean</t>
  </si>
  <si>
    <t>comparative genomics; marine microbiology; microbial ecology; microbial; microevolution; operational taxonomic unit</t>
  </si>
  <si>
    <t>SAR11 MARINE-BACTERIA; MOLECULAR EVOLUTION; ONE-CELL; BACTERIOPLANKTON; PROKARYOTES; DIVERSITY; ADAPTATION; TIME; PHYTOPLANKTON; AMPLIFICATION</t>
  </si>
  <si>
    <t>Planktonic bacteria dominate surface ocean biomass and influence global biogeochemical processes, but remain poorly characterized owing to difficulties in cultivation. Using large-scale single cell genomics, we obtained insight into the genome content and biogeography of many bacterial lineages inhabiting the surface ocean. We found that, compared with existing cultures, natural bacterioplankton have smaller genomes, fewer gene duplications, and are depleted in guanine and cytosine, noncoding nucleotides, and genes encoding transcription, signal transduction, and noncytoplasmic proteins. These findings provide strong evidence that genome streamlining and oligotrophy are prevalent features among diverse, free-living bacterioplankton, whereas existing laboratory cultures consist primarily of copiotrophs. The apparent ubiquity of metabolic specialization and mixotrophy, as predicted from single cell genomes, also may contribute to the difficulty in bacterioplankton cultivation. Using metagenome fragment recruitment against single cell genomes, we show that the global distribution of surface ocean bacterioplankton correlates with temperature and latitude and is not limited by dispersal at the time scales required for nucleotide substitution to exceed the current operational definition of bacterial species. Single cell genomes with highly similar small subunit rRNA gene sequences exhibited significant genomic and biogeographic variability, highlighting challenges in the interpretation of individual gene surveys and metagenome assemblies in environmental microbiology. Our study demonstrates the utility of single cell genomics for gaining an improved understanding of the composition and dynamics of natural microbial assemblages.</t>
  </si>
  <si>
    <t>[Swan, Brandon K.; Tupper, Ben; Thompson, Brian P.; Poulton, Nicole J.; Stepanauskas, Ramunas] Bigelow Lab Ocean Sci, East Boothbay, ME 04544 USA; [Sczyrba, Alexander] Univ Bielefeld, Ctr Biotechnol, D-33615 Bielefeld, Germany; [Lauro, Federico M.; Cavicchioli, Ricardo] Univ New S Wales, Sch Biotechnol &amp; Biomol Sci, Sydney, NSW 2052, Australia; [Martinez-Garcia, Manuel] Univ Alicante, Dept Physiol Genet &amp; Microbiol, E-03080 Alicante, Spain; [Gonzalez, Jose M.] Univ La Laguna, Dept Microbiol, ES-38206 Tenerife, Spain; [Luo, Haiwei; Moran, Mary Ann] Univ Georgia, Dept Marine Sci, Athens, GA 30602 USA; [Wright, Jody J.; Hallam, Steven J.] Univ British Columbia, Vancouver, BC V6T 1Z4, Canada; [Landry, Zachary C.; Giovannoni, Stephen J.] Oregon State Univ, Dept Microbiol, Corvallis, OR 97331 USA; [Hanson, Niels W.; Hallam, Steven J.] Univ British Columbia, Grad Program Bioinformat, Vancouver, BC V6T 1Z4, Canada; [Schwientek, Patrick; Woyke, Tanja] US DOE, Joint Genome Inst, Walnut Creek, CA 94598 USA; [Acinas, Silvia G.] CSIC, Inst Marine Sci, Dept Marine Biol &amp; Oceanog, ES-08003 Barcelona, Spain</t>
  </si>
  <si>
    <t>Bigelow Laboratory for Ocean Sciences; University of Bielefeld; University of New South Wales Sydney; Universitat d'Alacant; Universidad de la Laguna; University System of Georgia; University of Georgia; University of British Columbia; Oregon State University; University of British Columbia; United States Department of Energy (DOE); Joint Genome Institute - JGI; Joint BioEnergy Institute - JBEI; Consejo Superior de Investigaciones Cientificas (CSIC); CSIC - Centro Mediterraneo de Investigaciones Marinas y Ambientales (CMIMA); CSIC - Instituto de Ciencias del Mar (ICM)</t>
  </si>
  <si>
    <t>Stepanauskas, R (corresponding author), Bigelow Lab Ocean Sci, East Boothbay, ME 04544 USA.</t>
  </si>
  <si>
    <t>rstepanauskas@bigelow.org</t>
  </si>
  <si>
    <t>Swan, Brandon K/O-9824-2018; González, José M./C-3333-2013; Luo, Haiwei/AAE-1958-2021; Lauro, Federico/X-2420-2019; Martínez-García, Manuel/AAT-1935-2021; Moran, Mary Ann/B-6939-2012; Woyke, Tanja/S-7870-2018; Acinas, Silvia/F-7462-2016; Cavicchioli, Ricardo/D-4341-2013</t>
  </si>
  <si>
    <t>Swan, Brandon K/0000-0003-0465-1444; González, José M./0000-0002-9926-3323; Luo, Haiwei/0000-0001-8452-6066; Lauro, Federico/0000-0002-8373-1014; Martínez-García, Manuel/0000-0001-5056-1525; Woyke, Tanja/0000-0002-9485-5637; Moran, Mary Ann/0000-0002-0702-8167; Acinas, Silvia/0000-0002-3439-0428; Stepanauskas, Ramunas/0000-0003-4458-3108; Poulton, Nicole/0000-0003-3020-4509; Sczyrba, Alexander/0000-0002-4405-3847; Cavicchioli, Ricardo/0000-0001-8989-6402; Landry, Zachary/0000-0002-2316-5348</t>
  </si>
  <si>
    <t>National Science Foundation [EF-826924, OCE-821374, OCE-1232982]; US Department of Energy (DOE) [CSP 387]; Gordon and Betty Moore Foundation; Spanish Ministry of Science and Innovation [CGL2011-26848/BOS]; CONSOLIDER-INGENIO Program [CSD2008-00077]; Natural Sciences and Engineering Research Council of Canada (NSERC); Canada Foundation for Innovation; Canadian Institute for Advanced Research (CIFAR); Australian Research Council; Australian Antarctic Science program; DOE's Office of Science [DE-AC02-05CH11231]; Division Of Ocean Sciences; Directorate For Geosciences [1232982] Funding Source: National Science Foundation; Div Of Biological Infrastructure; Direct For Biological Sciences [1226726] Funding Source: National Science Foundation</t>
  </si>
  <si>
    <t>National Science Foundation(National Science Foundation (NSF)); US Department of Energy (DOE)(United States Department of Energy (DOE)); Gordon and Betty Moore Foundation(Gordon and Betty Moore Foundation); Spanish Ministry of Science and Innovation(Spanish Government); CONSOLIDER-INGENIO Program(Spanish Government); Natural Sciences and Engineering Research Council of Canada (NSERC)(Natural Sciences and Engineering Research Council of Canada (NSERC)); Canada Foundation for Innovation(Canada Foundation for InnovationCGIARSpanish Government); Canadian Institute for Advanced Research (CIFAR)(Canadian Institute for Advanced Research (CIFAR)); Australian Research Council(Australian Research Council); Australian Antarctic Science program; DOE's Office of Science(United States Department of Energy (DOE)); Division Of Ocean Sciences; Directorate For Geosciences(National Science Foundation (NSF)NSF - Directorate for Geosciences (GEO)); Div Of Biological Infrastructure; Direct For Biological Sciences(National Science Foundation (NSF)NSF - Directorate for Biological Sciences (BIO))</t>
  </si>
  <si>
    <t>We thank David Emerson, William Hanage, Siv Anderson, and Jessica Labonte for valuable comments; Edward F. DeLong for metagenomes from Hawaii ocean time (HOT) station ALOHA; the officers and crew of the RV Ka'imikai-O-Kanaloa and the HOT team for sample collection at station ALOHA; and Jane Heywood and Michael Sieracki for South Atlantic field sample collection. This work was supported by National Science Foundation Grants EF-826924 (to R.S.), OCE-821374 (to R.S.), and OCE-1232982 (to R.S. and B.K.S.); US Department of Energy (DOE) JGI 2011 Microbes Program Grant CSP 387 (to R.S., B.K. S., S.G., M.A.M., F.M.L., R.C. and S.G.A.); the Gordon and Betty Moore Foundation (M. A. M.); Spanish Ministry of Science and Innovation Grant CGL2011-26848/BOS (to S.G.A) and CONSOLIDER-INGENIO2010 Program Grant CSD2008-00077 (to S.G.A. and J.M.G.); the Natural Sciences and Engineering Research Council of Canada (NSERC); the Canada Foundation for Innovation, and the Canadian Institute for Advanced Research (CIFAR; S.J.H.). J.J.W. was supported by NSERC. Research activities of R.C. and F.M.L. are supported by the Australian Research Council, and research activities of R.C. are supported by the Australian Antarctic Science program. Work conducted by the DOE Joint Genome Institute is supported by the DOE's Office of Science under Contract DE-AC02-05CH11231. This is contribution no. 006 of the Tara Oceans Expedition 2009-2012.</t>
  </si>
  <si>
    <t>JUL 9</t>
  </si>
  <si>
    <t>10.1073/pnas.1304246110</t>
  </si>
  <si>
    <t>183OT</t>
  </si>
  <si>
    <t>Green Submitted, Bronze, Green Published</t>
  </si>
  <si>
    <t>WOS:000321827000063</t>
  </si>
  <si>
    <t>Freeman, R; Dean, B; Kirk, H; Leonard, K; Phillips, RA; Perrins, CM; Guilford, T</t>
  </si>
  <si>
    <t>Freeman, Robin; Dean, Ben; Kirk, Holly; Leonard, Kerry; Phillips, Richard A.; Perrins, Chris M.; Guilford, Tim</t>
  </si>
  <si>
    <t>Predictive ethoinformatics reveals the complex migratory behaviour of a pelagic seabird, the Manx Shearwater</t>
  </si>
  <si>
    <t>JOURNAL OF THE ROYAL SOCIETY INTERFACE</t>
  </si>
  <si>
    <t>migration; behaviour; foraging; bio-logging; machine learning; ethoinformatics</t>
  </si>
  <si>
    <t>TRACKING; ALBATROSSES; MOVEMENTS</t>
  </si>
  <si>
    <t>Understanding the behaviour of animals in the wild is fundamental to conservation efforts. Advances in bio-logging technologies have offered insights into the behaviour of animals during foraging, migration and social interaction. However, broader application of these systems has been limited by device mass, cost and longevity. Here, we use information from multiple logger types to predict individual behaviour in a highly pelagic, migratory seabird, the Manx Shearwater (Puffinus puffinus). Using behavioural states resolved from GPS tracking of foraging during the breeding season, we demonstrate that individual behaviours can be accurately predicted during multi-year migrations from low cost, lightweight, salt-water immersion devices. This reveals a complex pattern of migratory stopovers: some involving high proportions of foraging, and others of rest behaviour. We use this technique to examine three consecutive years of global migrations, revealing the prominence of foraging behaviour during migration and the importance of highly productive waters during migratory stopover.</t>
  </si>
  <si>
    <t>[Freeman, Robin] UCL, Ctr Math &amp; Phys Life Sci &amp; Expt Biol, London WC1E 6BT, England; [Freeman, Robin] Microsoft Res Ltd, Computat Ecol &amp; Environm Sci, Cambridge CB3 0FB, England; [Dean, Ben; Kirk, Holly; Guilford, Tim] Univ Oxford, Dept Zool, Anim Behav Res Grp, Oxford OX1 3PS, England; [Perrins, Chris M.] Univ Oxford, Dept Zool, Edward Grey Inst Field Ornithol, Oxford OX1 3PS, England; [Leonard, Kerry] Copeland Bird Observ, Bangor BT19 1RZ, Gwynedd, Wales; [Phillips, Richard A.] British Antarctic Survey, Nat Environm Res Council, Cambridge CB3 0ET, England</t>
  </si>
  <si>
    <t>University of London; University College London; Microsoft; University of Oxford; University of Oxford; UK Research &amp; Innovation (UKRI); Natural Environment Research Council (NERC); NERC British Antarctic Survey</t>
  </si>
  <si>
    <t>Freeman, R (corresponding author), UCL, Ctr Math &amp; Phys Life Sci &amp; Expt Biol, Gower St, London WC1E 6BT, England.</t>
  </si>
  <si>
    <t>robin.freeman@ucl.ac.uk</t>
  </si>
  <si>
    <t>Freeman, Robin/JOZ-4393-2023; Kirk, Holly/HHC-6449-2022</t>
  </si>
  <si>
    <t>Freeman, Robin/0000-0002-0560-8942; Kirk, Holly/0000-0002-8724-3210</t>
  </si>
  <si>
    <t>Microsoft Research Cambridge; UK Natural Environment Research Council; Northern Ireland Environment Agency; Engineering and Physical Sciences Research Council [EP/I017909/1] Funding Source: researchfish; Natural Environment Research Council [bas0100025] Funding Source: researchfish; EPSRC [EP/I017909/1] Funding Source: UKRI; NERC [bas0100025] Funding Source: UKRI</t>
  </si>
  <si>
    <t>Microsoft Research Cambridge(Microsoft); UK Natural Environment Research Council(UK Research &amp; Innovation (UKRI)Natural Environment Research Council (NERC)); Northern Ireland Environment Agency;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</si>
  <si>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We are especially grateful to Jess Meade, Neville McKee and George Henderson (fieldwork); Lucy Helme, Rob Holbrook, Andrea Flack, Benj Petit, Dora Biro and Theresa Burt de Perera (comments); Copeland Bird Observatory and the Northern Ireland Environment Agency (permissions and facilities); Microsoft Research Cambridge, the UK Natural Environment Research Council and the Northern Ireland Environment Agency (funding). R. F. and T. G. designed the study; B. D, H. K, K. L and T. G. collected data; R. F. performed analyses and all authors discussed the results and implications and commented on the manuscript at all stages.</t>
  </si>
  <si>
    <t>ROYAL SOC</t>
  </si>
  <si>
    <t>6-9 CARLTON HOUSE TERRACE, LONDON SW1Y 5AG, ENGLAND</t>
  </si>
  <si>
    <t>1742-5689</t>
  </si>
  <si>
    <t>J R SOC INTERFACE</t>
  </si>
  <si>
    <t>J. R. Soc. Interface</t>
  </si>
  <si>
    <t>JUL 6</t>
  </si>
  <si>
    <t>10.1098/rsif.2013.0279</t>
  </si>
  <si>
    <t>150PX</t>
  </si>
  <si>
    <t>WOS:000319404300021</t>
  </si>
  <si>
    <t>Wolff, EW</t>
  </si>
  <si>
    <t>Wolff, Eric W.</t>
  </si>
  <si>
    <t>Ice sheets and nitrogen</t>
  </si>
  <si>
    <t>PHILOSOPHICAL TRANSACTIONS OF THE ROYAL SOCIETY B-BIOLOGICAL SCIENCES</t>
  </si>
  <si>
    <t>ice; nitrate; ammonium; nitrous oxide; trends; ice cores</t>
  </si>
  <si>
    <t>NORTH-ATLANTIC; MOUNT EVEREST; SURFACE SNOW; CORE; NITRATE; RECORD; GREENLAND; OXIDE; N2O; AMMONIUM</t>
  </si>
  <si>
    <t>Snow and ice play their most important role in the nitrogen cycle as a barrier to land-atmosphere and ocean-atmosphere exchanges that would otherwise occur. The inventory of nitrogen compounds in the polar ice sheets is approximately 260 Tg N, dominated by nitrate in the much larger Antarctic ice sheet. Ice cores help to inform us about the natural variability of the nitrogen cycle at global and regional scale, and about the extent of disturbance in recent decades. Nitrous oxide concentrations have risen about 20 per cent in the last 200 years and are now almost certainly higher than at any time in the last 800 000 years. Nitrate concentrations recorded in Greenland ice rose by a factor of 2-3, particularly between the 1950s and 1980s, reflecting a major change in NOx emissions reaching the background atmosphere. Increases in ice cores drilled at lower latitudes can be used to validate or constrain regional emission inventories. Background ammonium concentrations in Greenland ice show no significant recent trend, although the record is very noisy, being dominated by spikes of input from biomass burning events. Neither nitrate nor ammonium shows significant recent trends in Antarctica, although their natural variations are of biogeochemical and atmospheric chemical interest. Finally, it has been found that photolysis of nitrate in the snowpack leads to significant re-emissions of NOx that can strongly impact the regional atmosphere in snow-covered areas.</t>
  </si>
  <si>
    <t>British Antarctic Survey, Cambridge CB3 0ET, England</t>
  </si>
  <si>
    <t>Wolff, EW (corresponding author), British Antarctic Survey, High Cross,Madingley Rd, Cambridge CB3 0ET, England.</t>
  </si>
  <si>
    <t>ewwo@bas.ac.uk</t>
  </si>
  <si>
    <t>Wolff, Eric W/D-7925-2014</t>
  </si>
  <si>
    <t>Wolff, Eric W/0000-0002-5914-8531</t>
  </si>
  <si>
    <t>Natural Environment Research Council; NERC [bas0100024] Funding Source: UKRI; Natural Environment Research Council [bas0100024] Funding Source: researchfish</t>
  </si>
  <si>
    <t>I thank the many colleagues in the ice-core community that have made data available for a synthesis such as this one. This work is part of the British Antarctic Survey Polar Science for Planet Earth Programme, and was financially supported by the Natural Environment Research Council.</t>
  </si>
  <si>
    <t>0962-8436</t>
  </si>
  <si>
    <t>1471-2970</t>
  </si>
  <si>
    <t>PHILOS T R SOC B</t>
  </si>
  <si>
    <t>Philos. Trans. R. Soc. B-Biol. Sci.</t>
  </si>
  <si>
    <t>JUL 5</t>
  </si>
  <si>
    <t>10.1098/rstb.2013.0127</t>
  </si>
  <si>
    <t>152AQ</t>
  </si>
  <si>
    <t>Green Accepted, Green Published, Bronze</t>
  </si>
  <si>
    <t>WOS:000319502100012</t>
  </si>
  <si>
    <t>Dessai, RR; Desa, JAE; Sen, D; Mazumder, S</t>
  </si>
  <si>
    <t>Dessai, R. Raut; Desa, J. A. E.; Sen, D.; Mazumder, S.</t>
  </si>
  <si>
    <t>Effects of pressure and temperature on pore structure of ceramic synthesized from rice husk: A small angle neutron scattering investigation</t>
  </si>
  <si>
    <t>JOURNAL OF ALLOYS AND COMPOUNDS</t>
  </si>
  <si>
    <t>Ceramics; Sintering; Sol gel processes; Porosity; Neutron scattering; Scanning electron microscopy</t>
  </si>
  <si>
    <t>SILICA</t>
  </si>
  <si>
    <t>Ceramic powder has been synthesized from rice husk as the source of silica. In order to probe the evolution of its hierarchical mesoscopic and microscopic porous structure, the ceramic powder was compacted at different pressures and was sintered at different temperatures. A glassy ceramic to crystalline transition under thermal treatment (up to 1000 degrees C) was revealed by X-ray diffraction. Existence of pores in two widely separated length scales was indicated by small angle neutron scattering with the smaller ones having mass fractal arrangement. Although no significant change in small pore structure under thermal effect was indicated, a significant modification of the same has been revealed by small angle neutron scattering at different compaction pressures. Connectivity between the pores was ascertained from scattering experiments on the ceramic compact impregnated with heavy water. Scanning electron microscopy shows the microstructure to undergo appreciable coalescence of micrometric ceramic particles for sintering temperature and pressure changes. (C) 2013 Elsevier B.V. All rights reserved.</t>
  </si>
  <si>
    <t>[Dessai, R. Raut; Desa, J. A. E.] Goa Univ, Dept Phys, Taleigao Plateau 403206, Goa, India; [Sen, D.; Mazumder, S.] Bhabha Atom Res Ctr, Div Solid State Phys, Bombay 400085, Maharashtra, India</t>
  </si>
  <si>
    <t>Goa University; Bhabha Atomic Research Center (BARC)</t>
  </si>
  <si>
    <t>Dessai, RR (corresponding author), Goa Univ, Dept Phys, Taleigao Plateau 403206, Goa, India.</t>
  </si>
  <si>
    <t>reshooin@yahoo.com</t>
  </si>
  <si>
    <t>Sen, Debasis/K-6391-2015; Dessai, Reshma Raut/AAY-1322-2020</t>
  </si>
  <si>
    <t>UGC-DAE CSR [CRS-M-148]; Solid State Physics Division, Bhabha Atomic Research Center, Mumbai, India; Director and staff of National Centre for Antarctic and Ocean Research, Vasco da Gama, Goa</t>
  </si>
  <si>
    <t>UGC-DAE CSR; Solid State Physics Division, Bhabha Atomic Research Center, Mumbai, India; Director and staff of National Centre for Antarctic and Ocean Research, Vasco da Gama, Goa</t>
  </si>
  <si>
    <t>The authors gratefully acknowledge; funding of this work by UGC-DAE CSR (CRS-M-148); Solid State Physics Division, Bhabha Atomic Research Center, Mumbai, India; and the Director and staff of National Centre for Antarctic and Ocean Research, Vasco da Gama, Goa, for help with the SEM micrographs.</t>
  </si>
  <si>
    <t>ELSEVIER SCIENCE SA</t>
  </si>
  <si>
    <t>LAUSANNE</t>
  </si>
  <si>
    <t>PO BOX 564, 1001 LAUSANNE, SWITZERLAND</t>
  </si>
  <si>
    <t>0925-8388</t>
  </si>
  <si>
    <t>1873-4669</t>
  </si>
  <si>
    <t>J ALLOY COMPD</t>
  </si>
  <si>
    <t>J. Alloy. Compd.</t>
  </si>
  <si>
    <t>10.1016/j.jallcom.2013.02.124</t>
  </si>
  <si>
    <t>Chemistry, Physical; Materials Science, Multidisciplinary; Metallurgy &amp; Metallurgical Engineering</t>
  </si>
  <si>
    <t>Chemistry; Materials Science; Metallurgy &amp; Metallurgical Engineering</t>
  </si>
  <si>
    <t>121UM</t>
  </si>
  <si>
    <t>WOS:000317269900020</t>
  </si>
  <si>
    <t>Griffiths, HJ; Whittle, RJ; Roberts, SJ; Belchier, M; Linse, K</t>
  </si>
  <si>
    <t>Griffiths, Huw J.; Whittle, Rowan J.; Roberts, Stephen J.; Belchier, Mark; Linse, Katrin</t>
  </si>
  <si>
    <t>Antarctic Crabs: Invasion or Endurance?</t>
  </si>
  <si>
    <t>LITHODIDAE CRUSTACEA DECAPODA; SOUTH SHETLAND ISLANDS; VI ICE SHELF; CLIMATE-CHANGE; MARGUERITE BAY; GLACIER FLUCTUATIONS; ENVIRONMENTAL-CHANGE; BENTHIC COMMUNITIES; TEMPERATURE LIMITS; PALMER-DEEP</t>
  </si>
  <si>
    <t>Recent scientific interest following the discovery'' of lithodid crabs around Antarctica has centred on a hypothesis that these crabs might be poised to invade the Antarctic shelf if the recent warming trend continues, potentially decimating its native fauna. This invasion hypothesis'' suggests that decapod crabs were driven out of Antarctica 40-15 million years ago and are only now returning as warm'' enough habitats become available. The hypothesis is based on a geographically and spatially poor fossil record of a different group of crabs (Brachyura), and examination of relatively few Recent lithodid samples from the Antarctic slope. In this paper, we examine the existing lithodid fossil record and present the distribution and biogeographic patterns derived from over 16,000 records of Recent Southern Hemisphere crabs and lobsters. Globally, the lithodid fossil record consists of only two known specimens, neither of which comes from the Antarctic. Recent records show that 22 species of crabs and lobsters have been reported from the Southern Ocean, with 12 species found south of 60 degrees S. All are restricted to waters warmer than 0 degrees C, with their Antarctic distribution limited to the areas of seafloor dominated by Circumpolar Deep Water (CDW). Currently, CDW extends further and shallower onto the West Antarctic shelf than the known distribution ranges of most lithodid species examined. Geological evidence suggests that West Antarctic shelf could have been available for colonisation during the last 9,000 years. Distribution patterns, species richness, and levels of endemism all suggest that, rather than becoming extinct and recently re-invading from outside Antarctica, the lithodid crabs have likely persisted, and even radiated, on or near to Antarctic slope. We conclude there is no evidence for a modern-day crab invasion''. We recommend a repeated targeted lithodid sampling program along the West Antarctic shelf to fully test the validity of the invasion hypothesis''.</t>
  </si>
  <si>
    <t>[Griffiths, Huw J.; Whittle, Rowan J.; Roberts, Stephen J.; Belchier, Mark; Linse, Katrin] British Antarctic Survey, Cambridge CB3 0ET, England</t>
  </si>
  <si>
    <t>Griffiths, HJ (corresponding author), British Antarctic Survey, Cambridge CB3 0ET, England.</t>
  </si>
  <si>
    <t>hjg@bas.ac.uk</t>
  </si>
  <si>
    <t>Griffiths, Huw J/D-4234-2009</t>
  </si>
  <si>
    <t>Griffiths, Huw J/0000-0003-1764-223X; Roberts, Stephen/0000-0003-3407-9127; Linse, Katrin/0000-0003-3477-3047</t>
  </si>
  <si>
    <t>Natural Environment Research Council (UK); Government of South Georgia; South Sandwich Islands; Natural Environment Research Council [bas0100024, bas0100026] Funding Source: researchfish; NERC [bas0100026, bas0100024] Funding Source: UKRI</t>
  </si>
  <si>
    <t>Natural Environment Research Council (UK)(UK Research &amp; Innovation (UKRI)Natural Environment Research Council (NERC)); Government of South Georgia; South Sandwich Islands; Natural Environment Research Council(UK Research &amp; Innovation (UKRI)Natural Environment Research Council (NERC)); NERC(UK Research &amp; Innovation (UKRI)Natural Environment Research Council (NERC))</t>
  </si>
  <si>
    <t>This work was funded by the Natural Environment Research Council (UK) as a contribution to the British Antarctic Survey core project, Environmental Change and Evolution. Funding for MB was provided by the Government of South Georgia and the South Sandwich Islands. The funders had no role in study design, data collection and analysis, decision to publish, or preparation of the manuscript.</t>
  </si>
  <si>
    <t>JUL 3</t>
  </si>
  <si>
    <t>e66981</t>
  </si>
  <si>
    <t>10.1371/journal.pone.0066981</t>
  </si>
  <si>
    <t>182HT</t>
  </si>
  <si>
    <t>Green Published, Green Accepted, gold, Green Submitted</t>
  </si>
  <si>
    <t>WOS:000321733000057</t>
  </si>
  <si>
    <t>Browning, SA; Goodwin, ID</t>
  </si>
  <si>
    <t>Browning, Stuart A.; Goodwin, Ian D.</t>
  </si>
  <si>
    <t>Large-Scale Influences on the Evolution of Winter Subtropical Maritime Cyclones Affecting Australia's East Coast</t>
  </si>
  <si>
    <t>PACIFIC TROPICAL CYCLONES; SOUTH AMERICAN MODES; COOL-SEASON RAINFALL; SYNOPTIC CLIMATOLOGY; PART I; EXTRATROPICAL TRANSITION; ANTARCTIC CONTINENT; VARIABILITY; OSCILLATION; BLOCKING</t>
  </si>
  <si>
    <t>Subtropical maritime low pressure systems frequently impact Australia's eastern seaboard. Closed circulation lows in the Tasman Sea region are termed East Coast Cyclones (ECC); they can evolve in a range of climatic environments and have proven most destructive during the late autumn-winter period. Using criteria based on pressure gradients, inferred wind field, and duration, an objectively determined database of ECC occurrences is established to explore large-scale influences on ECC evolution. Subclassification based on evolutionary trajectory reveals two dominant storm types during late autumn-winter: easterly trough lows (ETL) and southern secondary lows (SSL). Synoptic composites are used to investigate the climatological evolution of each storm type. ETL cyclogenesis occurs along the eastern seaboard at the confluence of warm moist subtropical easterlies and cool air over the continent that is advected from higher latitudes. SSL develop when a cold extratropical cyclone moves equatorward and interacts with warm moist conditions in the Tasman Sea. At seasonal time scales, a complex interplay of tropical and extratropical influences contributes to high-frequency storm seasons. ETL are more frequent during neutral or positive phases of the El Nino-Southern Oscillation, cool sea surface temperature anomalies (SSTAs) in the tropical Indian Ocean, and neutral to positive southern annular mode phases. SSL are more frequent during years with warm SSTAs in the eastern Indian Ocean, warm SSTAs in the western Pacific, and high-latitude blocking.</t>
  </si>
  <si>
    <t>Macquarie Univ, Climate Futures Macquarie, Marine Climate Risk Grp, N Ryde, NSW 2109, Australia; [Browning, Stuart A.] Macquarie Univ, Dept Geog &amp; Environm, N Ryde, NSW 2109, Australia</t>
  </si>
  <si>
    <t>Browning, SA (corresponding author), Macquarie Univ, Dept Geog &amp; Environm, Bldg E8C,Room 153, N Ryde, NSW 2109, Australia.</t>
  </si>
  <si>
    <t>stuart.browning@.mq.edu.au</t>
  </si>
  <si>
    <t>Browning, Stuart/0000-0003-4337-4419; Goodwin, Ian/0000-0001-8682-6409</t>
  </si>
  <si>
    <t>New South Wales Office of Environment and Heritage (NSW OEH); New South Wales Environmental Trust; MQRES grant from Macquarie University; NSW OEH</t>
  </si>
  <si>
    <t>This research was funded in part by a research grant to Ian D. Goodwin from the New South Wales Office of Environment and Heritage (NSW OEH) and the New South Wales Environmental Trust. The paper is a contribution to the Eastern Seaboard Climate Change Initiative on East Coast Lows (ESCCI-ECL), and the research project: Extending the extreme East Coast Low climatology over the past millennium. Stuart A. Browning was supported by an MQRES grant from Macquarie University and a student grant from NSW OEH. We also thank the anonymous reviewers whose constructive suggestions improved this paper.</t>
  </si>
  <si>
    <t>1520-0493</t>
  </si>
  <si>
    <t>JUL</t>
  </si>
  <si>
    <t>10.1175/MWR-D-12-00312.1</t>
  </si>
  <si>
    <t>301ET</t>
  </si>
  <si>
    <t>WOS:000330516300016</t>
  </si>
  <si>
    <t>Nygård, T; Valkonen, T; Vihma, T</t>
  </si>
  <si>
    <t>Nygard, Tiina; Valkonen, Teresa; Vihma, Timo</t>
  </si>
  <si>
    <t>Antarctic Low-Tropospheric Humidity Inversions: 10-Yr Climatology</t>
  </si>
  <si>
    <t>ATMOSPHERIC BOUNDARY-LAYER; WATER-VAPOR; VERTICAL STRUCTURE; SOUTHERN-OCEAN; NET TRANSPORT; LATENT-HEAT; SEA-ICE; MOISTURE; REANALYSIS; CLOUD</t>
  </si>
  <si>
    <t>Humidity inversions are nearly permanently present in the coastal Antarctic atmosphere. This is shown based on an investigation of statistical characteristics of humidity inversions at 11 Antarctic coastal stations using radiosonde data from the Integrated Global Radiosonde Archive (IGRA) from 2000 to 2009. The humidity inversion occurrence was highest in winter and spring, and high atmospheric pressure and cloud-free conditions generally increased the occurrence. A typical humidity inversion was less than 200 m deep and 0.2 g kg(-1) strong, and a typical humidity profile contained several separate inversion layers. The inversion base height had notable seasonal variations, but generally the humidity inversions were located at higher altitudes than temperature inversions. Roughly half of the humidity inversions were associated with temperature inversions, especially near the surface, and humidity and temperature inversion strengths as well as depths correlated at several stations. On the other hand, approximately 60% of the humidity inversions were accompanied by horizontal advection of water vapor increasing with height, which is also a probable factor supporting humidity inversions. The spatial variability of humidity inversions was linked to the topography and the water vapor content of the air. Compared to previous results for the Arctic, the most striking differences in humidity inversions in the Antarctic were a much higher frequency of occurrence in summer, at least under clear skies, and a reverse seasonal cycle of the inversion height. The results can be used as a baseline for validation of weather prediction and climate models and for studies addressing changes in atmospheric moisture budget in the Antarctic.</t>
  </si>
  <si>
    <t>[Nygard, Tiina; Valkonen, Teresa; Vihma, Timo] Finnish Meteorol Inst, FI-00101 Helsinki, Finland; [Nygard, Tiina; Valkonen, Teresa] Univ Helsinki, Helsinki, Finland</t>
  </si>
  <si>
    <t>Finnish Meteorological Institute; University of Helsinki</t>
  </si>
  <si>
    <t>Nygård, T (corresponding author), Finnish Meteorol Inst, POB 503, FI-00101 Helsinki, Finland.</t>
  </si>
  <si>
    <t>tiina.nygard@fmi.fi</t>
  </si>
  <si>
    <t>Nygård, Tiina/O-3904-2019; Vihma, Timo/ABC-9771-2020</t>
  </si>
  <si>
    <t>Academy of Finland through the AMICO project [128533, 128799, 263918]; Academy of Finland (AKA) [128533] Funding Source: Academy of Finland (AKA)</t>
  </si>
  <si>
    <t>Academy of Finland through the AMICO project; Academy of Finland (AKA)</t>
  </si>
  <si>
    <t>We are grateful to Steven Colwell (British Antarctic Survey) for providing us with the cloud observations from the Antarctic stations (the READER dataset) and to the anonymous reviewers for valuable comments on the manuscript. This study was supported by the Academy of Finland through the AMICO project (Contracts 128533, 128799, and 263918). ECMWF is acknowledged for providing us the ERA-Interim data. Computing resources of IT Center for Science (CSC) were utilized in this work.</t>
  </si>
  <si>
    <t>10.1175/JCLI-D-12-00446.1</t>
  </si>
  <si>
    <t>301EK</t>
  </si>
  <si>
    <t>WOS:000330515400021</t>
  </si>
  <si>
    <t>Vadlamani, R; Kröner, A; Vasudevan, D; Wendt, I; Tobschall, H; Chatterjee, C</t>
  </si>
  <si>
    <t>Vadlamani, Ravikant; Kroener, A.; Vasudevan, D.; Wendt, I.; Tobschall, H.; Chatterjee, C.</t>
  </si>
  <si>
    <t>Zircon evaporation ages and geochemistry of metamorphosed volcanic rocks from the Vinjamuru domain, Krishna Province: evidence for 1.78 Ga convergent tectonics along the southeastern margin of the Eastern Dharwar Craton</t>
  </si>
  <si>
    <t>GEOLOGICAL JOURNAL</t>
  </si>
  <si>
    <t>Krishna Province; Vinjamuru volcanic province; zircon evaporation age; geochemistry; Palaeoproterozoic convergent tectonics; Eastern Dharwar Craton</t>
  </si>
  <si>
    <t>HIGH-GRADE METAMORPHISM; LARGE IGNEOUS PROVINCE; RB-SR AGES; SOUTH-INDIA; GHATS BELT; ANTARCTIC PENINSULA; MAGMATISM; ND; CONSTRAINTS; GRANITES</t>
  </si>
  <si>
    <t>Palaeoproterozoic intermediate to potassic felsic volcanism in volcano-sedimentary sequences could either have occurred in continental rift or at convergent magmatic arc tectonic settings. The Vinjamuru domain of the Krishna Province in Andhra Pradesh, SE India, contains such felsic and intermediate metavolcanic rocks, whose geochemistry constrains their probable tectonic setting and which were dated by the zircon Pb evaporation method in order to constrain their time of formation. These rocks consist of interlayered quartz-garnet-biotite schist, quartz-hematite-baryte-sericite schist as well as cherty quartzite, and represent a calc-alkaline volcanic sequence of andesitic to rhyolitic rocks that underwent amphibolite-facies metamorphism at similar to 1.61Ga. Zircons from four felsic metavolcanic rock samples yielded youngest mean Pb-207/Pb-206 ages between 1771 and 1791Ma, whereas the youngest zircon age for a meta-andesite is 1868Ma. A similar to 2.43Ga zircon xenocryst reflects incorporation of Neoarchaean basement gneisses. Their calc-alkaline trends, higher LILE, enriched chondrite-normalized LREE pattern and negative Nb and Ti anomalies on primitive mantle-normalized diagrams, suggest formation in a continental magmatic arc tectonic setting. Whereas the intermediate rocks may have been derived from mantle-source parental arc magmas by fractionation and crustal contamination, the rhyolitic rocks had crustal parental magmas. The Vinjamuru Palaeoproterozoic volcanic eruption implies an event of convergent tectonism at the southeastern margin of the Eastern Dharwar Craton at similar to 1.78Ga forming one of the major crustal domains of the Krishna Province. Copyright (c) 2012 John Wiley &amp; Sons, Ltd.</t>
  </si>
  <si>
    <t>[Vadlamani, Ravikant; Chatterjee, C.] Indian Inst Sci Educ &amp; Res Kolkata, Mohanpur 741252, India; [Kroener, A.; Vasudevan, D.] Johannes Gutenberg Univ Mainz, Inst Geowissensch, Mainz, Germany; [Wendt, I.] Bundesanstalt Geowissensch &amp; Rohstoffe, Hannover, Germany; [Tobschall, H.] Univ Erlangen Nurnberg, Inst Geol &amp; Mineral, D-91054 Erlangen, Germany</t>
  </si>
  <si>
    <t>Indian Institute of Science Education &amp; Research (IISER) - Kolkata; Johannes Gutenberg University of Mainz; University of Erlangen Nuremberg</t>
  </si>
  <si>
    <t>Vadlamani, R (corresponding author), Indian Inst Sci Educ &amp; Res Kolkata, Mohanpur 741252, India.</t>
  </si>
  <si>
    <t>ravikant.vadlamani@gmail.com</t>
  </si>
  <si>
    <t>Chatterjee, Chiranjeeb/0000-0003-1453-7944</t>
  </si>
  <si>
    <t>0072-1050</t>
  </si>
  <si>
    <t>1099-1034</t>
  </si>
  <si>
    <t>GEOL J</t>
  </si>
  <si>
    <t>Geol. J.</t>
  </si>
  <si>
    <t>10.1002/gj.2441</t>
  </si>
  <si>
    <t>283LX</t>
  </si>
  <si>
    <t>WOS:000329248700001</t>
  </si>
  <si>
    <t>Gies, P; Klekociuk, A; Tully, M; Henderson, S; Javorniczky, J; King, K; Lemus-Deschamps, L; Makin, J</t>
  </si>
  <si>
    <t>Gies, Peter; Klekociuk, Andrew; Tully, Matthew; Henderson, Stuart; Javorniczky, John; King, Kerryn; Lemus-Deschamps, Lilia; Makin, Jennifer</t>
  </si>
  <si>
    <t>Low Ozone Over Southern Australia in August 2011 and its Impact on Solar Ultraviolet Radiation Levels</t>
  </si>
  <si>
    <t>PHOTOCHEMISTRY AND PHOTOBIOLOGY</t>
  </si>
  <si>
    <t>SKIN-CANCER; SUN EXPOSURE; UV; RISK; SUNSMART; EPISODE</t>
  </si>
  <si>
    <t>During August 2011 stratospheric ozone over much of Southern Australia dropped to very low levels (approximately 265Dobson Units) for over a week above major population centers. The weather during this low ozone period was mostly clear and sunny, resulting in measured solar ultraviolet radiation (UVR) levels up to 40% higher than normal, with UV Index&gt;3 despite being winter. Satellite ozone measurements and meteorological assimilated data indicate that the event was likely due in large part to the anomalous southward movement over Australia of ozone-poor air in the lower stratosphere originating from tropical latitudes. At the time, a study measuring the UVR exposures of outdoor workers in Victoria was underway and a number of the workers recorded substantial UVR exposures and were sunburnt. Given the cities and populations involved (approximately 10million people), it is likely that many people could have been exposed to anomalously high levels of solar UVR for that time of year, with resultant higher UVR exposures and sunburns to unacclimatized skin (often a problem transitioning from low winter to higher spring UVR levels). Reporting procedures have been modified to utilize ozone forecasts to warn the public of anomalously high UVR levels in the future.</t>
  </si>
  <si>
    <t>[Gies, Peter; Henderson, Stuart; Javorniczky, John; King, Kerryn] Australian Radiat Protect &amp; Nucl Safety Agcy, Melbourne, Vic, Australia; [Klekociuk, Andrew] Australian Antarctic Div, Hobart, Tas, Australia; [Tully, Matthew; Lemus-Deschamps, Lilia] Bur Meteorol, Melbourne, Vic, Australia; [Makin, Jennifer] Canc Council Victoria Ctr Behav Res, Melbourne, Vic, Australia</t>
  </si>
  <si>
    <t>Australian Antarctic Division; Bureau of Meteorology - Australia; Melbourne Genomics Health Alliance; Cancer Council Victoria</t>
  </si>
  <si>
    <t>Gies, P (corresponding author), Australian Radiat Protect &amp; Nucl Safety Agcy, Melbourne, Vic, Australia.</t>
  </si>
  <si>
    <t>Peter.Gies@arpansa.gov.au</t>
  </si>
  <si>
    <t>Tully, Matthew/AAG-1730-2020; Makin, Jen/AAE-6862-2020; Klekociuk, Andrew/A-4498-2015</t>
  </si>
  <si>
    <t>Tully, Matthew/0000-0002-6153-5610; Makin, Jen/0000-0001-7556-196X; Henderson, Stuart/0000-0002-9147-5727; Klekociuk, Andrew/0000-0003-3335-0034</t>
  </si>
  <si>
    <t>Australian Antarctic Science program [4115, 737]</t>
  </si>
  <si>
    <t>Australian Antarctic Science program</t>
  </si>
  <si>
    <t>Total Ozone Mapping Spectrometer and OMI data were obtained from NASA Goddard Code 613.3 (http://jwocky.gsfc.nasa.gov/), and ERA-Interim data were obtained from the ECMWF data server (http://data-portal.ecmwf.int/). Aura/MLS data used in this study were acquired as part of the NASA's Earth-Sun System Division. Atmospheric trajectories were obtained from the British Atmospheric Data Centre. Reanalysis-1 data were obtained from the National Centres for Environmental Prediction, through their web site at http://www.esrl.noaa.gov/psd/data/gridded/data.ncep.reanalysis.html. This work was conducted under projects 4115 and 737 of the Australian Antarctic Science program.</t>
  </si>
  <si>
    <t>0031-8655</t>
  </si>
  <si>
    <t>1751-1097</t>
  </si>
  <si>
    <t>PHOTOCHEM PHOTOBIOL</t>
  </si>
  <si>
    <t>Photochem. Photobiol.</t>
  </si>
  <si>
    <t>10.1111/php.12076</t>
  </si>
  <si>
    <t>Biochemistry &amp; Molecular Biology; Biophysics</t>
  </si>
  <si>
    <t>284GN</t>
  </si>
  <si>
    <t>WOS:000329304200032</t>
  </si>
  <si>
    <t>Landini, GF; Neto, AD; Schwantes, AR; Schwantes, MLB; dos Santos, M</t>
  </si>
  <si>
    <t>Landini, Gustavo Fraga; Di Vito Neto, Alfredo; Schwantes, Arno Rudi; Barcellos Schwantes, Maria Luiza; dos Santos, Marcelo</t>
  </si>
  <si>
    <t>Intraerythrocytic Organic Phosphates and Hemoglobins of Skua - Catharacta maccormicki (Stercoraridae) - at Two Different Stages of the Year in Relation to Antartic Migration</t>
  </si>
  <si>
    <t>BRAZILIAN ARCHIVES OF BIOLOGY AND TECHNOLOGY</t>
  </si>
  <si>
    <t>birds; blood; electrophoresis; cold; affinity; oxygen</t>
  </si>
  <si>
    <t>HIGH-ALTITUDE RESPIRATION; AVIAN ERYTHROCYTE METABOLISM; AMINO-ACID-SEQUENCE; SOUTH POLAR SKUA; OXYGEN-AFFINITY; WHOLE-BLOOD; SERUM PROTEINS; COMPONENT; ELECTROPHORESIS; ADAPTATION</t>
  </si>
  <si>
    <t>Catharacta maccormicki blood samples were collected in the winter (October) and in the summer (February) in order to study the intraerythrocytic organic phosphates, hemoglobin (Hb) electrophoretic patterns, oxygen blood equilibrium and stripped Hbs, as well as the effect of 2,3-biphosphoglycerate (BPG) and inositol hexaphosphate (IHP) on oxygen affinity. All the samples (five from the winter and five from the summer) showed the same electrophoretic pattern: one minor fast component and one major slow one. No differences in oxygen affinity and Bohr effect in the samples collected in the winter and in the summer were found. Oxygen affinity was higher in the stripped Hb than in the blood. BPG seemed to have no effect on the functional properties of skua Hb while IHP does. No BPG was found in any sample. Both inositol pentaphosphate (IP5) and IHP were found in all the samples. The IP5/IHP ratio in the winter samples was 3.0 while in summer 3.5. Adenosine diphosphate (ADP) was found in samples from both the seasons. Adenosine monophosphate (AMP) and adenosine triphosphate (ATP) were present only in the summer samples while guanosine triphosphate (GTP) was found in the winter samples. Since IP5 and IHP are very powerful NB allosteric effectors, ATP and GTP might function as other protein modulators.</t>
  </si>
  <si>
    <t>[Landini, Gustavo Fraga; Di Vito Neto, Alfredo; Schwantes, Arno Rudi; Barcellos Schwantes, Maria Luiza; dos Santos, Marcelo] Univ Camilo Caste Branco, Lab Bioquim, BR-13690970 Descalvado, SP, Brazil</t>
  </si>
  <si>
    <t>Universidade Brasil</t>
  </si>
  <si>
    <t>Landini, GF (corresponding author), Univ Camilo Caste Branco, Lab Bioquim, BR-13690970 Descalvado, SP, Brazil.</t>
  </si>
  <si>
    <t>gustavo_fraga@yahoo.com.br</t>
  </si>
  <si>
    <t>Fundacao de Amparo a Pesquisa do Estado de Sao Paulo - FAPESP; Conselho Nacional de Desenvolvimento Cientifico e Tecnologico CNPq; Coordenacao de Aperfeigoamento de Pessoal de Nivel Superior - CAPES; FAPESP</t>
  </si>
  <si>
    <t>Fundacao de Amparo a Pesquisa do Estado de Sao Paulo - FAPESP(Fundacao de Amparo a Pesquisa do Estado de Sao Paulo (FAPESP)Fundacao de Amparo a Pesquisa e Inovacao do Estado de Santa Catarina (FAPESC)); Conselho Nacional de Desenvolvimento Cientifico e Tecnologico CNPq(Conselho Nacional de Desenvolvimento Cientifico e Tecnologico (CNPQ)); Coordenacao de Aperfeigoamento de Pessoal de Nivel Superior - CAPES(Coordenacao de Aperfeicoamento de Pessoal de Nivel Superior (CAPES)); FAPESP(Fundacao de Amparo a Pesquisa do Estado de Sao Paulo (FAPESP))</t>
  </si>
  <si>
    <t>The authors thank Gustavo Orlando Bonilla-Rodrigues and Flavia S. Munin for their helpful discussions. This work was supported by Fundacao de Amparo a Pesquisa do Estado de Sao Paulo - FAPESP, Conselho Nacional de Desenvolvimento Cientifico e Tecnologico CNPq and Coordenacao de Aperfeigoamento de Pessoal de Nivel Superior - CAPES. G.F.L., holds a fellowship from FAPESP. This project was a part of big project called Antarctic Brazilian Project - PROANTAR that occur between 1994 and 1998.</t>
  </si>
  <si>
    <t>INST TECNOLOGIA PARANA</t>
  </si>
  <si>
    <t>CURITIBA-PARANA</t>
  </si>
  <si>
    <t>RUA PROF ALGACYR MUNHOZ MADER 3775-CIC, 81350-010 CURITIBA-PARANA, BRAZIL</t>
  </si>
  <si>
    <t>1516-8913</t>
  </si>
  <si>
    <t>1678-4324</t>
  </si>
  <si>
    <t>BRAZ ARCH BIOL TECHN</t>
  </si>
  <si>
    <t>Braz. Arch. Biol. Technol.</t>
  </si>
  <si>
    <t>JUL-AUG</t>
  </si>
  <si>
    <t>10.1590/S1516-89132013000400010</t>
  </si>
  <si>
    <t>255GU</t>
  </si>
  <si>
    <t>Green Submitted, gold</t>
  </si>
  <si>
    <t>WOS:000327228200010</t>
  </si>
  <si>
    <t>Floss, C; Noguchi, T; Yada, T</t>
  </si>
  <si>
    <t>Floss, C.; Noguchi, T.; Yada, T.</t>
  </si>
  <si>
    <t>HYDROGEN AND NITROGEN IMAGING OF ULTRA-CARBONACEOUS ANTARCTIC MICROMETEORITE TT54B397</t>
  </si>
  <si>
    <t>METEORITICS &amp; PLANETARY SCIENCE</t>
  </si>
  <si>
    <t>76th Annual Meeting of the Meteoritical-Society</t>
  </si>
  <si>
    <t>JUL 29-AUG 02, 2013</t>
  </si>
  <si>
    <t>Edmonton, CANADA</t>
  </si>
  <si>
    <t>[Floss, C.] Washington Univ, St Louis, MO 63130 USA; [Noguchi, T.] Ibaraki Univ, Mito, Ibaraki 3108512, Japan; [Yada, T.] Japan Aerosp Explorat Agcy, Sagamihara, Kanagawa 2525210, Japan</t>
  </si>
  <si>
    <t>Washington University (WUSTL); Ibaraki University; Japan Aerospace Exploration Agency (JAXA)</t>
  </si>
  <si>
    <t>floss@wustl.edu</t>
  </si>
  <si>
    <t>1086-9379</t>
  </si>
  <si>
    <t>1945-5100</t>
  </si>
  <si>
    <t>METEORIT PLANET SCI</t>
  </si>
  <si>
    <t>Meteorit. Planet. Sci.</t>
  </si>
  <si>
    <t>A125</t>
  </si>
  <si>
    <t>Science Citation Index Expanded (SCI-EXPANDED); Conference Proceedings Citation Index - Science (CPCI-S)</t>
  </si>
  <si>
    <t>237JN</t>
  </si>
  <si>
    <t>WOS:000325865800095</t>
  </si>
  <si>
    <t>Haenecour, P; Floss, C; Wang, A; Yada, T</t>
  </si>
  <si>
    <t>Haenecour, P.; Floss, C.; Wang, A.; Yada, T.</t>
  </si>
  <si>
    <t>LARGE NITROGEN ISOTOPIC ANOMALIES IN ANTARCTIC MICROMETEORITES.</t>
  </si>
  <si>
    <t>[Haenecour, P.; Floss, C.] Washington Univ, Space Sci Lab, St Louis, MO 63130 USA; [Haenecour, P.; Floss, C.] Washington Univ, Dept Phys, St Louis, MO 63130 USA; [Haenecour, P.; Wang, A.] Washington Univ, Dept Earth &amp; Planetary Sci, St Louis, MO 63130 USA; [Yada, T.] Japan Aerosp Explorat Agcy, Inst Space &amp; Astronaut Sci, Sagamihara, Kanagawa 2525210, Japan</t>
  </si>
  <si>
    <t>Washington University (WUSTL); Washington University (WUSTL); Washington University (WUSTL); Japan Aerospace Exploration Agency (JAXA); Institute of Space &amp; Astronautical Science (ISAS)</t>
  </si>
  <si>
    <t>haenecour@wustl.edu</t>
  </si>
  <si>
    <t>A151</t>
  </si>
  <si>
    <t>WOS:000325865800121</t>
  </si>
  <si>
    <t>Mittlefehldt, DW; Mertzman, SA; Peng, ZX; Mertzman, KR</t>
  </si>
  <si>
    <t>Mittlefehldt, D. W.; Mertzman, S. A.; Peng, Z. X.; Mertzman, K. R.</t>
  </si>
  <si>
    <t>PETROLOGIC AND CHEMICAL CHARACTERIZATION OF A SUITE OF ANTARCTIC DIOGENITES</t>
  </si>
  <si>
    <t>GENESIS</t>
  </si>
  <si>
    <t>[Mittlefehldt, D. W.] NASA, Lyndon B Johnson Space Ctr, Houston, TX 77058 USA; [Mertzman, S. A.; Mertzman, K. R.] Franklin &amp; Marshall Coll, Lancaster, PA 17604 USA; [Peng, Z. X.] Engn &amp; Sci Contract Grp, Houston, TX USA</t>
  </si>
  <si>
    <t>National Aeronautics &amp; Space Administration (NASA); NASA Johnson Space Center; Franklin &amp; Marshall College</t>
  </si>
  <si>
    <t>david.w.mittlefehldt@nasa.gov</t>
  </si>
  <si>
    <t>Mittlefehldt, David/JUV-2877-2023</t>
  </si>
  <si>
    <t>A250</t>
  </si>
  <si>
    <t>WOS:000325865800220</t>
  </si>
  <si>
    <t>Sears, DWG</t>
  </si>
  <si>
    <t>Sears, D. W. G.</t>
  </si>
  <si>
    <t>TWO MAJOR NEW FINDS OF ANTARCTIC CO CHONDRITES (DOM 08004 AND MIL 07531): THEIR ORBITS, TERRESTRIAL AGE, AND PETROGRAPHIC TYPE.</t>
  </si>
  <si>
    <t>[Sears, D. W. G.] NASA, Ames Res Ctr, BAER Inst, Mountain View, CA 94035 USA</t>
  </si>
  <si>
    <t>National Aeronautics &amp; Space Administration (NASA); NASA Ames Research Center</t>
  </si>
  <si>
    <t>Derek.Sears@NASA.gov</t>
  </si>
  <si>
    <t>WILEY-BLACKWELL</t>
  </si>
  <si>
    <t>A313</t>
  </si>
  <si>
    <t>WOS:000325865800283</t>
  </si>
  <si>
    <t>Todd, NS; Satterwhite, CE; Righter, K</t>
  </si>
  <si>
    <t>Todd, N. S.; Satterwhite, C. E.; Righter, K.</t>
  </si>
  <si>
    <t>Enhancements to the Antarctic Meteorite Classification and Petrographic Database Update</t>
  </si>
  <si>
    <t>[Todd, N. S.; Satterwhite, C. E.] NASA, Lyndon B Johnson Space Ctr, Jacobs JETS, MC KT, Houston, TX 77058 USA; [Righter, K.] NASA, Lyndon B Johnson Space Ctr, MC KT, Houston, TX 77058 USA</t>
  </si>
  <si>
    <t>National Aeronautics &amp; Space Administration (NASA); NASA Johnson Space Center; National Aeronautics &amp; Space Administration (NASA); NASA Johnson Space Center</t>
  </si>
  <si>
    <t>nan-cy.s.todd@nasa.gov</t>
  </si>
  <si>
    <t>Todd, Nancy/K-5774-2015</t>
  </si>
  <si>
    <t>Todd, Nancy/0000-0002-7806-7614</t>
  </si>
  <si>
    <t>A341</t>
  </si>
  <si>
    <t>WOS:000325865800311</t>
  </si>
  <si>
    <t>Trigo-Rodríguez, JM; Alonso-Azcárate, J; Moyano-Cambero, CE</t>
  </si>
  <si>
    <t>Trigo-Rodriguez, J. M.; Alonso-Azcarate, J.; Moyano-Cambero, C. E.</t>
  </si>
  <si>
    <t>ICP-MS BULK CHEMISTRY OF HISTORIC AND ANTARCTIC CARBONACEOUS CHONDRITES</t>
  </si>
  <si>
    <t>AQUEOUS ALTERATION</t>
  </si>
  <si>
    <t>[Trigo-Rodriguez, J. M.; Moyano-Cambero, C. E.] CSIC IEEC, Inst Space Sci, Fac Sci, Bellaterra 08193, Barcelona, Spain; [Alonso-Azcarate, J.] Univ Castilla La Mancha, Toledo 45071, Spain</t>
  </si>
  <si>
    <t>Consejo Superior de Investigaciones Cientificas (CSIC); CSIC - Instituto de Ciencias del Espacio (ICE); Institut d'Estudis Espacials de Catalunya (IEEC); Universidad de Castilla-La Mancha</t>
  </si>
  <si>
    <t>trigo@ice.csic.es</t>
  </si>
  <si>
    <t>Trigo-Rodríguez, Josep M./L-3870-2014; Trigo-Rodriguez, Josep M./ABF-5444-2020; Alonso-Azcárate, Jacinto/K-4249-2014</t>
  </si>
  <si>
    <t>Trigo-Rodríguez, Josep M./0000-0001-8417-702X; Alonso-Azcárate, Jacinto/0000-0003-2187-9360</t>
  </si>
  <si>
    <t>A348</t>
  </si>
  <si>
    <t>WOS:000325865800318</t>
  </si>
  <si>
    <t>Xie, Z; Li, X; Sharp, TG; De Carli, PS</t>
  </si>
  <si>
    <t>Xie, Z.; Li, X.; Sharp, T. G.; De Carli, P. S.</t>
  </si>
  <si>
    <t>Ringwoodite rims around olivine fragments in melt vein of Antarctic chondrite GRV022321: Transformation kinetics</t>
  </si>
  <si>
    <t>growth rate; shock duration; phase transition; ringwoodite rim; shock melt vein; Mg-Fe diffusion; FIB- TEM</t>
  </si>
  <si>
    <t>[Xie, Z.; Li, X.] Nanjing Univ, Nanjing 210008, Jiangsu, Peoples R China; [Sharp, T. G.] Arizona State Univ, Tempe, AZ 85287 USA; [De Carli, P. S.] SRI Int, Menlo Pk, CA 94025 USA</t>
  </si>
  <si>
    <t>Nanjing University; Arizona State University; Arizona State University-Tempe; SRI International</t>
  </si>
  <si>
    <t>zhidongx@nju.edu.cn</t>
  </si>
  <si>
    <t>A378</t>
  </si>
  <si>
    <t>WOS:000325865800348</t>
  </si>
  <si>
    <t>Amsler, CD; McClintock, JB; Baker, BJ</t>
  </si>
  <si>
    <t>Amsler, C. D.; McClintock, J. B.; Baker, B. J.</t>
  </si>
  <si>
    <t>CHEMICAL MEDIATION OF ANTARCTIC MACROALGAL-HERBIVORE INTERACTIONS</t>
  </si>
  <si>
    <t>PHYCOLOGIA</t>
  </si>
  <si>
    <t>[Amsler, C. D.; McClintock, J. B.] Univ Alabama Birmingham, Birmingham, AL USA; [Baker, B. J.] Univ S Florida, Tampa, FL 33620 USA</t>
  </si>
  <si>
    <t>University of Alabama System; University of Alabama Birmingham; State University System of Florida; University of South Florida</t>
  </si>
  <si>
    <t>amsler@uab.edu</t>
  </si>
  <si>
    <t>Baker, Bill/N-4312-2019</t>
  </si>
  <si>
    <t>INT PHYCOLOGICAL SOC</t>
  </si>
  <si>
    <t>LAWRENCE</t>
  </si>
  <si>
    <t>NEW BUSINESS OFFICE, PO BOX 1897, LAWRENCE, KS 66044-8897 USA</t>
  </si>
  <si>
    <t>0031-8884</t>
  </si>
  <si>
    <t>Phycologia</t>
  </si>
  <si>
    <t>S</t>
  </si>
  <si>
    <t>238QV</t>
  </si>
  <si>
    <t>WOS:000325963600007</t>
  </si>
  <si>
    <t>Amsler, MO; Young, RM; von Salm, JL; Amsler, CD; Lopez-Bautista, J; McClintock, JB; Baker, BJ</t>
  </si>
  <si>
    <t>Amsler, M. O.; Young, R. M.; von Salm, J. L.; Amsler, C. D.; Lopez-Bautista, J.; McClintock, J. B.; Baker, B. J.</t>
  </si>
  <si>
    <t>CRYPTIC GENETIC DIVERSITY CORRELATES WITH SECONDARY METABOLITE DIVERSITY IN ANTARCTIC PLOCAMIUM CARTILAGINEUM</t>
  </si>
  <si>
    <t>[Amsler, M. O.; Amsler, C. D.; McClintock, J. B.] Univ Alabama Birmingham, Birmingham, AL USA; [Young, R. M.; von Salm, J. L.; Baker, B. J.] Univ S Florida, Tampa, FL 33620 USA; [Lopez-Bautista, J.] Univ Alabama, Tuscaloosa, AL USA</t>
  </si>
  <si>
    <t>University of Alabama System; University of Alabama Birmingham; State University System of Florida; University of South Florida; University of Alabama System; University of Alabama Tuscaloosa</t>
  </si>
  <si>
    <t>mamsler@uab.edu</t>
  </si>
  <si>
    <t>Lopez-Bautista, Juan M/A-7813-2009; Baker, Bill/N-4312-2019; Young, Ryan M/E-9698-2019</t>
  </si>
  <si>
    <t>WOS:000325963600008</t>
  </si>
  <si>
    <t>Choi, HG; Kim, SM; Kim, JH; Hwang, MS</t>
  </si>
  <si>
    <t>Choi, H. G.; Kim, S. M.; Kim, J. H.; Hwang, M. S.</t>
  </si>
  <si>
    <t>MORPHOLOGY, PHYLOGENETIC RELATIONSHIPS AND DNA BARCODING OF THE BANGIALES (RHODOPHYTA) FROM KING GEORGE ISLAND, ANTARCTIC AND ITS ADJACENT WATERS</t>
  </si>
  <si>
    <t>hchoi82@kopri.re.kr</t>
  </si>
  <si>
    <t>WOS:000325963600051</t>
  </si>
  <si>
    <t>Schoenrock, KM; Schram, JB; Amsler, CD; McClintock, JB; Angus, R</t>
  </si>
  <si>
    <t>Schoenrock, K. M.; Schram, J. B.; Amsler, C. D.; McClintock, J. B.; Angus, R.</t>
  </si>
  <si>
    <t>CHANGE YOU CAN BELIEVE IN: CLIMATE CHANGE IMPACTS ON ANTARCTIC MACROALGAE</t>
  </si>
  <si>
    <t>[Schoenrock, K. M.; Schram, J. B.; Amsler, C. D.; McClintock, J. B.; Angus, R.] Univ Alabama Birmingham, Birmingham, AL USA</t>
  </si>
  <si>
    <t>University of Alabama System; University of Alabama Birmingham</t>
  </si>
  <si>
    <t>ksrock@uab.edu</t>
  </si>
  <si>
    <t>Schoenrock, Kathryn/B-9082-2018</t>
  </si>
  <si>
    <t>WOS:000325963600259</t>
  </si>
  <si>
    <t>Torstensson, A; Hedblom, M; Wulff, A</t>
  </si>
  <si>
    <t>Torstensson, A.; Hedblom, M.; Wulff, A.</t>
  </si>
  <si>
    <t>LONG-TERM ACCLIMATION OF THE ANTARCTIC SEA ICE DIATOM NITZSCHIA LECOINTEI TO HIGH PCO2</t>
  </si>
  <si>
    <t>[Torstensson, A.; Hedblom, M.; Wulff, A.] Univ Gothenburg, Gothenburg, Sweden</t>
  </si>
  <si>
    <t>University of Gothenburg</t>
  </si>
  <si>
    <t>anders.torstensson@bioenv.gu.se</t>
  </si>
  <si>
    <t>WOS:000325963600297</t>
  </si>
  <si>
    <t>Krapp-Schickel, T</t>
  </si>
  <si>
    <t>Krapp-Schickel, Traudl</t>
  </si>
  <si>
    <t>ON AUSTRAL-ANTARCTIC STENOTHOIDS (AMPHIPODA), PART 3: TOROMETOPA, SCAPHODACTYLUS, AND TWO NEW GENERA</t>
  </si>
  <si>
    <t>CRUSTACEANA</t>
  </si>
  <si>
    <t>Article; Proceedings Paper</t>
  </si>
  <si>
    <t>MEB Conference on New Frontiers for Monitoring European Biodiversity - The Role and Importance of Amphipod Crustaceans</t>
  </si>
  <si>
    <t>SEP 27-29, 2011</t>
  </si>
  <si>
    <t>Palermo, ITALY</t>
  </si>
  <si>
    <t>CRUSTACEA; PROBOLOIDES; METOPOIDES</t>
  </si>
  <si>
    <t>This is the third and last part of a revision of the basic genera in the amphipod family Stenothoidae sensu lato (see Krapp-Schickel &amp; Koenemann, 2006 for an overview, Krapp-Schickel, 2009 for the first part, Krapp-Schickel, 2011a for the second). The genera Torometopa and Scaphodactylus are revised, some species redescribed, and two new genera erected.</t>
  </si>
  <si>
    <t>Forsch Museum Alexander Koenig, D-53113 Bonn, Germany</t>
  </si>
  <si>
    <t>Zoologisches Forschungsmuseum Alexander Koenig (ZFMK)</t>
  </si>
  <si>
    <t>Krapp-Schickel, T (corresponding author), Forsch Museum Alexander Koenig, Adenauerallee 160, D-53113 Bonn, Germany.</t>
  </si>
  <si>
    <t>traudl.krapp@uni-bonn.de</t>
  </si>
  <si>
    <t>BRILL</t>
  </si>
  <si>
    <t>LEIDEN</t>
  </si>
  <si>
    <t>PLANTIJNSTRAAT 2, P O BOX 9000, 2300 PA LEIDEN, NETHERLANDS</t>
  </si>
  <si>
    <t>0011-216X</t>
  </si>
  <si>
    <t>1568-5403</t>
  </si>
  <si>
    <t>Crustaceana</t>
  </si>
  <si>
    <t>7-8</t>
  </si>
  <si>
    <t>10.1163/15685403-00003216</t>
  </si>
  <si>
    <t>226TK</t>
  </si>
  <si>
    <t>WOS:000325058700005</t>
  </si>
  <si>
    <t>Matsukura, R; Sawada, K; Abe, K; Minami, K; Nagashima, H; Yonezaki, S; Murase, H; Miyashita, K</t>
  </si>
  <si>
    <t>Matsukura, Ryuichi; Sawada, Kouichi; Abe, Kki; Minami, Kenji; Nagashima, Hiroshi; Yonezaki, Shiroh; Murase, Hiroto; Miyashita, Kazushi</t>
  </si>
  <si>
    <t>Comparison of measurements and model calculations of target strength of juvenile sandeel in Sendai Bay</t>
  </si>
  <si>
    <t>NIPPON SUISAN GAKKAISHI</t>
  </si>
  <si>
    <t>Japanese</t>
  </si>
  <si>
    <t>ANTARCTIC KRILL; ACOUSTIC SCATTERING; SOUND-SPEED; FISH; BACKSCATTERING; ORIENTATION</t>
  </si>
  <si>
    <t>The target strength (TS) of juvenile sandeel (3.1-7.7 cm in standard length, SL) was measured for various tilt angles (-30 degrees to 30 degrees) at 120 kHz, and was compared with the theoretical TS calculated using the theoretical sound scattering model. The maximum TS measured at the tilt angle of 0 degrees ranged from -68.8 to -60.8 dB, whereas the range of the theoretical TS was from -68.7 to -61.5 dB. The difference of the measured and theoretical values of the maximum TS was -1.6 to 0.9 dB, and the TS patterns showed good agreement, particularly in the range of the main lobes, in the tilt angle (-10 degrees to 10 degrees). The theoretical model was used to calculate the TS under the same conditions where the specimens were collected. The correlation between the SL and the maximum TS is given by the equation: TS=43.1 log SL-96.1.</t>
  </si>
  <si>
    <t>[Matsukura, Ryuichi] Fisheries Res Agcy, Japan Sea Natl Fisheries Res Inst, Chuo Ku, Niigata 9518121, Japan; [Sawada, Kouichi; Abe, Kki] Fisheries Res Agcy, Natl Res Inst Fisheries Engn, Ibaraki 3140408, Japan; [Minami, Kenji] Hokkaido Univ, Fac Fisheries Sci, Hakodate, Hokkaido 0418611, Japan; [Nagashima, Hiroshi] Miyagi Prefecture Fisheries Technol Inst, Freshwater Fisheries Expt Stn, Taiwa, Miyagi 9813625, Japan; [Yonezaki, Shiroh] Fisheries Res Agcy, Natl Res Inst Far Seas Fisheries, Yokohama, Kanagawa 2368648, Japan; [Murase, Hiroto] Inst Cetacean Res, Chuo Ku, Tokyo 1040055, Japan; [Miyashita, Kazushi] Hokkaido Univ, Field Sci Ctr Northern Biosphere, Lab Marine Ecosyst Change Anal, Hakodate, Hokkaido 0418611, Japan</t>
  </si>
  <si>
    <t>Japan Fisheries Research &amp; Education Agency (FRA); Japan Fisheries Research &amp; Education Agency (FRA); Hokkaido University; Japan Fisheries Research &amp; Education Agency (FRA); Hokkaido University</t>
  </si>
  <si>
    <t>Matsukura, R (corresponding author), Fisheries Res Agcy, Japan Sea Natl Fisheries Res Inst, Chuo Ku, Niigata 9518121, Japan.</t>
  </si>
  <si>
    <t>matukura@affrc.go.jp</t>
  </si>
  <si>
    <t>Miyashita, Kazush/D-6757-2012; Murase, Hiroto/W-3556-2019; Matsukura, Ryuichi/S-1094-2019</t>
  </si>
  <si>
    <t>Murase, Hiroto/0000-0001-7784-6555;</t>
  </si>
  <si>
    <t>JAPANESE SOC FISHERIES SCIENCE</t>
  </si>
  <si>
    <t>TOKYO</t>
  </si>
  <si>
    <t>C/O TOKYO UNIV FISHERIES, KONAN 4, MINATO, TOKYO, 108-8477, JAPAN</t>
  </si>
  <si>
    <t>0021-5392</t>
  </si>
  <si>
    <t>1349-998X</t>
  </si>
  <si>
    <t>NIPPON SUISAN GAKK</t>
  </si>
  <si>
    <t>Nippon Suisan Gakkaishi</t>
  </si>
  <si>
    <t>10.2331/suisan.79.638</t>
  </si>
  <si>
    <t>Fisheries</t>
  </si>
  <si>
    <t>221MW</t>
  </si>
  <si>
    <t>WOS:000324664000016</t>
  </si>
  <si>
    <t>Bajerski, F; Ganzert, L; Mangelsdorf, K; Padur, L; Lipski, A; Wagner, D</t>
  </si>
  <si>
    <t>Bajerski, Felizitas; Ganzert, Lars; Mangelsdorf, Kai; Padur, Lisa; Lipski, Andre; Wagner, Dirk</t>
  </si>
  <si>
    <t>Chryseobacterium frigidisoli sp nov., a psychrotolerant species of the family Flavobacteriaceae isolated from sandy permafrost from a glacier forefield</t>
  </si>
  <si>
    <t>INTERNATIONAL JOURNAL OF SYSTEMATIC AND EVOLUTIONARY MICROBIOLOGY</t>
  </si>
  <si>
    <t>SEJONGIA-ANTARCTICA; COMB. NOV; EXTRACTION; SEQUENCES; MARINA; JEONII; ACID</t>
  </si>
  <si>
    <t>During diversity studies of the glacier forefields of the Larsemann Hills, East Antarctica, a novel psychrotolerant, non-motile Gram-negative, shiny yellow, rod-shaped, aerobic bacterium, designated strain PB4(T) was isolated from a soil sample. Strain PB4(T) produces indole from tryptophan and hydrolyses casein. It grows between 0 and 25 degrees C with an optimum growth temperature of 20 degrees C. A wide range of substrates are used as sole carbon sources and acid is produced from numerous carbohydrates. The major menaquinone is MK-6. Identified polar lipids are ethanolamines and ornithine lipids. Major fatty acids (&gt;10%) are iso-C-15:0 (13.0%) and iso-2OH-C-15:0 (51.2%). G+C content is 33.7 mol%. The polyamine pattern is composed of symhomospermidine (25.1 mu mol g(-1) dry weight), minor amounts of cadaverine (0.2 mu mol g(-1) dry weight) and spermidine (0.4 mu mol g(-1) dry weight) and traces of putrescine and spermine (&lt;0.1 mu mol g(-1) dry weight). Strain PB4(T) had highest 16S rRNA gene similarities with the type strains of Chryseobacterium humi (97.0%) and Chryseobacterium marinum (96.5%). Considering phenotypic and genotypic characterization, strain PB4(T) represents a novel species in the genus Chryseobacterium (family Flavobacteriaceae), for which the name Chryseobacterium frigidisoli sp. nov. is proposed. The type strain is PB4(T) (=DSM 26000(T)=LMG 27025(T)).</t>
  </si>
  <si>
    <t>[Ganzert, Lars] Univ Tromso, Dept Arctic &amp; Marine Biol, Tromso, Norway; [Mangelsdorf, Kai] Helmholtz Ctr Potsdam, GFZ German Res Ctr Geosci, Potsdam, Germany; [Lipski, Andre] Univ Bonn, Inst Nutr &amp; Food Sci, Dept Food Microbiol &amp; Hyg, Bonn, Germany</t>
  </si>
  <si>
    <t>UiT The Arctic University of Tromso; Helmholtz Association; Helmholtz-Center Potsdam GFZ German Research Center for Geosciences; University of Bonn</t>
  </si>
  <si>
    <t>Felizitas.Bajerski@awi.de</t>
  </si>
  <si>
    <t>Wagner, Dirk/C-3932-2012; Ganzert, Lars/AAT-1992-2021</t>
  </si>
  <si>
    <t>Wagner, Dirk/0000-0001-5064-497X; Ganzert, Lars/0000-0001-9595-1041</t>
  </si>
  <si>
    <t>Norwegian Research Council (NFR) [210923]; Deutsche Forschungsgemeinschaft (DFG) [1158, WA 1554/9]</t>
  </si>
  <si>
    <t>Norwegian Research Council (NFR)(Research Council of Norway); Deutsche Forschungsgemeinschaft (DFG)(German Research Foundation (DFG))</t>
  </si>
  <si>
    <t>The authors wish to thank the shipboard scientific party, particularly H.-W. Hubberten (Alfred Wegener Institute for Polar and Marine Research), and the crew of the expedition ANT-XXIII/9 in 2007 with RV Polarstern. Special thanks go to H.-J. Busse (University of Veterinary Medicine, Vienna) for the analysis of the polyamine pattern and to C. Karger (GFZ German Research Centre for Geosciences) for successful laboratory work. L. G. was supported by an 'Yggdrasil' stipend (#210923) of the Norwegian Research Council (NFR). The main project was funded by the Deutsche Forschungsgemeinschaft (DFG) in the framework of the priority program 1158 'Antarctic Research With Comparative Investigations In Arctic Ice Areas' by a grant to D. W. (WA 1554/9).</t>
  </si>
  <si>
    <t>MICROBIOLOGY SOC</t>
  </si>
  <si>
    <t>CHARLES DARWIN HOUSE, 12 ROGER ST, LONDON WC1N 2JU, ERKS, ENGLAND</t>
  </si>
  <si>
    <t>1466-5026</t>
  </si>
  <si>
    <t>1466-5034</t>
  </si>
  <si>
    <t>INT J SYST EVOL MICR</t>
  </si>
  <si>
    <t>Int. J. Syst. Evol. Microbiol.</t>
  </si>
  <si>
    <t>10.1099/ijs.0.046904-0</t>
  </si>
  <si>
    <t>Microbiology</t>
  </si>
  <si>
    <t>200QD</t>
  </si>
  <si>
    <t>WOS:000323083100047</t>
  </si>
  <si>
    <t>Tarakanov, RY; Morozov, EG; Gritsenko, AM; Demidova, TA; Makarenko, NI</t>
  </si>
  <si>
    <t>Tarakanov, R. Yu.; Morozov, E. G.; Gritsenko, A. M.; Demidova, T. A.; Makarenko, N. I.</t>
  </si>
  <si>
    <t>Transport of Antarctic Bottom Water through passages in the East Azores Ridge (37A° N) in the East Atlantic</t>
  </si>
  <si>
    <t>OCEANOLOGY</t>
  </si>
  <si>
    <t>DISCOVERY GAP; FLOW</t>
  </si>
  <si>
    <t>The structure of northerly overflow of Antarctic Bottom Water (AABW) through passages in the East Azores Ridge (37A degrees N) in the East Atlantic from the Madeira Basin to the Iberian Basin is studied on the basis of hydrographic measurements carried out by the Institute of Oceanology, Russian Academy of Sciences (RAS) in October 2011, historical World Ocean Data Base 2009, and recent data on the bottom topography. The overflow of the coldest layers of this water occurs through two passages with close depths at 16A degrees W (Discovery Gap) and at 19A degrees 30' W (nameless Western Gap). It is shown that it is likely that the role of the latter passage in water transport was underestimated in earlier publications because the water (2.01A degrees C) found in the region north of the Western Gap was cooler than in the region north of the Discovery Gap (2.03A degrees C). In 2011, we found a decrease of 0.01A degrees C in the AABW temperature near the bottom compared to previous measurements in 1982 (from 2.011A degrees C to 2.002A degrees C). Analysis of the historical database shows that this decrease is most likely caused by the cooling trend in the abyssal waters in the East Atlantic basins.</t>
  </si>
  <si>
    <t>[Tarakanov, R. Yu.; Morozov, E. G.; Gritsenko, A. M.; Demidova, T. A.] Russian Acad Sci, PP Shirshov Oceanol Inst, Moscow, Russia; [Makarenko, N. I.] Russian Acad Sci, Siberian Branch, Lavrentiev Inst Hydrodynam, Novosibirsk, Russia</t>
  </si>
  <si>
    <t>Russian Academy of Sciences; Shirshov Institute of Oceanology; Russian Academy of Sciences; Lavrentyev Institute of Hydrodynamics</t>
  </si>
  <si>
    <t>Tarakanov, RY (corresponding author), Russian Acad Sci, PP Shirshov Oceanol Inst, Moscow, Russia.</t>
  </si>
  <si>
    <t>rtarakanov@gmail.com</t>
  </si>
  <si>
    <t>Makarenko, Nikolay/L-1713-2017; Morozov, Eugene G/L-3023-2018; Tarakanov, Roman/R-3325-2016</t>
  </si>
  <si>
    <t>Tarakanov, Roman/0000-0002-8711-1859; Morozov, Eugene/0000-0002-0251-3454</t>
  </si>
  <si>
    <t>Russian Foundation for Basic Research [10-05-00200-a, 11-08-00076-a, 12-05-00277-a]</t>
  </si>
  <si>
    <t>Russian Foundation for Basic Research(Russian Foundation for Basic Research (RFBR)Spanish Government)</t>
  </si>
  <si>
    <t>This study was supported by the Russian Foundation for Basic Research (project nos. 10-05-00200-a, 11-08-00076-a, and 12-05-00277-a).</t>
  </si>
  <si>
    <t>MAIK NAUKA/INTERPERIODICA/SPRINGER</t>
  </si>
  <si>
    <t>233 SPRING ST, NEW YORK, NY 10013-1578 USA</t>
  </si>
  <si>
    <t>0001-4370</t>
  </si>
  <si>
    <t>1531-8508</t>
  </si>
  <si>
    <t>OCEANOLOGY+</t>
  </si>
  <si>
    <t>Oceanology</t>
  </si>
  <si>
    <t>10.1134/S0001437013040152</t>
  </si>
  <si>
    <t>208HV</t>
  </si>
  <si>
    <t>WOS:000323669600005</t>
  </si>
  <si>
    <t>Stupnikova, AN; Kulagin, DN; Neretina, TV; Mugue, NS</t>
  </si>
  <si>
    <t>Stupnikova, A. N.; Kulagin, D. N.; Neretina, T. V.; Mugue, N. S.</t>
  </si>
  <si>
    <t>Mitochondrial DNA polymorphism (CO1) of three dominant copepod species in the South Atlantic</t>
  </si>
  <si>
    <t>EUPHAUSIA-SUPERBA DANA; POLAR FRONTAL ZONE; CALANUS-FINMARCHICUS; GENETIC-VARIATION; TRANSPORT; PLANKTON; OCEAN; WATER; MESOZOOPLANKTON; ZOOPLANKTON</t>
  </si>
  <si>
    <t>The Southern Ocean is characterized by the complex system of oceanic fronts that maintain the latitudinal zonality of biotopes. These fronts are boundaries of water masses with different hydrophysical characteristics. We explore the genetic differentiation of the dominant zooplankton species in regards to the complex hydrophysical zonality of the Southern Ocean. The barcoding region of mitochondrial CO1 gene was sequenced for three copepod species, Calanus simillimus, Rhincalanus gigas, and Metridia lucens. These species are the most abundant in the Southern Ocean and form the basis of the zooplankton community. Genetic differentiation was found neither for Calanus simillimus nor for Rhincalanus gigas. The mitochondrial haplotypes of Metridia lucens cluster in two genetically distant groups (Subantarctic and Antarctic) found together only in the Polar Front Zone.</t>
  </si>
  <si>
    <t>[Stupnikova, A. N.; Kulagin, D. N.] Russian Acad Sci, PP Shirshov Oceanol Inst, Moscow, Russia; [Neretina, T. V.] Moscow MV Lomonosov State Univ, Dept Biol, White Sea Biol Stn, Primorsky Settlement, Murmansk Oblast, Russia; [Mugue, N. S.] Russian Fed Res Inst Fisheries &amp; Oceanog VNIRO, Moscow, Russia</t>
  </si>
  <si>
    <t>Russian Academy of Sciences; Shirshov Institute of Oceanology; Lomonosov Moscow State University; Research lnstitute of Fisheries &amp; Oceanography</t>
  </si>
  <si>
    <t>Stupnikova, AN (corresponding author), Russian Acad Sci, PP Shirshov Oceanol Inst, Moscow, Russia.</t>
  </si>
  <si>
    <t>astupnikova@gmail.com</t>
  </si>
  <si>
    <t>Mugue, Nikolai/H-3959-2015; Neretina, Tatiana Vladimirovna/O-3724-2016; Kulagin, Dmirty/E-3137-2014; Stupnikova, Alexandra/D-7924-2014</t>
  </si>
  <si>
    <t>Mugue, Nikolai/0000-0001-8957-1931; Kulagin, Dmirty/0000-0002-5521-8598; Stupnikova, Alexandra/0000-0002-7211-0386</t>
  </si>
  <si>
    <t>Ministry of Education and Science of the Russian Federation; RAS [23P]; Russian Foundation for Basic Research [12-04-90703-mob_st]</t>
  </si>
  <si>
    <t>Ministry of Education and Science of the Russian Federation(Ministry of Education and Science, Russian Federation); RAS(Russian Academy of SciencesRegione Sardegna); Russian Foundation for Basic Research(Russian Foundation for Basic Research (RFBR)Spanish Government)</t>
  </si>
  <si>
    <t>The study was supported by the Ministry of Education and Science of the Russian Federation, by the RAS Presidium Program no. 23P, and by Russian Foundation for Basic Research (project no. 12-04-90703-mob_st).</t>
  </si>
  <si>
    <t>10.1134/S0001437013040140</t>
  </si>
  <si>
    <t>WOS:000323669600007</t>
  </si>
  <si>
    <t>Stern, RJ; Tsujimori, T; Harlow, G; Groat, LA</t>
  </si>
  <si>
    <t>Stern, Robert J.; Tsujimori, Tatsuki; Harlow, George; Groat, Lee A.</t>
  </si>
  <si>
    <t>Plate tectonic gemstones</t>
  </si>
  <si>
    <t>GEM CORUNDUM DEPOSITS; TRANSITION; MARGINS</t>
  </si>
  <si>
    <t>The gemstones jadeite and ruby generally form as a result of the plate tectonic processes subduction and collision. Jade made of jadeite (jadeitite) forms when supercritical fluids released from subducting oceanic crust condense in the overlying mantle wedge, 20-120 km deep in the Earth. Jadeitite deposits thus mark the location of exhumed fossil subduction zones. Ruby, the red gem variety of corundum, forms during amphibolite- and granulite-facies metamorphism or melting of mixed Al-rich and Si-poor protoliths, 10-40 km deep in the crust. Suitable conditions generally exist where passive-margin carbonates and shales are involved in continental collision. Most ruby deposits formed during Ediacaran-Cambrian (ca. 550 Ma) collisions that produced the East African-Antarctic orogen and the supercontinent Gondwana, or during Cenozoic collisions in south Asia. Ruby is thus a robust indicator of continental collision. As a result of these diagnostic properties, we propose the term plate tectonic gemstones (PTGs) for jadeitite and ruby. The PTGs are a new type of petrotectonic indicator that are mostly found in Neoproterozoic and younger rocks. The PTGs as petrotectonic indicators that form deep in the Earth have the added advantage that their record is unlikely to be obliterated by erosion, although the possibility of destruction via retrogression needs to be further assessed. Recognition of the PTGs links modern concepts of plate tectonics to economic gemstone deposits and ancient concepts of beauty, and may aid in exploration for new deposits.</t>
  </si>
  <si>
    <t>[Stern, Robert J.] Univ Texas Dallas, Dept Geosci, Richardson, TX 75083 USA; [Tsujimori, Tatsuki] Okayama Univ, Inst Study Earths Interior, Pheasant Mem Lab, Misasa, Tottori 6820193, Japan; [Harlow, George] Amer Museum Nat Hist, Dept Earth &amp; Planetary Sci, New York, NY 10024 USA; [Groat, Lee A.] Univ British Columbia, Dept Earth Ocean &amp; Atmospher Sci, Vancouver, BC V6T 1Z4, Canada</t>
  </si>
  <si>
    <t>University of Texas System; University of Texas Dallas; Okayama University; American Museum of Natural History (AMNH); University of British Columbia</t>
  </si>
  <si>
    <t>Stern, RJ (corresponding author), Univ Texas Dallas, Dept Geosci, Richardson, TX 75083 USA.</t>
  </si>
  <si>
    <t>rjstern@utdallas.edu; tatsukix@misasa.okayama-u.ac.jp; gharlow@amnh.org; groat@mail.ubc.ca</t>
  </si>
  <si>
    <t>Tsujimori, Tatsuki/D-2677-2009; Stern, Robert/N-8344-2019; Groat, Lee/KHU-3832-2024</t>
  </si>
  <si>
    <t>Tsujimori, Tatsuki/0000-0001-9202-7312; Stern, Robert/0000-0002-8083-4632; Groat, Lee/0000-0003-0108-0842</t>
  </si>
  <si>
    <t>Natural Sciences and Engineering Research Council of Canada; U.S. National Science Foundation [EAR1119403, EAR0309116]; Japan Society for the Promotion of Science [24403010, 22654058]; Grants-in-Aid for Scientific Research [24403010, 22654058] Funding Source: KAKEN</t>
  </si>
  <si>
    <t>Natural Sciences and Engineering Research Council of Canada(Natural Sciences and Engineering Research Council of Canada (NSERC)CGIAR); U.S. National Science Foundation(National Science Foundation (NSF));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</si>
  <si>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Groat acknowledges the support of the Natural Sciences and Engineering Research Council of Canada in the form of a Discovery Grant. Harlow acknowledges support from U.S. National Science Foundation grants EAR1119403 and EAR0309116. Tsujimori acknowledges the support of the Japan Society for the Promotion of Science Grant-in-Aid #24403010 and #22654058. Stern thanks John Saul for interesting him in the tectonic implications of gemstones. We thank Dean Tuck (BHP-Billiton) for bringing the Fiskenaeset occurrence to our attention. Stern thanks John Saul for many discussions over the years that stimulated his interest in the relationship between gemstones and plate tectonics. This is University of Texas Dallas Geosciences contribution #1244.</t>
  </si>
  <si>
    <t>10.1130/G34204.1</t>
  </si>
  <si>
    <t>203EB</t>
  </si>
  <si>
    <t>WOS:000323272400001</t>
  </si>
  <si>
    <t>Yang, QH; Liu, JP; Sun, QZ; Lei, RB; Zhang, L; Meng, S</t>
  </si>
  <si>
    <t>Yang Qing-Hua; Liu Ji-Ping; Sun Qi-Zhen; Lei Rui-Bo; Zhang Lin; Meng Shang</t>
  </si>
  <si>
    <t>Surface albedo variation and its influencing factors over costal fast ice around Zhongshan station, Antarctica in austral spring of 2010</t>
  </si>
  <si>
    <t>CHINESE JOURNAL OF GEOPHYSICS-CHINESE EDITION</t>
  </si>
  <si>
    <t>Antarctic; Albedo; Fast ice; Sea ice; Snow; Radiation</t>
  </si>
  <si>
    <t>ARCTIC SEA-ICE; SNOW; PARAMETERIZATIONS; VARIABILITY; RADIATION; TRENDS</t>
  </si>
  <si>
    <t>The snow/sea ice albedo over costal fast ice around Zhongshan Station, Antarctica was measured using a fixed radiation station in the austral spring and early summer of 2010. The mean albedo variation during the observation period varied from 0.80 in Septermber to 0.62 in December with a decreasing trend, and the mean value among the observation period was 0.70. The snow thickness was found to be an important factor affecting albedo, the early melting albedo was also closely related to the surface temperature, while there seemed no relation between the two during the dry snow period. The falling snow could significantly increase albedo as the snow deepen and the surface snow particles refined, while clouds absorbed the incident near-infrared sunlight and increased albedo. The albedo increased by an average of 0.18 or 0.06 from clear days to days with falling snow or overcast sky, respectively, while drifting snow could result in either a significant increase or a significant decrease of albedo through changes on the snow optical thickness. In response to the zenith angle variation and snow metamorphism, the clear-sky albedo steadily liner decreased with the zenith angle during the morning, and had little variation in the afternoon; the highest and lowest value occurred in the early morning and in the afternoon, respectively. Three different daily albedo cycles over thick dry snow (&gt;3 cm), thin dry snow (&lt;3 cm), and melting snow had been observed. To represent these daily trends, 3 simple parameterizations which implicitly included the albedo dependence on zenith angle and crystal metamorphism were proposed, and had been proved with a better performance over the daily constant albedo treatments.</t>
  </si>
  <si>
    <t>[Yang Qing-Hua; Sun Qi-Zhen; Zhang Lin; Meng Shang] Natl Marine Environm Forecasting Ctr, Key Lab Res Marine Hazards Forecasting, Beijing 100081, Peoples R China; [Liu Ji-Ping] Chinese Acad Sci, Inst Atmospher Phys, State Key Lab Numer Modeling Atmospher Sci &amp; Geop, Beijing 100029, Peoples R China; [Lei Rui-Bo] State Ocean Adm, Polar Res Inst China, Key Lab Polar Sci, Shanghai 200136, Peoples R China</t>
  </si>
  <si>
    <t>National Marine Environmental Forecasting Center; Chinese Academy of Sciences; Institute of Atmospheric Physics, CAS; Polar Research Institute of China</t>
  </si>
  <si>
    <t>Yang, QH (corresponding author), Natl Marine Environm Forecasting Ctr, Key Lab Res Marine Hazards Forecasting, Beijing 100081, Peoples R China.</t>
  </si>
  <si>
    <t>yqh@nmefc.gov.cn</t>
  </si>
  <si>
    <t>Sun, Qizhen/JCE-6070-2023</t>
  </si>
  <si>
    <t>0001-5733</t>
  </si>
  <si>
    <t>CHINESE J GEOPHYS-CH</t>
  </si>
  <si>
    <t>Chinese J. Geophys.-Chinese Ed.</t>
  </si>
  <si>
    <t>10.6038/cjg20130705</t>
  </si>
  <si>
    <t>195FG</t>
  </si>
  <si>
    <t>WOS:000322687100005</t>
  </si>
  <si>
    <t>Bertrand, EM; Moran, DM; McIlvin, MR; Hoffman, JM; Allen, AE; Saito, MA</t>
  </si>
  <si>
    <t>Bertrand, Erin M.; Moran, Dawn M.; McIlvin, Matthew R.; Hoffman, Jeffrey M.; Allen, Andrew E.; Saito, Mak A.</t>
  </si>
  <si>
    <t>Methionine synthase interreplacement in diatom cultures and communities: Implications for the persistence of B12 use by eukaryotic phytoplankton</t>
  </si>
  <si>
    <t>LIMNOLOGY AND OCEANOGRAPHY</t>
  </si>
  <si>
    <t>IRON STRESS; VITAMIN-B12; CROCOSPHAERA; DYNAMICS; BLOOM; ZINC; TRICHODESMIUM; COMPLEXATION; METABOLISM; OCEAN</t>
  </si>
  <si>
    <t>Three proteins related to vitamin B-12 metabolism in diatoms were quantified via selected reaction monitoring mass spectrometry: B-12-dependent and B-12-independent methionine synthase (MetH, MetE) and a B-12 acquisition protein (CBA1). B-12-mediated interreplacement of MetE and MetH metalloenzymes was observed in Phaeodactylum tricornutum where MetH abundance was highest (0.06 fmol mu g(-1) protein) under high B-12 and MetE abundance increased to 3.25 fmol mu g(-1) protein under low B-12 availability. Maximal MetE abundance was 60-fold greater than MetH, consistent with the expected, similar to 50-100-fold larger turnover number for MetH. MetE expression resulted in 30-fold increase in nitrogen and 40-fold increase in zinc allocated to methionine synthase activity under low B-12. CBA1 abundance was 6-fold higher under low-B-12 conditions and increased upon B-12 resupply to starved cultures. While biochemical pathways that supplant B-12 requirements exist and are utilized by organisms such as land plants, B-12 use persists in eukaryotic phytoplankton. This study suggests that retention of B-12 utilization by phytoplankton results in resource conservation under conditions of high B-12 availability. MetE and MetH abundances were also measured in diatom communities from McMurdo Sound, verifying that both these proteins are expressed in natural communities. These protein measurements are consistent with previous studies suggesting that B-12 availability influences Antarctic primary productivity. This study illuminates controls on expression of B-12-related proteins, quantitatively assesses the metabolic consequences of B-12 deprivation, and demonstrates that mass spectrometry-based protein measurements yield insight into the functioning of marine microbial communities.</t>
  </si>
  <si>
    <t>[Bertrand, Erin M.] Woods Hole Oceanog Inst, Massachusetts Inst Technol Woods Hole Oceanog Ins, Woods Hole, MA 02543 USA; [Bertrand, Erin M.; Moran, Dawn M.; McIlvin, Matthew R.; Saito, Mak A.] Woods Hole Oceanog Inst, Dept Marine Chem &amp; Geochem, Woods Hole, MA 02543 USA; [Bertrand, Erin M.; Hoffman, Jeffrey M.; Allen, Andrew E.] J Craig Venter Inst, San Diego, CA USA</t>
  </si>
  <si>
    <t>Woods Hole Oceanographic Institution; Massachusetts Institute of Technology (MIT); Woods Hole Oceanographic Institution; J. Craig Venter Institute</t>
  </si>
  <si>
    <t>Saito, MA (corresponding author), Woods Hole Oceanog Inst, Dept Marine Chem &amp; Geochem, Woods Hole, MA 02543 USA.</t>
  </si>
  <si>
    <t>mak@whoi.edu</t>
  </si>
  <si>
    <t>Allen, Andrew E/C-4896-2012; McIlvin, Matthew/ABB-4762-2020; Saito, Mak/ADT-4986-2022</t>
  </si>
  <si>
    <t>Allen, Andrew E/0000-0001-5911-6081;</t>
  </si>
  <si>
    <t>National Science Foundation (NSF) [0732665, 1103503, 0732822]; NSF Division of Ocean Science [0752291, 0928414, 1031271]; Gordon and Betty Moore Foundation; Center for Microbial Oceanography Research and Education; NSF [2007037200]; Environmental Protection Agency Science To Achieve Results (EPA-STAR) [F6E720324]; Directorate For Geosciences; Division Of Ocean Sciences [1260233] Funding Source: National Science Foundation; Division Of Ocean Sciences; Directorate For Geosciences [0928414, 1031271, 0752291] Funding Source: National Science Foundation; Office of Polar Programs (OPP); Directorate For Geosciences [1103503] Funding Source: National Science Foundation</t>
  </si>
  <si>
    <t>National Science Foundation (NSF)(National Science Foundation (NSF)); NSF Division of Ocean Science; Gordon and Betty Moore Foundation(Gordon and Betty Moore Foundation); Center for Microbial Oceanography Research and Education; NSF(National Science Foundation (NSF)); Environmental Protection Agency Science To Achieve Results (EPA-STAR); Directorate For Geosciences; Division Of Ocean 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</si>
  <si>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We thank Jeff McQuaid and Abigail Noble for field sampling efforts, and we acknowledge Chris Dupont, Cathy Drennan, Sonya Dyhrman, Dianne Newman, and Ben Van Mooy for helpful discussions. We thank two anonymous reviewers for their helpful insights. This work was supported by National Science Foundation (NSF) Antarctic Sciences awards 0732665, 1103503, and 0732822; NSF Division of Ocean Science awards 0752291, 0928414, and 1031271; The Gordon and Betty Moore Foundation; Center for Microbial Oceanography Research and Education; an NSF Graduate Research Fellowship (2007037200); and an Environmental Protection Agency Science To Achieve Results (EPA-STAR) Fellowship to E. M. B. (F6E720324).</t>
  </si>
  <si>
    <t>0024-3590</t>
  </si>
  <si>
    <t>1939-5590</t>
  </si>
  <si>
    <t>LIMNOL OCEANOGR</t>
  </si>
  <si>
    <t>Limnol. Oceanogr.</t>
  </si>
  <si>
    <t>10.4319/lo.2013.58.4.1431</t>
  </si>
  <si>
    <t>Limnology; Oceanography</t>
  </si>
  <si>
    <t>Marine &amp; Freshwater Biology; Oceanography</t>
  </si>
  <si>
    <t>192VJ</t>
  </si>
  <si>
    <t>WOS:000322514600023</t>
  </si>
  <si>
    <t>Guo, CQ; Ochyra, R; Wu, PC; Seppelt, RD; Yao, YF; Bian, LG; Li, SP; Li, CS</t>
  </si>
  <si>
    <t>Guo, Cai-Qing; Ochyra, Ryszard; Wu, Peng-Cheng; Seppelt, Rodney D.; Yao, Yi-Feng; Bian, Lin-Gen; Li, Su-Ping; Li, Cheng-Sen</t>
  </si>
  <si>
    <t>Warnstorfia exannulata, an aquatic moss in the Arctic: seasonal growth responses</t>
  </si>
  <si>
    <t>CLIMATIC CHANGE</t>
  </si>
  <si>
    <t>LAKE; TEMPERATURE; MORPHOLOGY; SVALBARD; BRANCH; PLANTS; TUNDRA; MUSCI; AIR</t>
  </si>
  <si>
    <t>The moss, Warnstorfia exannulata (Schimp.) Loeske, was first reported forming a carpet beside a water pool in Ny-Alesund (78 degrees 56'N), Svalbard in 1959. Fifty years later, in 2008, it was found growing as an aquatic in a pool. The moss is sensitive to seasonal changes and exhibits a pattern of seasonal growth: summer stems with densely arranged leaves and lateral branches, and winter growth with short-leaved stems and no lateral branch. The mean daily increase in stem length is 0.68 mm in summer and 0.07 mm in winter. The longest specimens were up to 8 years old. The growth of the moss reflects closely seasonal temperature and growth conditions. World distribution is discussed and global distribution mapped.</t>
  </si>
  <si>
    <t>[Guo, Cai-Qing; Wu, Peng-Cheng; Yao, Yi-Feng; Li, Cheng-Sen] Chinese Acad Sci, Inst Bot, State Key Lab Systemat &amp; Evolutionary Bot, Beijing 100093, Peoples R China; [Ochyra, Ryszard] Polish Acad Sci, Inst Bot, PL-31512 Krakow, Poland; [Seppelt, Rodney D.] Australian Antarctic Div, Kingston, Tas 7050, Australia; [Bian, Lin-Gen] Chinese Acad Meteorol Sci, Beijing 100081, Peoples R China; [Li, Su-Ping] Chinese Acad Geol Sci, Inst Geol, Beijing 100037, Peoples R China</t>
  </si>
  <si>
    <t>Chinese Academy of Sciences; Institute of Botany, CAS; Polish Academy of Sciences; Australian Antarctic Division; China Meteorological Administration; Chinese Academy of Meteorological Sciences (CAMS); China Geological Survey; Institute of Geology, Chinese Academy of Geological Sciences; Chinese Academy of Geological Sciences</t>
  </si>
  <si>
    <t>Li, CS (corresponding author), Chinese Acad Sci, Inst Bot, State Key Lab Systemat &amp; Evolutionary Bot, Beijing 100093, Peoples R China.</t>
  </si>
  <si>
    <t>lics@ibcas.ac.cn</t>
  </si>
  <si>
    <t>Ochyra, Ryszard/0000-0002-2541-0722</t>
  </si>
  <si>
    <t>International Cooperation Project of Chinese Arctic and Antarctic Administration [IC 201103]; Innovation Key Program of the Chinese Academy of Sciences [KSCX2-EW-J-1]; National Natural Science Foundation of China [41271222]</t>
  </si>
  <si>
    <t>International Cooperation Project of Chinese Arctic and Antarctic Administration; Innovation Key Program of the Chinese Academy of Sciences; National Natural Science Foundation of China(National Natural Science Foundation of China (NSFC))</t>
  </si>
  <si>
    <t>We wish to express our sincere gratitude to the Chinese Arctic and Antarctic Administration, the State Oceanic Administration of China. Many thanks also to the members of the 5th Chinese Antarctic Scientific Expedition teams for their help during the field work. We would like to thank Halina Bednarek-Ochyra for providing the drawings of the leaves. This study was supported by the International Cooperation Project of Chinese Arctic and Antarctic Administration (No. IC 201103), the Innovation Key Program of the Chinese Academy of Sciences (No. KSCX2-EW-J-1) and the National Natural Science Foundation of China (No. 41271222).</t>
  </si>
  <si>
    <t>0165-0009</t>
  </si>
  <si>
    <t>1573-1480</t>
  </si>
  <si>
    <t>Clim. Change</t>
  </si>
  <si>
    <t>10.1007/s10584-013-0724-5</t>
  </si>
  <si>
    <t>Environmental Sciences; Meteorology &amp; Atmospheric Sciences</t>
  </si>
  <si>
    <t>Environmental Sciences &amp; Ecology; Meteorology &amp; Atmospheric Sciences</t>
  </si>
  <si>
    <t>185GM</t>
  </si>
  <si>
    <t>WOS:000321955100015</t>
  </si>
  <si>
    <t>Verbitsky, J</t>
  </si>
  <si>
    <t>Verbitsky, Jane</t>
  </si>
  <si>
    <t>Antarctic tourism management and regulation: the need for change</t>
  </si>
  <si>
    <t>POLAR RECORD</t>
  </si>
  <si>
    <t>QUESTION; SCIENCE</t>
  </si>
  <si>
    <t>Antarctic tourism has experienced a boom period over the last thirty years. Beginning in the 1980s, the number of tourists who visited the continent annually began to rise sharply, and within the space of twenty years the numbers had increased by more than six hundred percent. Despite a global recession and downturn in visitor numbers over the last two austral seasons, the expectation is that Antarctic tourist numbers will trend upward again as the world tourism market recovers and the demand for Antarctic visits increases. In a continent renowned both as the last great global wilderness and as a place dedicated to scientific research in the interests of humankind, tourism on this scale presents a formidable range of issues for the Antarctic Treaty Consultative Parties (ATCPs) to contend with. This article suggests that the rapid growth in Antarctic tourism, and the impacts of that tourism coupled with the lack of a comprehensive regulatory and management framework for tourism now pose a considerable challenge to both the Consultative Parties and to the Antarctic Treaty System (ATS) itself. The obligations and duties of the ATCPs under the Antarctic Treaty and other ATS instruments require a robust, strategic response by them to the issues and concerns generated by the growth of tourism. What is needed, it is argued, is for the parties to initiate a more interventionist pro-active policy approach to create a holistic, binding tourism framework so that they may fulfill more effectively their stewardship and governance roles in Antarctica, prevent degradation of Antarctica's environment, and reduce risks to tourists themselves.</t>
  </si>
  <si>
    <t>AUT Univ, Dept Social Sci, Auckland 1020, New Zealand</t>
  </si>
  <si>
    <t>Auckland University of Technology</t>
  </si>
  <si>
    <t>Verbitsky, J (corresponding author), AUT Univ, Dept Social Sci, Private Bag 92006, Auckland 1020, New Zealand.</t>
  </si>
  <si>
    <t>jane.verbitsky@aut.ac.nz</t>
  </si>
  <si>
    <t>0032-2474</t>
  </si>
  <si>
    <t>1475-3057</t>
  </si>
  <si>
    <t>POLAR REC</t>
  </si>
  <si>
    <t>POLAR REC.</t>
  </si>
  <si>
    <t>10.1017/S003224741200071X</t>
  </si>
  <si>
    <t>Science Citation Index Expanded (SCI-EXPANDED); Social Science Citation Index (SSCI)</t>
  </si>
  <si>
    <t>181QY</t>
  </si>
  <si>
    <t>WOS:000321684800010</t>
  </si>
  <si>
    <t>Fedchuk, A</t>
  </si>
  <si>
    <t>Fedchuk, Andrii</t>
  </si>
  <si>
    <t>The development of tourism at Faraday/Vernadsky station: changes in governance and visitor patterns</t>
  </si>
  <si>
    <t>This study examines the change in visitor pattern since 1968 at the Ukrainian Vernadsky station (formerly the British Faraday station), one of the most popular Antarctic research stations that support non-governmental visits. The station became one of the major tourist destinations as a result of the revision of tourism policy following the transfer of the station from the UK to Ukraine in 1996. Since then a considerable increase in the number of both cruise ships and yacht visits have been observed. The longest time series of data on non-governmental activity at a research station in Antarctica has been collected from 1968 to 2010. This study examines site-specific guidelines at the station and indicates policies for better visitor management within the Antarctic Treaty System.</t>
  </si>
  <si>
    <t>Natl Antarctic Sci Ctr, UA-01601 Kiev, Ukraine</t>
  </si>
  <si>
    <t>Ministry of Education &amp; Science of Ukraine; State Institution National Antarctic Scientific Center</t>
  </si>
  <si>
    <t>Fedchuk, A (corresponding author), Natl Antarctic Sci Ctr, 16 Tarasa Shevchenko Blvd, UA-01601 Kiev, Ukraine.</t>
  </si>
  <si>
    <t>andriyf@gmail.com</t>
  </si>
  <si>
    <t>Fedchuk, Andrii/R-6472-2017</t>
  </si>
  <si>
    <t>Fedchuk, Andrii/0000-0003-4719-8133</t>
  </si>
  <si>
    <t>10.1017/S0032247412000599</t>
  </si>
  <si>
    <t>WOS:000321684800011</t>
  </si>
  <si>
    <t>Lucas, A; Leane, E</t>
  </si>
  <si>
    <t>Lucas, Anna; Leane, Elizabeth</t>
  </si>
  <si>
    <t>Two pages of Xavier Mertz's missing Antarctic diary: a contextualization and reconstruction</t>
  </si>
  <si>
    <t>Douglas Mawson's Australasian Antarctic Expedition (1911-1914) has been portrayed in various narratives, usually with a focus on the Far-Eastern Sledging Journey from which Mawson made the epic trek back to the main base at Cape Denison alone, after the deaths of his companions, Xavier Mertz and Belgrave Ninnis. His is the sole eyewitness account of that sledging journey in 1912-1913, except for two handwritten pages of Mertz's diary, reproduced in Mawson's The home of the blizzard; two typed, imperfect copies of the diary, transcribed before it disappeared; and another transcript of the two pages published in the German edition of Mawson's book. This article traces the early journey of that missing diary and, drawing also on the available transcripts, re-interprets the content of those two pages. The content is compared with corresponding passages in associated documents and the subjectivity and limitations of these documents, when consulted for research purposes, are discussed.</t>
  </si>
  <si>
    <t>[Lucas, Anna; Leane, Elizabeth] Univ Tasmania, Sch English Journalism &amp; European Languages, Hobart, Tas 7001, Australia</t>
  </si>
  <si>
    <t>Lucas, A (corresponding author), Univ Tasmania, Sch English Journalism &amp; European Languages, Private Bag 82, Hobart, Tas 7001, Australia.</t>
  </si>
  <si>
    <t>anna.lucas@utas.edu.au</t>
  </si>
  <si>
    <t>Leane, Elizabeth M/J-7138-2014</t>
  </si>
  <si>
    <t>Leane, Elizabeth/0000-0002-7954-6529</t>
  </si>
  <si>
    <t>10.1017/S0032247412000460</t>
  </si>
  <si>
    <t>WOS:000321684800013</t>
  </si>
  <si>
    <t>Shibata, Y; Matsuishi, T; Murase, H; Matsuoka, K; Hakamada, T; Kitakado, T; Matsuda, H</t>
  </si>
  <si>
    <t>Shibata, Yasutoki; Matsuishi, Takashi; Murase, Hiroto; Matsuoka, Koji; Hakamada, Takashi; Kitakado, Toshihide; Matsuda, Hiroyuki</t>
  </si>
  <si>
    <t>Effects of stratification and misspecification of covariates on species distribution models for abundance estimation from virtual line transect survey data</t>
  </si>
  <si>
    <t>FISHERIES SCIENCE</t>
  </si>
  <si>
    <t>Antarctic minke whale; Line transect estimator; Measurement performance of estimators; Statistical model; Stratification of survey region</t>
  </si>
  <si>
    <t>SPATIAL MODELS</t>
  </si>
  <si>
    <t>The aim of this study was to examine the effects of stratification of the survey region on the performance of species distribution models (SDMs) described by generalized linear models or generalized additive models when estimating school abundance by using a line transect survey. True covariates that define spatial school distribution are not always obtainable explanatory variables. When the true covariates differ from explanatory variables in the model, the explanatory variables are determined to be misspecified. We evaluated the performance of SDMs in abundance estimation with misspecified covariates by using dummy datasets for which the true abundance was known. Simulated replicates of spatial distributions of a whale school and sighting data were generated from possible scenarios motivated by the spatial school distribution of Antarctic minke whales Balaenoptera bonaerensis. This distribution was obtained from the Japanese Whale Research Program under Special Permit in the Antarctic. Our results showed that the relative bias of the abundance estimators was large when covariates were misspecified and a survey region was stratified. Although stratification of the survey region is intended to produce a conventional line transect estimator with a smaller variance than that of non-stratified survey region, it also acts to increase the bias of the abundance estimate obtained from SDMs.</t>
  </si>
  <si>
    <t>[Shibata, Yasutoki; Matsuda, Hiroyuki] Yokohama Natl Univ, Grad Sch Environm &amp; Informat Sci, Hodogaya Ku, Yokohama, Kanagawa 2408501, Japan; [Matsuishi, Takashi] Hokkaido Univ, Fac Fisheries Sci, Hakodate, Hokkaido 0418611, Japan; [Murase, Hiroto] Natl Res Inst Far Seas Fisheries, Kanazawa Ku, Yokohama, Kanagawa 2368648, Japan; [Matsuoka, Koji; Hakamada, Takashi] Inst Cetacean Res, Chuo Ku, Tokyo 1040055, Japan; [Kitakado, Toshihide] Tokyo Univ Marine Sci &amp; Technol, Grad Sch Marine Sci &amp; Technol, Minato Ku, Tokyo 1088477, Japan</t>
  </si>
  <si>
    <t>Yokohama National University; Hokkaido University; Japan Fisheries Research &amp; Education Agency (FRA); Tokyo University of Marine Science &amp; Technology</t>
  </si>
  <si>
    <t>Shibata, Y (corresponding author), Fisheries Res Agcy, Hachinohe Lab, Tohoku Natl Fisheries Res Inst, 25-259 Shimomekurakubo,Same Machi, Aomori 0310841, Japan.</t>
  </si>
  <si>
    <t>shibata-yasutoki-hn@ynu.ac.jp</t>
  </si>
  <si>
    <t>Murase, Hiroto/W-3556-2019; Kitakado, Toshihide/O-1944-2014; MATSUISHI, Takashi Fritz/C-7005-2012</t>
  </si>
  <si>
    <t>Murase, Hiroto/0000-0001-7784-6555; MATSUISHI, Takashi Fritz/0000-0003-0884-3523</t>
  </si>
  <si>
    <t>JSPS [10002451]; Global COE by MEXT [E-03]; [201103934]; Grants-in-Aid for Scientific Research [25281008] Funding Source: KAKEN</t>
  </si>
  <si>
    <t>JSPS(Ministry of Education, Culture, Sports, Science and Technology, Japan (MEXT)Japan Society for the Promotion of Science); Global COE by MEXT; ; Grants-in-Aid for Scientific Research(Ministry of Education, Culture, Sports, Science and Technology, Japan (MEXT)Japan Society for the Promotion of ScienceGrants-in-Aid for Scientific Research (KAKENHI))</t>
  </si>
  <si>
    <t>We are grateful to all those who contributed to the collection of cetacean sighting and oceanographic data. We would like to thank members of the Center for Research in Ecological and Environmental Modeling and the School of Mathematics and Statistics at the University of St. Andrews, members of our laboratory, the Center for Ocean Studies and Integrated Education of Yokohama National University, and anonymous reviewers. This work was supported by Grant-in-Aid for JSPS Fellows 201103934 to Y.S., a JSPS grant (10002451), and the Global COE (E-03) by MEXT to H.M. Special thanks to James Lawrence for improving the language of the manuscript.</t>
  </si>
  <si>
    <t>SPRINGER JAPAN KK</t>
  </si>
  <si>
    <t>SHIROYAMA TRUST TOWER 5F, 4-3-1 TORANOMON, MINATO-KU, TOKYO, 105-6005, JAPAN</t>
  </si>
  <si>
    <t>0919-9268</t>
  </si>
  <si>
    <t>1444-2906</t>
  </si>
  <si>
    <t>FISHERIES SCI</t>
  </si>
  <si>
    <t>Fish. Sci.</t>
  </si>
  <si>
    <t>10.1007/s12562-013-0634-5</t>
  </si>
  <si>
    <t>185YT</t>
  </si>
  <si>
    <t>WOS:000322008300003</t>
  </si>
  <si>
    <t>Myung, G; Kim, HS; Park, JW; Park, JS; Yih, W</t>
  </si>
  <si>
    <t>Myung, Geumog; Kim, Hyung S.; Park, Jong Woo; Park, Jong Soo; Yih, Wonho</t>
  </si>
  <si>
    <t>Sequestered plastids in Mesodinium rubrum are functionally active up to 80 days of phototrophic growth without cryptomonad prey</t>
  </si>
  <si>
    <t>HARMFUL ALGAE</t>
  </si>
  <si>
    <t>Mesodinium rubrum; Phototrophic growth; Photosynthetic capacity; PCR product; Plastid genes</t>
  </si>
  <si>
    <t>CILIATE MYRIONECTA-RUBRA; RED-WATER; CHLOROPHYLL FLUORESCENCE; DINOPHYSIS-CAUDATA; ANTARCTIC LAKES; ALGAE; PHYTOPLANKTON; CILIOPHORA; SURVIVAL; ORIGIN</t>
  </si>
  <si>
    <t>The red tide ciliate Mesodinium rubrum is an obligate mixotroph which requires feeding on cryptomonad prey mainly to retain its photosynthetic apparatus. Functionality of the sequestered plastids has been known to be lowered within a few weeks. The upper limit of the functionally active duration for the newly retained plastid, however, has been rarely estimated or determined. In parallel with genetic analysis, we investigated dynamics of population density, orange fluorescence of the plastids, and DCMU ((3-(3,4-dichlorophenyl)-1,1-dimethylurea) photosynthetic capacity of phototrophically growing M. rubrum (strain MR-MAL01) for 100 days. M. rubrum populations continued their phototrophic growth for the first 6 weeks, with gradually decreasing growth rates. Rapid decline of population density began from the 8th week. The photosynthetic capacity remained quite stable, ranging from 0.7 during the 1st week down to 0.5 during the 11th week. On day 87, the photosynthetic capacity steeply decreased to 0.05. The orange fluorescence of the retained plastids became very weak during the 4th week, to be almost undetectable on day 98. Only plastid 16S rRNA gene kept strong band intensity of PCR products throughout the whole period of 100 day experiment. Interestingly, the band intensities from psaA and psbA genes all become dramatically weakened after day 77. After new prey cryptomonads (strain CR-MAL03) were offered to M. rubrum starved for 80 days, 'CR-MAL03 type' 1192-bp PCR product of plastid 16S rRNA gene was detected in most experimental single M. rubrum cells. Here, we demonstrate that M. rubrum can grow for similar to 6 weeks in the absence of cryptomonad prey, and photosynthetic capacity of M. rubrum can be maintained active for 11 weeks without prey. Additionally, M. rubrum starved for 80 days was shown to be physiologically healthy enough to ingest cryptomonad preys and retain new plastids. (C) 2013 Elsevier B.V. All rights reserved.</t>
  </si>
  <si>
    <t>[Myung, Geumog; Yih, Wonho] Kunsan Natl Univ, Dept Oceanog, Kunsan 573701, South Korea; [Kim, Hyung S.] Kunsan Natl Univ, Dept Marine Biotechnol, Kunsan 573701, South Korea; [Park, Jong Woo] Natl Fisheries Res &amp; Dev Inst, Fishery &amp; Ocean Informat Div, Pusan 619705, South Korea; [Park, Jong Soo] Kyungpook Natl Univ, Dept Oceanog, Sangju 742711, South Korea</t>
  </si>
  <si>
    <t>Kunsan National University; Kunsan National University; Kyungpook National University</t>
  </si>
  <si>
    <t>Yih, W (corresponding author), Kunsan Natl Univ, Dept Oceanog, San 68, Kunsan 573701, South Korea.</t>
  </si>
  <si>
    <t>ywonho@kunsan.ac.kr</t>
  </si>
  <si>
    <t>Park, Jun/HPH-3570-2023; Park, Jong Soo/AAJ-3576-2020</t>
  </si>
  <si>
    <t>Park, Jong Soo/0000-0001-6253-5199</t>
  </si>
  <si>
    <t>Basic Core Technology Development Program for the Oceans and the Polar Regions of National Research Foundation of Korea [M1A5A1]; Ministry of Land, Transport and Maritime Affairs of Korea; Kyungpook National University Research Fund</t>
  </si>
  <si>
    <t>Basic Core Technology Development Program for the Oceans and the Polar Regions of National Research Foundation of Korea(National Research Foundation of Korea); Ministry of Land, Transport and Maritime Affairs of Korea(Ministry of Land, Transport and Maritime Affairs (MLTM), Republic of Korea); Kyungpook National University Research Fund</t>
  </si>
  <si>
    <t>This work was supported by the Basic Core Technology Development Program for the Oceans and the Polar Regions (M1A5A1) of National Research Foundation of Korea, the Long-term change of structure and function in marine ecosystems of Korea program of the Ministry of Land, Transport and Maritime Affairs of Korea, and the Kyungpook National University Research Fund.[TS]</t>
  </si>
  <si>
    <t>1568-9883</t>
  </si>
  <si>
    <t>Harmful Algae</t>
  </si>
  <si>
    <t>10.1016/j.hal.2013.05.001</t>
  </si>
  <si>
    <t>189WG</t>
  </si>
  <si>
    <t>WOS:000322298400007</t>
  </si>
  <si>
    <t>Rodrigues, AR; Eichler, PPB; Eichler, BB</t>
  </si>
  <si>
    <t>Rodrigues, Andre Rosch; Beck Eichler, Patricia Pinheiro; Eichler, Beatriz Beck</t>
  </si>
  <si>
    <t>FORAMINIFERA IN TWO INLETS FED BY A TIDEWATER GLACIER, KING GEORGE ISLAND, ANTARCTIC PENINSULA</t>
  </si>
  <si>
    <t>JOURNAL OF FORAMINIFERAL RESEARCH</t>
  </si>
  <si>
    <t>EXPLORERS COVE; MCMURDO SOUND; BENTHIC FORAMINIFERA; DEAD FORAMINIFERA; WEDDELL SEA; ICE SHELF; ASSEMBLAGES; ECOLOGY; SEDIMENTS; BAY</t>
  </si>
  <si>
    <t>Twenty-five surface-sediment samples collected from Martel and MacKellar inlets at Admiralty Bay, King George Island, South Shetland Islands, Antarctica, provided foraminiferal and environmental data to determine if the foraminiferal distribution is affected by melt water from a nearby tidal glacier and other abiotic factors, such as depth, salinity, temperature, grain size, and geochemistry. The foraminiferal assemblages in the two inlets are typical of most shallow Antarctic waters in their composition, low abundance, and low species richness. They consist of species restricted to the Antarctic (e.g., Portatrochammina antarctica, Hippocrepinella hirudinea, and Hemisphaerammina bradyi) and those that are cosmopolitan (e.g., Globocassidulina biora and G. subglobosa). Martel Inlet had the richer fauna with 26 species dominated by H. hirudinea and Psammosphaera fusca. In MacKellar Inlet the species H. bradyi was notably more abundant than in Martel Inlet. Globocassidulina biora is an opportunistic species in these variable shallow-water environments, where seasonal warming results in the discharge of glacial meltwater, producing marked fluctuations in salinity and water temperature. Thus, Globocassidulina species are useful for calibrating Recent conditions of temperature and salinity that can be applied to sub-Recent paleoenvironmental reconstruction of climate change.</t>
  </si>
  <si>
    <t>[Rodrigues, Andre Rosch; Eichler, Beatriz Beck] Univ Sao Paulo, Inst Oceanog, Dept Oceanog Geol, BR-05508900 Sao Paulo, Brazil; [Rodrigues, Andre Rosch; Eichler, Beatriz Beck] Univ Sao Paulo, Inst Oceanog, Dept Biol, BR-05508900 Sao Paulo, Brazil; [Beck Eichler, Patricia Pinheiro] Univ Fed Rio Grande do Norte, Programa Pos Grad Geofis &amp; Geodinam PPGG, Lab Geol &amp; Geofis Marinha &amp; Monitoramento Ambient, Ctr Ciencias Exatas &amp; Terra, BR-59072970 Natal, RN, Brazil</t>
  </si>
  <si>
    <t>Universidade de Sao Paulo; Universidade de Sao Paulo; Universidade Federal do Rio Grande do Norte</t>
  </si>
  <si>
    <t>Rodrigues, AR (corresponding author), Univ Sao Paulo, Inst Oceanog, Dept Oceanog Geol, BR-05508900 Sao Paulo, Brazil.</t>
  </si>
  <si>
    <t>andrerr@usp.br</t>
  </si>
  <si>
    <t>Rodrigues, Andre/D-4131-2015</t>
  </si>
  <si>
    <t>Rodrigues, Andre/0000-0003-1665-1708</t>
  </si>
  <si>
    <t>CNPq (Conselho Nacional de Pesquisa) [558472/2005-2]; PROANTAR (Brazilian Antarctic Program); Brazilian Navy; CAPES scholarship (Coordenadoria de aperfeicoamento ao pessoal de Nivel Superior)</t>
  </si>
  <si>
    <t>CNPq (Conselho Nacional de Pesquisa)(Conselho Nacional de Desenvolvimento Cientifico e Tecnologico (CNPQ)); PROANTAR (Brazilian Antarctic Program); Brazilian Navy; CAPES scholarship (Coordenadoria de aperfeicoamento ao pessoal de Nivel Superior)(Coordenacao de Aperfeicoamento de Pessoal de Nivel Superior (CAPES))</t>
  </si>
  <si>
    <t>Field and laboratory work was financially supported by CNPq (Conselho Nacional de Pesquisa, 558472/2005-2), PROANTAR (Brazilian Antarctic Program), and the Brazilian Navy. Special thanks are due to the crew of the Skua boat, particularly Cmtes. Faria and Conde, and Sgts. Casemiro and Magno, for their assistance. The principal author is especially grateful to Joao C. C. Maluf, Katia S. Jaworski, and Valquiria M. de C. Aguiar for their collection of some samples. We also thank Anail Talita P. Alves, Teresa L. Diaz, and Camila M. de Andrade for helping in the foraminiferal analysis and Drs. Charlotte Brunner, Kenneth Finger, Paul Brenckle, and Jere Lipps for their thorough and helpful comments on the manuscript. The research reported in this paper is part of the principal author's Ph.D dissertation funded by a CAPES scholarship (Coordenadoria de aperfeicoamento ao pessoal de Nivel Superior).</t>
  </si>
  <si>
    <t>CUSHMAN FOUNDATION FORAMINIFERAL RESEARCH</t>
  </si>
  <si>
    <t>PO BOX 7065, LAWRENCE, KS 66044-7065 USA</t>
  </si>
  <si>
    <t>0096-1191</t>
  </si>
  <si>
    <t>J FORAMIN RES</t>
  </si>
  <si>
    <t>J. Foraminifer. Res.</t>
  </si>
  <si>
    <t>10.2113/gsjfr.43.3.209</t>
  </si>
  <si>
    <t>Paleontology</t>
  </si>
  <si>
    <t>186ON</t>
  </si>
  <si>
    <t>WOS:000322054100001</t>
  </si>
  <si>
    <t>Alurralde, G; Torre, L; Schwindt, E; Castilla, JC; Tatián, M</t>
  </si>
  <si>
    <t>Alurralde, Gaston; Torre, Luciana; Schwindt, Evangelina; Castilla, Juan C.; Tatian, Marcos</t>
  </si>
  <si>
    <t>A re-evaluation of morphological characters of the invasive ascidian Corella eumyota reveals two different species at the tip of South America and in the South Shetland Islands, Antarctica</t>
  </si>
  <si>
    <t>POLAR BIOLOGY</t>
  </si>
  <si>
    <t>Ascidian; Corella eumyota; Corella antarctica; Morphology; Multivariate analysis; South America; Antarctica; Invasions</t>
  </si>
  <si>
    <t>POTTER COVE; SEA SQUIRT; POPULATIONS; DISPERSAL; TUNICATA; HARBORS; ECTOTHERMS; TEMPERATE; PATTERNS; ATLANTIC</t>
  </si>
  <si>
    <t>The native solitary ascidian Corella eumyota Traustedt, 1882) is commonly found in the Southern Hemisphere in the cold-temperate waters of the Subantarctic and Antarctic regions. Its recent spread into the Northern Hemisphere throughout the NE Atlantic gave the species the status of invasive. Together with its widespread distribution, reports on its wide variability (several distinct morphological characters, genetic discontinuities and also possible misidentifications) cast doubt on the taxonomic status of different populations of this species. This work, based on the observation, quantification and analysis of specific morphological characters in specimens collected at five different localities of South America and Antarctica, strongly indicates that there are two different species: C. eumyota from South America and Corella antarctica Sluiter, 1905) from Antarctica, which has been till now considered a junior synonym of the former. The species clearly differ in the arrangement of the gonadal ducts, the size of the larvae and the shape of the anus, among other characters. Morphological variation displays a defined, discrete grouping supporting a clear differentiation into two species. This result shows the need for careful inspection of specimens to avoid wrong interpretations in a context of changes of marine biota due to biological invasions.</t>
  </si>
  <si>
    <t>[Alurralde, Gaston; Tatian, Marcos] Univ Nacl Cordoba, Fac Ciencias Exactas Fis &amp; Nat, RA-5000 Cordoba, Argentina; [Alurralde, Gaston] Museo Prov Ciencias Nat Dr Arturo Umberto Illia, Cordoba, Argentina; [Torre, Luciana; Tatian, Marcos] Univ Nacl Cordoba, Inst Diversidad &amp; Ecol Anim IDEA, Consejo Nacl Invest Cient &amp; Tecn CONICET, RA-5000 Cordoba, Argentina; [Schwindt, Evangelina] Ctr Nacl Patagon CENPAT, Consejo Nacl Invest Cient &amp; Tecn CONICET, Puerto Madryn, Argentina; [Castilla, Juan C.] Pontificia Univ Catolica Chile, FC Biol, Nucleo Milenio Conservac Marina, Santiago, Chile</t>
  </si>
  <si>
    <t>National University of Cordoba; National University of Cordoba; Consejo Nacional de Investigaciones Cientificas y Tecnicas (CONICET); Consejo Nacional de Investigaciones Cientificas y Tecnicas (CONICET); Centro Nacional Patagonico (CENPAT); Pontificia Universidad Catolica de Chile</t>
  </si>
  <si>
    <t>Alurralde, G (corresponding author), Univ Nacl Cordoba, Fac Ciencias Exactas Fis &amp; Nat, Av Velez Sarsfield 299,X5000JJC, RA-5000 Cordoba, Argentina.</t>
  </si>
  <si>
    <t>mitocondriarevelde@gmail.com</t>
  </si>
  <si>
    <t>Alurralde, Gastón/IVV-4732-2023</t>
  </si>
  <si>
    <t>Alurralde, Gastón/0000-0002-0332-3978; Torre, Luciana/0000-0002-2090-1258; Schwindt, Evangelina/0000-0001-6693-9828; Tatian, Marcos/0000-0002-9092-9184</t>
  </si>
  <si>
    <t>Consejo Nacional de Investigaciones Cientificas y Tecnicas (CONICET); Direccion Nacional del Antartico (DNA)/Instituto Antartico Argentino (IAA); Universidad Nacional de Cordoba (UNC); PICTO [2010-0019]; PIP CONICET [11220100100089]; SECyT [05/I602]; Universidad Nacional de Cordoba; ECLIPSE (Total Foundation); PICT [20621]; Proyecto ARG/PNUD [ARG 02/018 Subproyecto AB-54]; TWAS; CONICET</t>
  </si>
  <si>
    <t>Consejo Nacional de Investigaciones Cientificas y Tecnicas (CONICET)(Consejo Nacional de Investigaciones Cientificas y Tecnicas (CONICET)); Direccion Nacional del Antartico (DNA)/Instituto Antartico Argentino (IAA); Universidad Nacional de Cordoba (UNC); PICTO; PIP CONICET(Consejo Nacional de Investigaciones Cientificas y Tecnicas (CONICET)); SECyT(Secretaria de Ciencia y Tecnologia (SECYT)); Universidad Nacional de Cordoba; ECLIPSE (Total Foundation); PICT(ANPCyT); Proyecto ARG/PNUD; TWAS; CONICET(Consejo Nacional de Investigaciones Cientificas y Tecnicas (CONICET))</t>
  </si>
  <si>
    <t>The authors want to thank Dr. Gretchen Lambert for her kind help and valuable advice on gonadal duct observation, and through her to Dr. Claus Nielsen (Rijksmuseum in Copenhagen, Denmark) for the translation, from Danish to English, of the original description of C. eumyota and also to Biol. Cristian Lagger by their dedicated and thorough review of the manuscript and valuable comments that greatly improved this work. We also thank Ward Appeltans (WoRMS) and Chilekwa Chisala (Flanders Marine Institute Library) for helping us get the original Traustedt description (1882). Finally, we thank all the reviewers whose recommendations and observations have led to a great improvement of this manuscript. This study was supported by the Consejo Nacional de Investigaciones Cientificas y Tecnicas (CONICET), Direccion Nacional del Antartico (DNA)/Instituto Antartico Argentino (IAA) and Universidad Nacional de Cordoba (UNC). This work was partially funded by PICTO 2010-0019 (ANPCyT-DNA), PIP CONICET No 11220100100089, SECyT (05/I602), Universidad Nacional de Cordoba, ECLIPSE (Total Foundation), PICT 20621 and Proyecto ARG/PNUD ARG 02/018 Subproyecto AB-54. TWAS Fellowship for Postdoctoral Research and Advanced Training and CONICET provided support to Evangelina Scwindt for the visit at the P. Universidad Catolica, Chile.</t>
  </si>
  <si>
    <t>0722-4060</t>
  </si>
  <si>
    <t>1432-2056</t>
  </si>
  <si>
    <t>POLAR BIOL</t>
  </si>
  <si>
    <t>Polar Biol.</t>
  </si>
  <si>
    <t>10.1007/s00300-013-1319-3</t>
  </si>
  <si>
    <t>185NF</t>
  </si>
  <si>
    <t>WOS:000321974900004</t>
  </si>
  <si>
    <t>Taboada, S; Wiklund, H; Glover, AG; Dahlgren, TG; Cristobo, J; Avila, C</t>
  </si>
  <si>
    <t>Taboada, Sergi; Wiklund, Helena; Glover, Adrian G.; Dahlgren, Thomas G.; Cristobo, Javier; Avila, Conxita</t>
  </si>
  <si>
    <t>Two new Antarctic Ophryotrocha (Annelida: Dorvilleidae) described from shallow-water whale bones</t>
  </si>
  <si>
    <t>Deception Island; Phylogeny; Taxonomy; Polychaeta; Organic enrichment; Bacterial mats</t>
  </si>
  <si>
    <t>MULTIPLE SEQUENCE ALIGNMENT; KING-GEORGE ISLAND; DECEPTION ISLAND; MARTEL-INLET; POLYCHAETA; FALL; MORPHOLOGY; COMMUNITY; PHYLOGENY; HABITATS</t>
  </si>
  <si>
    <t>Marine invertebrate fauna associated with whale remains has lately attracted a great deal of interest. However, very little is known about this fauna in the Southern Ocean, an area with high abundances of cetaceans. To investigate the Antarctic organisms associated with these substrates, we conducted a study using whale bones in the shallow-waters of Deception Island (South Shetland Islands). In this paper, we describe two new species of Ophryotrocha (O. orensanzi sp. nov. and O. clava sp. nov.) from a minke whale (Balaenoptera acutorostrata) fresh caudal vertebra experimentally deployed for about a year and from an unknown whale vertebra presumably dating back to the early twentieth century whaling operations. Ophryotrocha clava sp. nov., found in relative high abundance in the fresh bone, is hypothesized to be an opportunistic species in the context of Antarctic shallow-water organically enriched environments. Ophryotrocha orensanzi sp. nov. appears to be the same species as the unnamed Palpiphitime sp., near lobifera, formerly reported from a nearby area. Phylogenetic analyses based on the nuclear gene H3 and the mitochondrial genes COI and 16S, using MrBayes and Maximum Likelihood analyses, show that O. clava sp. nov. is close to Iphitime hartmanae and is included in the 'hartmanni' clade, while O. orensanzi sp. nov. falls in the 'lobifera' clade. Remarks about their feeding preferences and ecology are also given. Our findings seem to suggest that members of the genus Ophryotrocha are important components of organically enriched Southern Ocean environments, as has been reported for this clade in other geographic areas.</t>
  </si>
  <si>
    <t>[Taboada, Sergi; Avila, Conxita] Univ Barcelona, Fac Biol, Dept Biol Anim, E-08028 Barcelona, Spain; [Wiklund, Helena; Glover, Adrian G.] Nat Hist Museum, Dept Life Sci, London SW7 5BD, England; [Dahlgren, Thomas G.] Uni Res Uni Environm, N-5006 Bergen, Norway; [Cristobo, Javier] Ctr Oceanog Gijon, Inst Espanol Oceanog, Gijon 33212, Spain</t>
  </si>
  <si>
    <t>University of Barcelona; Natural History Museum London; Spanish Institute of Oceanography</t>
  </si>
  <si>
    <t>Taboada, S (corresponding author), Univ Barcelona, Fac Biol, Dept Biol Anim, Avda Diagonal 643, E-08028 Barcelona, Spain.</t>
  </si>
  <si>
    <t>staboada@ub.edu</t>
  </si>
  <si>
    <t>Avila, Conxita/B-9466-2008; Cristobo, Javier/M-1949-2014; Dahlgren, Thomas/X-6610-2019; Taboada, Sergi/AAB-9390-2021</t>
  </si>
  <si>
    <t>Avila, Conxita/0000-0002-5489-8376; Dahlgren, Thomas/0000-0001-6854-2031; Taboada, Sergi/0000-0003-1669-1152; Wiklund, Helena/0000-0002-8252-3504</t>
  </si>
  <si>
    <t>European Community Research Infrastructure Action under the FP7 Integrating Activities Programme; Ministry of Science and Innovation of Spain [CGL2007-65453/ANT, CTM2008-03135-E/ANT]; Banco Popular; EU Marie-Curie People Action</t>
  </si>
  <si>
    <t>European Community Research Infrastructure Action under the FP7 Integrating Activities Programme; Ministry of Science and Innovation of Spain(Spanish Government); Banco Popular; EU Marie-Curie People Action(European Union (EU))</t>
  </si>
  <si>
    <t>We are deeply obliged to the 'Gabriel de Castilla' Antarctic Spanish Base crew of the 2008-09 and 2009-2010 seasons for their unconditional help during deployment and recovery of the experiment. Special thanks are given to L. Laria (CEPESMA) who kindly provided the fresh whale vertebra. Thanks are also due to UTM for lending the telecommand unit used during the experiment. Many persons helped during the work and its previous planning, and we must mention O. Moreno, M. Taboada, E. Bordallo, and J.M. Fernandez, and our colleagues A. Riesgo, J. Gil, and R. Sarda. We are more than grateful to our ACTIQUIM project colleagues L. Nunez, B. Figuerola, and J. Vazquez. We would also like to thank the members of the Giribet lab (Harvard University), who helped during the genetic work, especially G. Giribet, A. Riesgo, M. Novo, and S. Andrade. We should also mention B. Ebbe and the rest of the participants and assistants to the SOAP workshop (Southern Ocean Annelid Project: International Workshop on Southern Ocean Polychaete Taxonomy). Three anonymous reviewers are greatly acknowledged for their comments on the paper. This research received support from the SYNTHESYS Project http://www.synthesys.info/ which is financed by the European Community Research Infrastructure Action under the FP7 Integrating Activities Programme, from the Ministry of Science and Innovation of Spain, through the research projects ACTIQUIM (CGL2007-65453/ANT) and ACTIQUIWHALES (CTM2008-03135-E/ANT), as well as the from Banco Popular. Financial support for H. Wiklund was obtained from the EU Marie-Curie People Action.</t>
  </si>
  <si>
    <t>10.1007/s00300-013-1326-4</t>
  </si>
  <si>
    <t>WOS:000321974900010</t>
  </si>
  <si>
    <t>Wang, CX; Lan, J; Wang, G</t>
  </si>
  <si>
    <t>Wang Caixia; Lan Jian; Wang Gang</t>
  </si>
  <si>
    <t>Climatology and seasonal variability of the Mindanao Undercurrent based on OFES data</t>
  </si>
  <si>
    <t>ACTA OCEANOLOGICA SINICA</t>
  </si>
  <si>
    <t>Mindanao Undercurrent; southern Pacific tropical water; Antarctic intermediate water</t>
  </si>
  <si>
    <t>CHINA SEA THROUGHFLOW; WATER MASS-DISTRIBUTION; INDONESIAN THROUGHFLOW; PACIFIC; CIRCULATION</t>
  </si>
  <si>
    <t>The simulation of an ocean general circulation model for the earth simulator (OFES) is transformed to an isopycnal coordinate to investigate the spatial structure and seasonal variability of the Mindanao Undercurrent (MUC). The results show that (1) potential density surfaces, sigma(0) = 26.5 and sigma(0) = 27.5, can be chosen to encompass the MUC layer. Southern Pacific tropical water (SPTW), Antarctic Intermediate Water (AAIW) and high potential density water (HPDW) constitute the MUC. (2) Climatologically, the MUC exists in the form of dual-core. In some months, the dual-core structure changes to a single-core structure. (3) Choosing section at 8 degrees N for calculating the transport of the MUC transport is reliable. Potential density constraint provides a good method for calculating the transport of the MUC. (4) The annual mean transport of the MUC is 8.34 x 10(6) m(3)/s and varies considerably with seasons: stronger in late spring and weaker in winter.</t>
  </si>
  <si>
    <t>[Wang Caixia; Lan Jian; Wang Gang] Ocean Univ China, Coll Phys &amp; Environm Oceanog, Qingdao 266100, Peoples R China; [Lan Jian] Ocean Univ China, Phys Oceanog Lab, Qingdao 266100, Peoples R China</t>
  </si>
  <si>
    <t>Ocean University of China; Ocean University of China</t>
  </si>
  <si>
    <t>Lan, J (corresponding author), Ocean Univ China, Coll Phys &amp; Environm Oceanog, Qingdao 266100, Peoples R China.</t>
  </si>
  <si>
    <t>lanjian@ouc.edu.cn</t>
  </si>
  <si>
    <t>National Natural Science Foundation of China [40890152, 41221063, 41130859]; National Basic Research Program of China [2012CB417404]</t>
  </si>
  <si>
    <t>National Natural Science Foundation of China(National Natural Science Foundation of China (NSFC)); National Basic Research Program of China(National Basic Research Program of China)</t>
  </si>
  <si>
    <t>Foundation item: The Major Project of the National Natural Science Foundation of China under contract No. 40890152; the National Basic Research Program of China under contract No. 2012CB417404; National Natural Science Foundation of China under contract Nos 41221063 and 41130859.</t>
  </si>
  <si>
    <t>0253-505X</t>
  </si>
  <si>
    <t>1869-1099</t>
  </si>
  <si>
    <t>ACTA OCEANOL SIN</t>
  </si>
  <si>
    <t>Acta Oceanol. Sin.</t>
  </si>
  <si>
    <t>10.1007/s13131-013-0327-z</t>
  </si>
  <si>
    <t>183IL</t>
  </si>
  <si>
    <t>WOS:000321808000003</t>
  </si>
  <si>
    <t>Voigt, I; Henrich, R; Preu, BM; Piola, AR; Hanebuth, TJJ; Schwenk, T; Chiessi, CM</t>
  </si>
  <si>
    <t>Voigt, Ines; Henrich, Ruediger; Preu, Benedict M.; Piola, Alberto R.; Hanebuth, Till J. J.; Schwenk, Tilmann; Chiessi, Cristiano M.</t>
  </si>
  <si>
    <t>A submarine canyon as a climate archive - Interaction of the Antarctic Intermediate Water with the Mar del Plata Canyon (Southwest Atlantic)</t>
  </si>
  <si>
    <t>MARINE GEOLOGY</t>
  </si>
  <si>
    <t>Southwest Atlantic; Antarctic Intermediate Water; Drift deposition; Submarine Canyon; El Nitio/Southern Oscillation (ENSO)</t>
  </si>
  <si>
    <t>ABRUPT CHANGES; CHLOROPHYLL-A; CIRCULATION; SHELF; VARIABILITY; ACCUMULATION; CALIBRATION; CURRENTS; OUTFLOW; CADIZ</t>
  </si>
  <si>
    <t>The Mar del Plata Canyon is located at the continental margin off northern Argentina in a key intermediate and deep-water oceanographic setting. In this region, strong contour currents shape the continental margin by eroding, transporting and depositing sediments. These currents generate various depositional and erosive features which together are described as a Contourite Depositional System (CDS). The Mar del Plata Canyon intersects the CDS, and does not have any obvious connection to the shelf or to an onshore sediment source. Here we present the sedimentary processes that act in the canyon and show that continuous Holocene sedimentation is related to intermediate-water current activity. The Holocene deposits in the canyon are strongly bioturbated and consist mainly of the terrigenous sortable silt fraction (10-63 mu m) without primary structures, similarly to drift deposits. We propose that the Mar del Plata Canyon interacts with an intermediate-depth nepheloid layer generated by the northward-flowing Antarctic Intermediate Water (AAIW). This interaction results in rapid and continuous deposition of coarse silt sediments inside the canyon with an average sedimentation rate of 160 cm/kyr during the Holocene. We conclude that the presence of the Mar del Plata Canyon decreases the transport capacity of AAIW, in particular of its deepest portion that is associated with the nepheloid layer, which in turn generates a change in the contourite deposition pattern around the canyon. Since sedimentation processes in the Mar del Plata Canyon indicate a response to changes of AAIW contour-current strength related to Late Glacial/Holocene variability, the sediments deposited within the canyon are a great climate archive for paleoceanographic reconstructions. Moreover, an additional involvement of (hemi) pelagic sediments indicates episodic productivity events in response to changes in upper ocean circulation possibly associated with Holocene changes in intensity of El Nifio/Southem Oscillation. (C) 2013 Elsevier B.V. All rights reserved.</t>
  </si>
  <si>
    <t>[Voigt, Ines; Henrich, Ruediger; Preu, Benedict M.; Hanebuth, Till J. J.; Schwenk, Tilmann] Univ Bremen, MARUM Ctr Marine Environm Sci, D-28203 Bremen, Germany; [Henrich, Ruediger; Schwenk, Tilmann] Univ Bremen, Fac Geosci, D-28203 Bremen, Germany; [Piola, Alberto R.] SHN, Buenos Aires, DF, Argentina; [Piola, Alberto R.] Univ Buenos Aires, FCEN, Dept Ciencias Atmosfera &amp; Oceanos, RA-1053 Buenos Aires, DF, Argentina; [Piola, Alberto R.] Consejo Nacl Invest Cient &amp; Tecn, Inst Francoargentino Estudios Clima &amp; Impactos, CNRS, RA-1033 Buenos Aires, DF, Argentina; [Chiessi, Cristiano M.] Univ Sao Paulo, Sch Arts Sci &amp; Humanities, BR-05508 Sao Paulo, Brazil</t>
  </si>
  <si>
    <t>University of Bremen; University of Bremen; University of Buenos Aires; Consejo Nacional de Investigaciones Cientificas y Tecnicas (CONICET); Universidade de Sao Paulo</t>
  </si>
  <si>
    <t>Voigt, I (corresponding author), Univ Bremen, MARUM Ctr Marine Environm Sci, Klagenfurter Str, D-28203 Bremen, Germany.</t>
  </si>
  <si>
    <t>ines.voigt@uni-bremen.de; henrich@uni-bremen.de; bpreu@uni-bremen.de; apiola@hidro.gov.ar; thanebuth@uni-bremen.de; tschwenk@uni-bremen.de; chiessi@usp.br</t>
  </si>
  <si>
    <t>Chiessi, Cristiano Mazur/JAZ-0806-2023; Chiessi, Cristiano Mazur/E-1916-2012; Piola, Alberto/HZI-5475-2023; Schwenk, Tilmann/AGD-5168-2022; Piola, Alberto/O-2280-2013</t>
  </si>
  <si>
    <t>Chiessi, Cristiano Mazur/0000-0003-3318-8022; Chiessi, Cristiano Mazur/0000-0003-3318-8022; Schwenk, Tilmann/0000-0002-9916-0340; Piola, Alberto/0000-0002-5003-8926</t>
  </si>
  <si>
    <t>DFG-Research Center/Cluster of Excellence The Ocean in the Earth System; GLOMAR - Bremen International Graduate School for Marine Sciences; Inter-American Institute for Global Change Research [CRN2076]; U.S. National Science Foundation [GE0-0452325]; FAPFSP [2010/09983-9, 2012/17517-3]; Directorate For Geosciences [1138881] Funding Source: National Science Foundation</t>
  </si>
  <si>
    <t>DFG-Research Center/Cluster of Excellence The Ocean in the Earth System(German Research Foundation (DFG)); GLOMAR - Bremen International Graduate School for Marine Sciences; Inter-American Institute for Global Change Research; U.S. National Science Foundation(National Science Foundation (NSF)); FAPFSP; Directorate For Geosciences(National Science Foundation (NSF)NSF - Directorate for Geosciences (GEO))</t>
  </si>
  <si>
    <t>We thank the two Reviewers and the Editor for their thorough and constructive comments that improved the manuscript We also thank B. Kockisch and M. Klann for their lab work (MARUM, Bremen), and K.H. Baumann and G. Fischer for comments and discussion. We acknowledge the help of Inka Meyer for guidance during grain-size analyses. We thank Dr. Ursula Rohl and her team for assistance during XRF scanning. This study was funded through the DFG-Research Center/Cluster of Excellence The Ocean in the Earth System and was supported by GLOMAR - Bremen International Graduate School for Marine Sciences. ARP acknowledges the support from grant CRN2076 from the Inter-American Institute for Global Change Research and the U.S. National Science Foundation grant GE0-0452325. CMC acknowledges the support from FAPFSP (2010/09983-9, 2012/17517-3). Further, we thank the members of the shipboard and scientific crews of the RV Meteor cruise M78/3a,b. The data of this study are available in the PANGAE database.</t>
  </si>
  <si>
    <t>0025-3227</t>
  </si>
  <si>
    <t>1872-6151</t>
  </si>
  <si>
    <t>MAR GEOL</t>
  </si>
  <si>
    <t>Mar. Geol.</t>
  </si>
  <si>
    <t>JUL 1</t>
  </si>
  <si>
    <t>10.1016/j.margeo.2013.05.002</t>
  </si>
  <si>
    <t>Geosciences, Multidisciplinary; Oceanography</t>
  </si>
  <si>
    <t>Geology; Oceanography</t>
  </si>
  <si>
    <t>183HY</t>
  </si>
  <si>
    <t>WOS:000321806500004</t>
  </si>
  <si>
    <t>García-Muñoz, C; Lubián, LM; García, CM; Marrero-Díaz, A; Sangrà, P; Vernet, M</t>
  </si>
  <si>
    <t>Garcia-Munoz, Cristina; Lubian, Luis M.; Garcia, Carlos M.; Marrero-Diaz, Angeles; Sangra, Pablo; Vernet, Maria</t>
  </si>
  <si>
    <t>A mesoscale study of phytoplankton assemblages around the South Shetland Islands (Antarctica)</t>
  </si>
  <si>
    <t>South Shetland Islands; Phytoplankton; Small diatoms; Mesoscale; Water masses; Fronts</t>
  </si>
  <si>
    <t>WESTERN BRANSFIELD STRAIT; HPLC PIGMENT SIGNATURES; MIXED-LAYER DEPTH; A MAXIMA DCMS; ICE-ZONE WEST; COMMUNITY STRUCTURE; CHEMTAX ANALYSIS; ATLANTIC SECTOR; AUSTRAL SUMMER; WATER MASSES</t>
  </si>
  <si>
    <t>Phytoplankton assemblages around the South Shetland Islands (SSI) were closely related to mesoscale physical features, based on high spatial resolution sampling performed during the summer of 2010. Sampling was done in 8 transects with stations 9 km apart. Phytoplankton groups were described using flow cytometry, FlowCAM and HPLC/CHEMTAX pigment analysis. Nanophytoplankton (2-20 mu m) was predominant throughout the study area, which was dominated by small diatoms. They were distributed along the stratified waters of the SSI shelf and in the centre of the Bransfield Strait where an anticyclonic eddy was detected, established between two frontal structures [Bransfield Front and Peninsula Front (PF)]. The highest concentrations correlated with mid-to-high temperatures (1.07 A degrees C) and mid-salinities (34.03) corresponding with Transitional Bellinghausen Water stations. Haptophytes distribution co-varied with small diatoms but also appeared in those vertical mixed stations with Transitional Zonal Water with Weddell Sea influence. A shift from smaller to larger diatoms was detected at the ice edge in the Antarctic Sound. Cryptophytes were restricted to stratified stations of the SSI shelf and those associated with the PF, while small prasinophytes were the only group occupying deeper and colder waters of the Drake Passage, beneath the Antarctic Surface Water, north of a narrow frontal region described here for the first time (Shetland Front). Phytoplankton assemblages around the SSI were strongly connected with the Bransfield Current System, supporting a clockwise circulation around the archipelago. The Bransfield Current System components are permanent structures during the austral summer suggesting that the distribution of phytoplankton, which responds to these structures, must also be a quasi-permanent feature.</t>
  </si>
  <si>
    <t>[Garcia-Munoz, Cristina; Lubian, Luis M.] Inst Ciencias Marinas Andalucia ICMAN CSIC, Dept Ecol &amp; Gest Costera, Cadiz 11510, Spain; [Garcia, Carlos M.] Univ Cadiz, Dept Biol, Fac Ciencias Mar &amp; Ambientales, Cadiz 11510, Spain; [Marrero-Diaz, Angeles; Sangra, Pablo] Univ Las Palmas Gran Canaria, Dept Fis, Fac Ciencias Mar, Las Palmas Gran Canaria 35017, Spain; [Vernet, Maria] Univ Calif San Diego, Integrat Oceanog Div, Scripps Inst Oceanog, La Jolla, CA 92093 USA</t>
  </si>
  <si>
    <t>Consejo Superior de Investigaciones Cientificas (CSIC); CSIC - Instituto de Ciencias Marinas de Andalucia (ICMAN); Universidad de Cadiz; Universidad de Las Palmas de Gran Canaria; University of California System; University of California San Diego; Scripps Institution of Oceanography</t>
  </si>
  <si>
    <t>García-Muñoz, C (corresponding author), Inst Ciencias Marinas Andalucia ICMAN CSIC, Dept Ecol &amp; Gest Costera, Cadiz 11510, Spain.</t>
  </si>
  <si>
    <t>cristina.garcia@icman.csic.es</t>
  </si>
  <si>
    <t>LUBIAN, LUIS M/L-7241-2014; Marrero-Díaz, Ángeles/H-2175-2015; Garcia, Carlos M/M-2025-2018; Sangra, Pablo/I-1350-2015</t>
  </si>
  <si>
    <t>Marrero-Díaz, Ángeles/0000-0001-7697-0036; Garcia, Carlos M/0000-0002-8920-9024; Sangra, Pablo/0000-0002-6600-2194</t>
  </si>
  <si>
    <t>Spanish Ministry of Science and Education [CTM2008-06343-C02-02/ANT]; Spanish Council for Scientific Research (CSIC), JAE-Predoc; US National Science Foundation [ANT05-28728]</t>
  </si>
  <si>
    <t>Spanish Ministry of Science and Education(Spanish Government); Spanish Council for Scientific Research (CSIC), JAE-Predoc; US National Science Foundation(National Science Foundation (NSF))</t>
  </si>
  <si>
    <t>We are grateful to the captain, crew and scientists on board the R. V. Hesperides for their co-operation and logistic support during the cruise. Thanks are also given to Eduardo Ramirez and Wendy Kozlowski for their assistance in analysing plankton samples and CHEMTAX management, respectively. We also thank three anonymous reviewers for their valuable comments on a previous version of this manuscript. This work was supported by the CTM2008-06343-C02-02/ANT project from the Spanish Ministry of Science and Education. C.G-M.'s work was supported by a predoctoral fellowship from the Spanish Council for Scientific Research (CSIC), JAE-Predoc 2009. M. V. was supported by a grant from the US National Science Foundation ANT05-28728.</t>
  </si>
  <si>
    <t>10.1007/s00300-013-1333-5</t>
  </si>
  <si>
    <t>185NH</t>
  </si>
  <si>
    <t>WOS:000321975200004</t>
  </si>
  <si>
    <t>Borghini, F; Colacevich, A; Loiselle, SA; Bargagli, R</t>
  </si>
  <si>
    <t>Borghini, Francesca; Colacevich, Andrea; Loiselle, Steven Arthur; Bargagli, Roberto</t>
  </si>
  <si>
    <t>Short-term dynamics of physico-chemical and biological features in a shallow, evaporative antarctic lake</t>
  </si>
  <si>
    <t>Continental Antarctica; Evaporative lake; Water chemistry; Autotrophic activity; Photoinhibition; Short-term variations</t>
  </si>
  <si>
    <t>NORTHERN VICTORIA-LAND; FRESH-WATER ECOSYSTEMS; PLANKTONIC COMMUNITIES; SEASONAL DYNAMICS; ORGANIC-MATTER; CIERVA POINT; ICE-SHELF; PHYTOPLANKTON; SUMMER; CHEMISTRY</t>
  </si>
  <si>
    <t>Lakes are among the most productive and biodiverse ecosystems in Antarctica, and they behave as important indicators of local climatic and environmental changes. However, few studies have focused on the local drivers of short-term temporal variability in lacustrine biogeochemical variables. In the present study, measurements of physical, chemical, biological and optical characteristics of the shallow endorheic Lake 14 at Edmonson Point (74.33A degrees S, 165.13A degrees E) were made over the ice-free period in December 2006. A significant variation in most variables was observed. Possible drivers for these changes were the loss of the ice cover, an increase in solar irradiance, a change in photosynthetic activity and the evaporative loss of water. By removing relative changes due to evaporative losses, new insights were gained into the driving factors controlling the biogeochemistry and primary productivity in the shallow Antarctic lake. In particular, a decrease in phytoplankton biomass was observed and was probably linked to photoinhibition as revealed by an increase in photoprotective pigments. The absorbance by dissolved organic matter, when weighted with respect to evaporative loss, shows an overall reduction in humic-like absorption, most likely linked to photodegradation.</t>
  </si>
  <si>
    <t>[Borghini, Francesca; Bargagli, Roberto] Univ Siena, Dept Environm Sci G Sarfatti, I-53100 Siena, Italy; [Colacevich, Andrea] Univ Castilla La Mancha, Lab Ecotoxicol, Fac Environm Sci, Toledo 54071, Spain; [Loiselle, Steven Arthur] Univ Siena, Dept Pharmaceut &amp; Appl Chem, I-53100 Siena, Italy</t>
  </si>
  <si>
    <t>University of Siena; Universidad de Castilla-La Mancha; University of Siena</t>
  </si>
  <si>
    <t>Borghini, F (corresponding author), Univ Siena, Dept Environm Sci G Sarfatti, Via Mattioli 4, I-53100 Siena, Italy.</t>
  </si>
  <si>
    <t>borghini@unisi.it</t>
  </si>
  <si>
    <t>Loiselle, Steven/ABA-3324-2020</t>
  </si>
  <si>
    <t>Loiselle, Steven/0000-0001-7414-0389</t>
  </si>
  <si>
    <t>Italian National Programme for Research in Antarctica (PNRA)</t>
  </si>
  <si>
    <t>Research was supported and financed by funding from the Italian National Programme for Research in Antarctica (PNRA). We thank Valerio Volpi and Silvia Olmastroni for the sampling in the harsh conditions of Edmonson Point; Andrea Pellegrini and Paolo Grigioni and for giving the weather station data.</t>
  </si>
  <si>
    <t>10.1007/s00300-013-1336-2</t>
  </si>
  <si>
    <t>WOS:000321975200007</t>
  </si>
  <si>
    <t>Sánchez, EC; López-González, PJ</t>
  </si>
  <si>
    <t>Cano Sanchez, Esperanza; Lopez-Gonzalez, Pablo J.</t>
  </si>
  <si>
    <t>New data concerning postembryonic development in Antarctic Ammothea species (Pycnogonida: Ammotheidae)</t>
  </si>
  <si>
    <t>Pycnogonida; Ammotheidae; Ammothea; Postembryonic development; Protonymphon</t>
  </si>
  <si>
    <t>LARVAL DEVELOPMENT; CHELICERATA; SEA</t>
  </si>
  <si>
    <t>In this paper, new data on larval and postlarval stages after newly collected and museum-deposited material of six Ammothea species is provided and compared with previously known information. Different developmental stages attached to the ovigerous legs of adult males for each species were found: four stages [protonymphon (Ptn), postlarval instar 1 (PL-1), postlarval instar 2 (PL-2), and postlarval instar 3 (PL-3)] for A. carolinensis; just one (Ptn) for A. clausi and A. minor; three stages (Ptn, PL-1, PL-2) for A. bicorniculata and A. spinosa; and other three (Ptn, PL-2, PL-3) for A. longispina. In the present contribution, the external morphology of each larval and postlarval instar is described, illustrated, and discussed. The larval and postlarval development of Ammothea bicorniculata, A. carolinensis, A. longispina, and A. spinosa is characterized by (1) the eggs hatch as a protonymphon larva; (2) the larvae and subsequent postlarval stages have yolk reserves and a relatively large size (0.5-0.85 mm in length for the protonymphon); (3) the postlarvae remain on the ovigerous legs of males during several moults; (4) the spinning spine is absent; and (5) the development of walking legs is sequential. The protonymphon larva of A. clausi and A. minor is the only stage on the ovigerous legs of males, and this stage is characterized by: (1) there is no yolk reserve and it has a relatively small size (0.22-0.3 mm in length); (2) the spinning spine is present; and (3) all larval appendages have a relatively large size.</t>
  </si>
  <si>
    <t>[Cano Sanchez, Esperanza; Lopez-Gonzalez, Pablo J.] Univ Seville, Dept Zool, Fac Biol, E-41012 Seville, Spain</t>
  </si>
  <si>
    <t>University of Sevilla</t>
  </si>
  <si>
    <t>Sánchez, EC (corresponding author), Univ Seville, Dept Zool, Fac Biol, Avda Reina Mercedes 6, E-41012 Seville, Spain.</t>
  </si>
  <si>
    <t>ecano@us.es; pjlopez@us.es</t>
  </si>
  <si>
    <t>Lopez-González, Pablo J./Y-6440-2018</t>
  </si>
  <si>
    <t>Lopez-González, Pablo J./0000-0002-7348-6270; Cano Sanchez, Esperanza/0000-0002-8097-1872</t>
  </si>
  <si>
    <t>Polarstern ANT XXIII/8 - CLIMANT [POL2006-06399/CGL]</t>
  </si>
  <si>
    <t>Polarstern ANT XXIII/8 - CLIMANT</t>
  </si>
  <si>
    <t>The authors would like to express their gratitude to Miranda Lowe (British Museum of Natural History) for her extensive search for BANZARE specimens in the collections of the BMNH, especially for the loan of the male of Ammothea spinosa bearing the larvae here described and illustrated. Our thanks are also addressed to the officers and crew and many colleagues for their help on board during the Polarstern ANT XXIII/8 cruises. We take this opportunity to extend our thanks to the cruise leader and steering committee of the cruise, especially Julian Gutt and Enrique Isla (ANT XIII/8), all of whom kindly facilitated the work on board and allowed us to collaborate in this Antarctic programme. We thank the Editor and referees by their useful suggestions and criticisms that substantially improved this work. Support for this work was partially provided by POL2006-06399/CGL (Polarstern ANT XXIII/8 - CLIMANT). Mr. Tony Krupa is thanked for reviewing the English version.</t>
  </si>
  <si>
    <t>10.1007/s00300-013-1338-0</t>
  </si>
  <si>
    <t>WOS:000321975200009</t>
  </si>
  <si>
    <t>Lee, DB; Choi, KH; Ha, HK; Yang, EJ; Lee, SH; Lee, S; Shin, HC</t>
  </si>
  <si>
    <t>Lee, Doo Byoul; Choi, Keun Hyung; Ha, Ho Kyung; Yang, Eun Jin; Lee, Sang Heon; Lee, SangHoon; Shin, Hyoung Chul</t>
  </si>
  <si>
    <t>Mesozooplankton distribution patterns and grazing impacts of copepods and Euphausia crystallorophias in the Amundsen Sea, West Antarctica, during austral summer</t>
  </si>
  <si>
    <t>Copepods; Euphausia crystallorophias; Polynya; Grazing impacts; Amundsen Sea</t>
  </si>
  <si>
    <t>JANUARY-FEBRUARY 2000; SOUTHERN-OCEAN SOUTH; GUT EVACUATION RATES; PINE ISLAND GLACIER; MARGINAL ICE-ZONE; COMMUNITY STRUCTURE; ROSS SEA; BELLINGSHAUSEN-SEA; ATLANTIC SECTOR; WEDDELL SEA</t>
  </si>
  <si>
    <t>The rapid melting of glaciers as well as the loss of sea ice in the Amundsen Sea makes it an ideal environmental setting for the investigation of the impacts of climate change in the Antarctic on the distribution and production of mesozooplankton. We examined the latitudinal distribution of mesozooplankton and their grazing impacts on phytoplankton in the Amundsen Sea during the early austral summer from December 27, 2010 to January 13, 2011. Mesozooplankton followed a latitudinal distribution in relation to hydrographic and environmental features, with copepods dominating in the oceanic area and euphausiids dominating in the polynya. Greater Euphausia crystallorophias biomass in the polynya was associated with lower salinity and higher food concentration (chlorophyll a, choanoflagellates, and heterotrophic dinoflagellates). The grazing impact of three copepods (Rhincalanus gigas, Calanoides acutus, and Metridia gerlachei) on phytoplankton was low, with the consumption of 3 % of phytoplankton standing stock and about 4 % of daily primary production. Estimated daily carbon rations for each of the three copepods were also relatively low (&lt; 10 %), barely enough to cover metabolic demands. This suggests that copepods may rely on food other than phytoplankton and that much of the primary production is channeled through microzooplankton. Daily carbon rations for E. crystallorophias were high (up to 49 %) with the grazing impact accounting for 17 % of the phytoplankton biomass and 84 % of primary production. The presence of E. crystallorophias appears to be a critical factor regulating phytoplankton blooms and determining the fate of fixed carbon in the coastal polynyas of the Amundsen Sea.</t>
  </si>
  <si>
    <t>[Lee, Doo Byoul; Ha, Ho Kyung; Yang, Eun Jin; Lee, SangHoon; Shin, Hyoung Chul] Korea Polar Res Inst, Div Polar Climate Res, Inchon 406840, South Korea; [Choi, Keun Hyung] Korea Inst Ocean Sci &amp; Technol, Ballast Water Ctr, Ansan 426744, South Korea; [Lee, Sang Heon] Pusan Natl Univ, Dept Oceanog, Pusan 609735, South Korea</t>
  </si>
  <si>
    <t>Korea Polar Research Institute (KOPRI); Korea Institute of Ocean Science &amp; Technology (KIOST); Korea Institute of Ocean Science &amp; Technology (KIOST); Pusan National University</t>
  </si>
  <si>
    <t>Shin, HC (corresponding author), Korea Polar Res Inst, Div Polar Climate Res, Get Pearl Tower,12 Gaetbeol Ro, Inchon 406840, South Korea.</t>
  </si>
  <si>
    <t>hcshin@kopri.re.kr</t>
  </si>
  <si>
    <t>Ha, Ho Kyung/HCH-4138-2022</t>
  </si>
  <si>
    <t>Yang, Eun Jin/0000-0002-8639-5968</t>
  </si>
  <si>
    <t>Korea Polar Research Institute [PE 11040, PP13020]</t>
  </si>
  <si>
    <t>Korea Polar Research Institute(Korea Polar Research Institute of Marine Research Placement (KOPRI))</t>
  </si>
  <si>
    <t>We thank the captain and crewmembers of the Korean Icebreaker R. V. Araon for their outstanding assistance during the cruise. We are deeply indebted to three anonymous reviewers, Drs. Hosie G., and Atkinson A. for their thoughtful suggestions, which helped to greatly improve the paper. This research was supported by Grant No. PE 11040 and Grant No. PP13020 from the Korea Polar Research Institute.</t>
  </si>
  <si>
    <t>10.1007/s00300-013-1314-8</t>
  </si>
  <si>
    <t>WOS:000321975200012</t>
  </si>
  <si>
    <t>Ziegler, PE</t>
  </si>
  <si>
    <t>Ziegler, Philippe Eric</t>
  </si>
  <si>
    <t>Influence of data quality and quantity from a multiyear tagging program on an integrated fish stock assessment</t>
  </si>
  <si>
    <t>CATCH-AT-AGE; TOOTHFISH DISSOSTICHUS-ELEGINOIDES; HEARD ISLAND; MOVEMENT; GROWTH; MODEL; FISHERIES; MORTALITY; ABUNDANCE</t>
  </si>
  <si>
    <t>Using a modeling framework for toothfish (Dissostichus spp.) population dynamics, fishing, and data collection, this study investigated how the bias and precision of biomass estimates from an integrated tag-based assessment are influenced by various aspects of a multiyear tagging program, particularly the effects of the size of tagged fish compared with the size of fish in the catch (tag size-overlap), numbers of tagged fish, duration of the tagging program, using catch-at-length or catch-at-age data as auxiliary data, and stock depletion levels. Biomass estimates generally improved with more and better-quality tagging data. The results showed that even when tag releases were distributed over a relatively large number of size classes, low recapture numbers collected in short tagging programs with a 100% tag size-overlap were sufficient for robust and unbiased assessments. Particularly in the early stages of the tagging program, a high tag size-overlap was imperative to maximize the likelihood of a robust assessment. Biomass estimates were largely unaffected by the stock depletion level; however, using catch-at-age compared with catch-at-length improved recruitment estimates and resulted in more conservative biomass estimates.</t>
  </si>
  <si>
    <t>Australian Antarctic Div, Dept Sustainabil Environm Water Populat &amp; Communi, Kingston, Tas 7050, Australia</t>
  </si>
  <si>
    <t>Ziegler, PE (corresponding author), Australian Antarctic Div, Dept Sustainabil Environm Water Populat &amp; Communi, 203 Channel Highway, Kingston, Tas 7050, Australia.</t>
  </si>
  <si>
    <t>Philippe.Ziegler@aad.gov.au</t>
  </si>
  <si>
    <t>Ziegler, Philippe/0000-0001-5940-9394</t>
  </si>
  <si>
    <t>I thank Dirk Welsford and Steve Candy for their support and helpful advice for the modeling and preparation of the manuscript. The comments and suggestions of two anonymous reviewers helped greatly to improve the paper. Financial support for this research was provided by the Australian Antarctic Division.</t>
  </si>
  <si>
    <t>CANADIAN SCIENCE PUBLISHING, NRC RESEARCH PRESS</t>
  </si>
  <si>
    <t>10.1139/cjfas-2012-0413</t>
  </si>
  <si>
    <t>175QX</t>
  </si>
  <si>
    <t>WOS:000321247700008</t>
  </si>
  <si>
    <t>Van Houdt, R; Deghorain, M; Vermeersch, M; Provoost, A; Lo Giudice, A; Leys, N; Perez-Morga, D; Van Melderen, L; Michaud, L</t>
  </si>
  <si>
    <t>Van Houdt, Rob; Deghorain, Marie; Vermeersch, Marjorie; Provoost, Ann; Lo Giudice, Angelina; Leys, Natalie; Perez-Morga, David; Van Melderen, Laurence; Michaud, Luigi</t>
  </si>
  <si>
    <t>Characterization of culturable Paenibacillus spp. from the snow surface on the high Antarctic Plateau (DOME C) and their dissemination in the Concordia research station</t>
  </si>
  <si>
    <t>EXTREMOPHILES</t>
  </si>
  <si>
    <t>Antarctica; Paenibacillus; Concordia; Dissemination; Contamination</t>
  </si>
  <si>
    <t>SP NOV.; BACTERIA; DIVERSITY; PSEUDOMONAS; RESISTANCE; ANALOG</t>
  </si>
  <si>
    <t>Culturable psychrotolerant bacteria were isolated from the top snow on the high Antarctic Plateau surrounding the research station Concordia. A total of 80 isolates were recovered, by enrichment cultures, from two different isolation sites (a distant pristine site [75A degrees S 123A degrees E] and a site near the secondary runway of Concordia). All isolates were classified to the genus Paenibacillus by 16S rRNA gene phylogenetic analysis and belonged to two different species (based on threshold of 97 % similarity in 16S rRNA gene sequence). ERIC-PCR fingerprinting indicated that the isolates from the two different sites were not all clonal. All isolates grew well from 4 to 37 A degrees C and were resistant to ampicillin and streptomycin. In addition, the isolates from the secondary runway were resistant to chromate and sensitive to chloramphenicol, contrary to those from the pristine site. The isolates were compared to 29 Paenibacillus isolates, which were previously recovered from inside the Concordia research station. One of these inside isolates showed ERIC- and REP-PCR fingerprinting profiles identical to those of the runway isolates and was the only inside isolate that was resistant to chromate and sensitive to chloramphenicol. The latter suggested that dissemination of culturable Paenibacillus strains between the harsh Antarctic environment and the inside of the Concordia research station occurred. In addition, inducible prophages, which are potentially involved in horizontal dissemination of genes, were detected in Paenibacillus isolates recovered from outside and inside the station. The highest lysogeny was observed in strains harvested from the hostile environment outside the station.</t>
  </si>
  <si>
    <t>[Van Houdt, Rob; Provoost, Ann; Leys, Natalie] CEN SCK, Belgian Nucl Res Ctr, Expert Grp Mol &amp; Cellular Biol, Microbiol Unit, B-2400 Mol, Belgium; [Deghorain, Marie; Van Melderen, Laurence] Univ Libre Bruxelles, Fac Sci, IBMM, Lab Genet &amp; Physiol Bacterienne, Gosselies, Belgium; [Vermeersch, Marjorie; Perez-Morga, David] Univ Libre Bruxelles, Fac Sci, IBMM, Mol Parasitol Lab, Gosselies, Belgium; [Lo Giudice, Angelina; Michaud, Luigi] Univ Messina, Dept Biol &amp; Environm Sci, Messina, Italy</t>
  </si>
  <si>
    <t>Belgian Nuclear Research Centre (SCK CEN); Universite Libre de Bruxelles; Universite Libre de Bruxelles; University of Messina</t>
  </si>
  <si>
    <t>Van Houdt, R (corresponding author), CEN SCK, Belgian Nucl Res Ctr, Expert Grp Mol &amp; Cellular Biol, Microbiol Unit, Boeretang 200, B-2400 Mol, Belgium.</t>
  </si>
  <si>
    <t>rob.van.houdt@sckcen.be</t>
  </si>
  <si>
    <t>Van Houdt, Rob/B-8599-2011; Leys, Natalie/P-2761-2017</t>
  </si>
  <si>
    <t>Van Houdt, Rob/0000-0002-7459-496X; Leys, Natalie/0000-0002-4556-5211; Van Melderen, Laurence/0000-0002-7778-1736; Perez-Morga, David/0000-0002-7168-1865</t>
  </si>
  <si>
    <t>European Space Agency (ESA-PRODEX); Belgan Science Policy (Belspo) through the EXANAM project [C90359]</t>
  </si>
  <si>
    <t>European Space Agency (ESA-PRODEX)(European Space Agency); Belgan Science Policy (Belspo) through the EXANAM project</t>
  </si>
  <si>
    <t>Authors wish to thank all of the staff at Concordia Station, for the logistic help and support, the Institute Polaire Paul Emile Victor (IPEV) and the Italian Programma Nazionale di Richerche in Antartide (PNRA) and the MNA (Museo Nazionale dell'Antartide), which made the expedition possible. This work was supported by the European Space Agency (ESA-PRODEX) and the Belgan Science Policy (Belspo) through the EXANAM project (C90359). LVM and MD thank Lena Demazy for technical support.</t>
  </si>
  <si>
    <t>1431-0651</t>
  </si>
  <si>
    <t>1433-4909</t>
  </si>
  <si>
    <t>Extremophiles</t>
  </si>
  <si>
    <t>10.1007/s00792-013-0539-3</t>
  </si>
  <si>
    <t>170XS</t>
  </si>
  <si>
    <t>WOS:000320889100002</t>
  </si>
  <si>
    <t>Cloutis, EA; Mann, P; Izawa, MRM; Nathues, A; Reddy, V; Hiesinger, H; Le Corre, L; Palomba, E</t>
  </si>
  <si>
    <t>Cloutis, E. A.; Mann, P.; Izawa, M. R. M.; Nathues, A.; Reddy, V.; Hiesinger, H.; Le Corre, L.; Palomba, E.</t>
  </si>
  <si>
    <t>The 2.5-5.1 μm reflectance spectra of HED meteorites and their constituent minerals: Implications for Dawn</t>
  </si>
  <si>
    <t>Asteroid Vesta; Spectroscopy; Meteorites; Mineralogy; Asteroids, Surfaces</t>
  </si>
  <si>
    <t>INFRARED-SPECTROSCOPY; CRYSTAL-STRUCTURE; REFINEMENT METHOD; SOLID-SOLUTION; DARK MATERIAL; GRAIN-SIZE; 4 VESTA; BULLETIN; SURFACE; FORSTERITE</t>
  </si>
  <si>
    <t>Reflectance spectra of multiple grain sizes and slabs of a suite of 13 howardite-eucrite-diogenite (HED) meteorites have been characterized from 1.7 to 25.4 mu m. The 4.5-5.1 mu m region, which is accessible by the Dawn VIR spectrometer, shows multiple absorption bands that vary among the HED groups and can be related to underlying mineralogy. These bands are overtones of asymmetric Si-(Al-)O fundamental stretches in the 9-11 mu m region. They appear in HED reflectance spectra ranging from fine-grained powders to slabs. The strongest absorption bands in eucrite spectra are found in the 4.74-4.78, 4.86-4.91, and 4.99-5.05 mu m regions, and are attributable to the various pyroxenes in eucrites. Less frequent bands are found near 4.35, 4.47, and 4.64-4.67 mu m in larger grain size eucrite spectra, and are likely attributable to high-An plagioclase feldspar. A shocked eucrite (JaH626) shows some differences from presumed unshocked samples, with bands near 4.68, 4.83, and 5.02 mu m, the first two of which fall outside the range of the presumed unshocked eucrites. The strongest absorption bands in diogenite spectra are found near 4.70 and 4.83-485 mu m, and are attributable to the abundant low-Ca pyroxene. At larger grain sizes and in slabs, an additional band can appear near 4.79 mu m. When olivine is dominant, an absorption band is found near 4.93 mu m, which coincides with the strongest olivine absorption band in this region. The addition of olivine can lead to a progressive shift of the 4.70 mu m diogenite band toward 4.65 mu m (where olivine has an additional weaker absorption band). Howardite spectra, as expected, are more diverse. The most persistent absorption features are in the 4.73-4.77, 4.84-4.85, and 4.94-5.00 mu m regions, and can be attributed to contributions by both diogenitic and eucritic components. For all of the HEDs, with the exception of PRA 04401, a CM xenolith-bearing howardite, the &lt;45 mu m fraction has the highest overall reflectance. The &lt;45 mu m HED spectra generally have the shallowest absorption bands compared to the larger grain sizes, with the exception of the diogenites. Relative band depths change with grain size, likely due to different bands saturating at different grain sizes, leading to merging of adjacent absorption bands (causing movement of apparent band minima) and changes from resolvable absorption bands to inflections. The number of bands that appear in the HED reflectance spectra varies with both composition and grain size. In general, weak absorption bands become more resolvable in slab and coarse grain spectra, but multiple diagnostic absorption bands are present for all classes of HED meteorites regardless of grain size. Because these 4-5 mu m region absorption bands are due to different mechanisms than those responsible for shorter wavelength absorption bands (e.g., Fe2+ crystal field transitions), they provide complementary information on the composition of HEDs and the surface of Vesta. Importantly, these longer wavelength bands can provide direct evidence for the presence of plagioclase feldspar, which is difficult to derive from shorter wavelength observations. Finally, we have found that HEDs and their constituent minerals exhibit even stronger absorption bands just beyond the range of the Dawn VIR spectrometer, from 5.15 to 5.60 mu m, that are also attributable to Si-(Al-)O overtones. (C) 2013 Elsevier Inc. All rights reserved.</t>
  </si>
  <si>
    <t>[Cloutis, E. A.; Mann, P.; Izawa, M. R. M.] Univ Winnipeg, Dept Geog, Winnipeg, MB R3B 2E9, Canada; [Nathues, A.; Reddy, V.; Le Corre, L.] Max Planck Inst Solar Syst Res, Katlenburg Lindau, Germany; [Reddy, V.] Univ N Dakota, Dept Space Studies, Grand Forks, ND 58202 USA; [Hiesinger, H.] Univ Munster, Inst Planetol, D-48149 Munster, Germany; [Palomba, E.] INAF, Inst Astrofis &amp; Planetol Spaziali, I-00133 Rome, Italy</t>
  </si>
  <si>
    <t>University of Winnipeg; Max Planck Society; University of North Dakota Grand Forks; University of Munster; Istituto Nazionale Astrofisica (INAF)</t>
  </si>
  <si>
    <t>Cloutis, EA (corresponding author), Univ Winnipeg, Dept Geog, 515 Portage Ave, Winnipeg, MB R3B 2E9, Canada.</t>
  </si>
  <si>
    <t>e.cloutis@uwinnipeg.ca; nathues@mps.mpg.de; reddy@mps.mpg.de; hiesinger@uni-muenster.de; palomba@iaps.inaf.it</t>
  </si>
  <si>
    <t>Nathues, Andreas/AAW-4340-2020; Palomba, Ernesto/E-8287-2017</t>
  </si>
  <si>
    <t>Palomba, Ernesto/0000-0002-9101-6774; Reddy, Vishnu/0000-0002-7743-3491; Le Corre, Lucille/0000-0003-0349-7932</t>
  </si>
  <si>
    <t>Natural Sciences and Engineering Research Council of Canada (NSERC); Canadian Space Agency (CSA); University of Winnipeg; Canada Foundation for Innovation (CFI); Manitoba Research Innovations Fund (MRIF); CSA; MPI; German Space Agency DLR; Dawn at Vesta Participating Scientist Program [NNX10AR22G]</t>
  </si>
  <si>
    <t>Natural Sciences and Engineering Research Council of Canada (NSERC)(Natural Sciences and Engineering Research Council of Canada (NSERC)); Canadian Space Agency (CSA)(Canadian Space Agency); University of Winnipeg; Canada Foundation for Innovation (CFI)(Canada Foundation for Innovation); Manitoba Research Innovations Fund (MRIF); CSA; MPI; German Space Agency DLR(Helmholtz AssociationGerman Aerospace Centre (DLR)); Dawn at Vesta Participating Scientist Program</t>
  </si>
  <si>
    <t>The authors wish to thank the US Antarctic Meteorite Recovery Program for loaning us the sample of PRA 04401. We also wish to thank the Natural Sciences and Engineering Research Council of Canada (NSERC), the Canadian Space Agency (CSA), and the University of Winnipeg for their support of this research program, and the Canada Foundation for Innovation (CFI), the Manitoba Research Innovations Fund (MRIF), and CSA for their support in establishing the Planetary Spectrophotometer Facility at the University of Winnipeg. We also wish to acknowledge funding support of the MPI for Solar System Research and the German Space Agency DLR. VR's research was supported by a Dawn at Vesta Participating Scientist Program Grant (NNX10AR22G). Finally, our thanks to the comments and suggestions by two anonymous reviewers that helped improve the readability of this manuscript.</t>
  </si>
  <si>
    <t>10.1016/j.icarus.2013.04.022</t>
  </si>
  <si>
    <t>174ND</t>
  </si>
  <si>
    <t>WOS:000321161800048</t>
  </si>
  <si>
    <t>Bernard, KS; Steinberg, DK</t>
  </si>
  <si>
    <t>Bernard, Kim S.; Steinberg, Deborah K.</t>
  </si>
  <si>
    <t>Krill biomass and aggregation structure in relation to tidal cycle in a penguin foraging region off the Western Antarctic Peninsula</t>
  </si>
  <si>
    <t>ICES JOURNAL OF MARINE SCIENCE</t>
  </si>
  <si>
    <t>acoustics; Adlie penguin; aggregation structure; Antarctic krill; distribution patterns</t>
  </si>
  <si>
    <t>EUPHAUSIA-SUPERBA ABUNDANCE; SOUTH GEORGIA; SEASONAL VARIABILITY; SUBMARINE-CANYON; ELEPHANT ISLAND; GRAZING IMPACT; BEHAVIOR; ZOOPLANKTON; PREDATORS; CONSTRAINTS</t>
  </si>
  <si>
    <t>Antarctic krill are a key component of the diet of Adlie penguins inhabiting the Western Antarctic Peninsula (WAP), yet our understanding of the variability of krill distribution patterns within nearshore penguin feeding grounds is limited. A recent study of the foraging patterns of penguins breeding in the northern WAP suggests that tidal phase plays a role in foraging distance. We used acoustics to examine biomass and aggregation structure of krill in the penguin foraging grounds off Palmer Station during diurnal and semi-diurnal tides. Nearshore, integrated krill biomass during diurnal tides was significantly higher than during semi-diurnal tides. Krill aggregations were also shallower, closer together, and larger in dimension during diurnal tides. Conversely, krill aggregations had higher volumetric biomass and abundance during semi-diurnal tides. Further offshore, at the head of the Palmer Deep canyon, krill aggregations were similar to those observed nearshore during diurnal tides (i.e. shallow, close together, and large in dimension). Since krill aggregation structure strongly influences availability as a potential prey source, we suggest that foraging behavior of Adlie penguins in this region is strongly linked to the variability in nearshore krill aggregation structure as well as biomass.</t>
  </si>
  <si>
    <t>[Bernard, Kim S.; Steinberg, Deborah K.] Coll William &amp; Mary, Virginia Inst Marine Sci, Gloucester Point, VA 23062 USA; [Bernard, Kim S.] Oregon State Univ, Coll Earth Ocean &amp; Atmospher Sci, Corvallis, OR 97331 USA</t>
  </si>
  <si>
    <t>William &amp; Mary; Virginia Institute of Marine Science; Oregon State University</t>
  </si>
  <si>
    <t>Bernard, KS (corresponding author), Oregon State Univ, Coll Earth Ocean &amp; Atmospher Sci, 104 Ocean Admin Bldg, Corvallis, OR 97331 USA.</t>
  </si>
  <si>
    <t>kbernard@coas.oregonstate.edu</t>
  </si>
  <si>
    <t>Bernard, Kim S/J-2703-2013</t>
  </si>
  <si>
    <t>Steinberg, Deborah K./0000-0001-9884-4655</t>
  </si>
  <si>
    <t>NSF Office of Polar Programs [OPP-0823101]; Directorate For Geosciences; Division Of Polar Programs [1344502] Funding Source: National Science Foundation; Directorate For Geosciences; Office of Polar Programs (OPP) [1440435] Funding Source: National Science Foundation</t>
  </si>
  <si>
    <t>NSF Office of Polar Programs(National Science Foundation (NSF)); Directorate For Geosciences; Division Of Polar Programs(National Science Foundation (NSF)NSF - Directorate for Geosciences (GEO)); Directorate For Geosciences; Office of Polar Programs (OPP)(National Science Foundation (NSF)NSF - Directorate for Geosciences (GEO))</t>
  </si>
  <si>
    <t>This study was funded by the NSF Office of Polar Programs (OPP-0823101).</t>
  </si>
  <si>
    <t>1054-3139</t>
  </si>
  <si>
    <t>1095-9289</t>
  </si>
  <si>
    <t>ICES J MAR SCI</t>
  </si>
  <si>
    <t>ICES J. Mar. Sci.</t>
  </si>
  <si>
    <t>10.1093/icesjms/fst088</t>
  </si>
  <si>
    <t>Fisheries; Marine &amp; Freshwater Biology; Oceanography</t>
  </si>
  <si>
    <t>173CZ</t>
  </si>
  <si>
    <t>WOS:000321057000013</t>
  </si>
  <si>
    <t>Kaltenberg, AM; Benoit-Bird, KJ</t>
  </si>
  <si>
    <t>Kaltenberg, Amanda M.; Benoit-Bird, Kelly J.</t>
  </si>
  <si>
    <t>Intra-patch clustering in mysid swarms revealed through multifrequency acoustics</t>
  </si>
  <si>
    <t>aggregation; bio-acoustics; density; mysids; net sampling; patchiness; size-assortation; swarm</t>
  </si>
  <si>
    <t>ANTARCTIC KRILL; FISH; DISTRIBUTIONS; ORIENTATION; SCATTERING; SOUND</t>
  </si>
  <si>
    <t>Simultaneous multifrequency acoustic echosounders (70, 120, 200, 333, and 710 kHz), net tows, and video sampling were conducted on dense mysid aggregations in coastal waters off OR, USA, to study intra-patch dynamics in mysid swarms. Multifrequency differencing techniques demonstrated submetre, intra-patch clustering of individual mysids of different frequency response characteristics in all 33 samples collected. For samples that contained multiple sizes of mysids, frequency response curves showed a consistent peak 200 kHz. Samples dominated by only a single size class of small (5 mm long mysids) had a peak in scattering at 710 kHz. Intra-patch clustering of heterogeneous individuals shown here demonstrates patchiness at the scales of interactions among individual mysids; however, this patchiness is likely averaged out at the scale of large predator-mysid swarm interactions or the scale typical of most scientific surveys.</t>
  </si>
  <si>
    <t>[Kaltenberg, Amanda M.] Duke Univ, Marine Lab, Nicholas Sch Environm, Beaufort, NC 28516 USA; [Benoit-Bird, Kelly J.] Oregon State Univ, Coll Earth Ocean &amp; Atmospher Sci, Corvallis, OR 97331 USA</t>
  </si>
  <si>
    <t>Duke University; Oregon State University</t>
  </si>
  <si>
    <t>Kaltenberg, AM (corresponding author), Duke Univ, Marine Lab, Nicholas Sch Environm, 135 Duke Marine Lab Rd, Beaufort, NC 28516 USA.</t>
  </si>
  <si>
    <t>a.kaltenberg@duke.edu</t>
  </si>
  <si>
    <t>Benoit-Bird, Kelly J./0000-0002-5868-0390</t>
  </si>
  <si>
    <t>US Office of Naval Research [N000140910475]</t>
  </si>
  <si>
    <t>US Office of Naval Research(Office of Naval Research)</t>
  </si>
  <si>
    <t>We thank project co-PIs Tim Cowles and Dave Mellinger, as well as Chad Waluk, Chris Wingard, Sara Heimlich, Kimberly Page-Albins, Jerod Sapp, Scott Heppell, Neal McIntosh, Jason Philips, and Lindsay Hunter for field assistance. Helpful comments by two anonymous reviewers improved this manuscript. This work was supported by the US Office of Naval Research, Grant #N000140910475.</t>
  </si>
  <si>
    <t>10.1093/icesjms/fst034</t>
  </si>
  <si>
    <t>WOS:000321057000017</t>
  </si>
  <si>
    <t>Ajani, P; Murray, S; Hallegraeff, G; Brett, S; Armand, L</t>
  </si>
  <si>
    <t>Ajani, Penelope; Murray, Shauna; Hallegraeff, Gustaaf; Brett, Steve; Armand, Leanne</t>
  </si>
  <si>
    <t>First reports of Pseudo-nitzschia micropora and P-hasleana (Bacillariaceae) from the Southern Hemisphere: Morphological, molecular and toxicological characterization</t>
  </si>
  <si>
    <t>PHYCOLOGICAL RESEARCH</t>
  </si>
  <si>
    <t>biotoxins; harmful algal blooms; shellfish</t>
  </si>
  <si>
    <t>SP-NOV BACILLARIOPHYCEAE; COMPLEX BACILLARIOPHYCEAE; DOMOIC ACID; PHYLOGENY; DIVERSITY; PUNGENS; BRASILIANA; INFERENCE; SHELLFISH; MRBAYES</t>
  </si>
  <si>
    <t>Pseudo-nitzschiaH. Peragallo is a marine diatom genus found worldwide in polar, temperate, subtropical and tropical waters. It includes toxigenic representatives that produce domoic acid (DA), a neurotoxin responsible for Amnesic Shellfish Poisoning. In this study we characterized two species of Pseudo-nitzschia collected from Port Stephens and the Hawkesbury River (south eastern Australia) previously unreported from Australian waters. Clonal isolates were sub-sampled for (i) light and transmission electron microscopy; (ii) DNA sequencing, based on the nuclear-encoded partial large subunit ribosomal RNA gene and internal transcribed spacer (ITS)-ITS1, 5.8S and ITS2 rDNA regions and, (iii) DA production as measured by liquid chromatography-mass spectrometry. Morphological and molecular data unambiguously revealed the species to be Pseudo-nitzschia microporaPriisholm, Moestrup &amp; Lundholm (Port Stephens) and Pseudo-nitzschia hasleanaLundholm (Hawkesbury River). This is the first report of the occurrence of these species from the Southern Hemisphere and the first report of P.micropora in warm-temperate waters. Cultures of P.micropora, tested for DA production for the first time, proved to be non-toxic. Similarly, no detectable toxin concentrations were observed for P.hasleana. Species resolution and knowledge on the toxicity of local Pseudo-nitzschia species has important implications for harmful algal bloom monitoring and management.</t>
  </si>
  <si>
    <t>[Ajani, Penelope; Armand, Leanne] Macquarie Univ, Dept Biol Sci, N Ryde, NSW, Australia; [Ajani, Penelope; Murray, Shauna] Sydney Inst Marine Sci, Mosman, Australia; [Murray, Shauna] Univ Technol Sydney, Plant Funct Biol &amp; Climate Change Cluster C3, Sydney, NSW 2007, Australia; [Hallegraeff, Gustaaf] Univ Tasmania, Inst Marine &amp; Antarctic Studies, Hobart, Tas, Australia; [Brett, Steve] Microalgal Serv, Ormond, Vic, Australia</t>
  </si>
  <si>
    <t>Macquarie University; Sydney Institute of Marine Science; University of Technology Sydney; University of Tasmania</t>
  </si>
  <si>
    <t>Ajani, P (corresponding author), Macquarie Univ, Dept Biol Sci, N Ryde, NSW, Australia.</t>
  </si>
  <si>
    <t>Murray, Shauna/K-5781-2015; Ajani, Penelope/K-9987-2019; Murray, Shauna/JAN-6668-2023; Armand, Leanne K/C-9004-2009; Hallegraeff, Gustaaf/C-8351-2013</t>
  </si>
  <si>
    <t>Murray, Shauna/0000-0001-7096-1307; Hallegraeff, Gustaaf/0000-0001-8464-7343; Ajani, Penelope/0000-0001-5364-9936; Armand, Leanne/0000-0003-3995-308X</t>
  </si>
  <si>
    <t>Australian Postgraduate Award; New South Wales Food Authority; Australian Government's Australian Biological Resource Study [CT210-19]</t>
  </si>
  <si>
    <t>Australian Postgraduate Award(Australian Government); New South Wales Food Authority; Australian Government's Australian Biological Resource Study(Australian Government)</t>
  </si>
  <si>
    <t>This work was supported by an Australian Postgraduate Award, the New South Wales Food Authority and the Australian Government's Australian Biological Resource Study (CT210-19). This is contribution number 77 from the Sydney Institute of Marine Sciences. The authors would like to thank Anthony Zammit, Grant Webster (NSW Food Authority) and Matt Burgoyne (Port Stephens oyster farmer) for sample provision. We also thank Hazel Farrell for the initial cell isolation from the Hawkesbury River field sample and Rouna Yauwenas (UNSW) for laboratory assistance. Thank you to Nicole Vella and Debra Birch (Macquarie University Microscopy Unit) for electron microscopy training and Cawthron Institute (NZ) for toxin analyses. Dr Kimon Moschandreou (University of Thessaloniki) and Associate Professor Nina Lundholm (University of Copenhagen) are also acknowledged for invaluable discussions regarding Pseudo-nitzschia.</t>
  </si>
  <si>
    <t>1322-0829</t>
  </si>
  <si>
    <t>1440-1835</t>
  </si>
  <si>
    <t>PHYCOL RES</t>
  </si>
  <si>
    <t>Phycol. Res.</t>
  </si>
  <si>
    <t>10.1111/pre.12020</t>
  </si>
  <si>
    <t>182OK</t>
  </si>
  <si>
    <t>WOS:000321753200009</t>
  </si>
  <si>
    <t>Halpin, JA; Daczko, NR; Clarke, GL; Murray, KR</t>
  </si>
  <si>
    <t>Halpin, Jacqueline A.; Daczko, Nathan R.; Clarke, Geoffrey L.; Murray, Kathleen R.</t>
  </si>
  <si>
    <t>Basin analysis in polymetamorphic terranes: An example from east Antarctica</t>
  </si>
  <si>
    <t>PRECAMBRIAN RESEARCH</t>
  </si>
  <si>
    <t>Anatexis; Detrital zircon; Hafnium isotopes; Metasediments; Rayner Orogen; Rodinia</t>
  </si>
  <si>
    <t>PRINCE-CHARLES-MOUNTAINS; U-PB GEOCHRONOLOGY; GRANULITE-FACIES PARAGNEISS; KEMP-LAND COAST; PRYDZ-BAY; LARSEMANN HILLS; GHATS BELT; RAYNER COMPLEX; NAPIER COMPLEX; HF-ISOTOPE</t>
  </si>
  <si>
    <t>U-Pb and Lu-Hf isotopic signatures of detrital and metamorphic zircon in granulite fades paragneiss from Kemp and MacRobertson lands, east Antarctica, distinguish two extensive Precambrian basins: (1) an Archaean basin deposited between c. 2570 Ma and c. 2500-2430 Ma, which extended across Kemp Land contiguous with equivalent paragneiss in the adjacent Napier Complex in Enderby Land; and (2) a late Mesoproterozoic basin deposited after c. 1110-1080 Ma in MacRobertson Land that extends into eastern Kemp Land, which also incorporates rocks currently exposed in the Eastern Ghats Province of India and the Prydz Bay region of east Antarctica. An unconformity that separates the Archaean and Mesoproterozoic sedimentary packages is near the Stillwell Hills. An eastward increase in the proportion of fragmentary detrital zircon in the younger package reflects proximity to late Mesoproterozoic volcanic sources. The Mesoproterozoic basin likely developed along an Andean-type margin to the Indo-Antarctic craton, possibly in a back-arc setting during the assembly of Rodinia. The widespread dissolution of zircon at c. 990-940 Ma during Rayner orogenesis in Kemp and MacRobertson lands largely precludes a traditional basin analysis via detrital geochronology, but the Hf isotopic ratio of metamorphic zircon precipitated following anatexis provides a homogenised signature, equivalent to a bulk-rock model age, which can be used as a stratigraphic proxy. This approach captures hidden provenance information to enable lithostratigraphic correlation in complex high-grade terranes. (c) 2013 Elsevier B.V. All rights reserved.</t>
  </si>
  <si>
    <t>[Halpin, Jacqueline A.; Daczko, Nathan R.; Murray, Kathleen R.] Macquarie Univ, Dept Earth &amp; Planetary Sci, GEMOC ARC Natl Key Ctr, N Ryde, NSW 2109, Australia; [Halpin, Jacqueline A.] Univ Tasmania, ARC Ctr Excellence Ore Deposits, Hobart, Tas 7001, Australia; [Clarke, Geoffrey L.] Univ Sydney, Sch Geosci, Sydney, NSW 2006, Australia</t>
  </si>
  <si>
    <t>Macquarie University; University of Tasmania; University of Sydney</t>
  </si>
  <si>
    <t>Halpin, JA (corresponding author), Univ Tasmania, ARC Ctr Excellence Ore Deposits, Private Bag 126, Hobart, Tas 7001, Australia.</t>
  </si>
  <si>
    <t>jahalpin@utas.edu.au</t>
  </si>
  <si>
    <t>GAU, geochemist/H-1985-2016; Clarke, Geoffrey/O-9307-2019; Halpin, Jacqueline A/A-3776-2014</t>
  </si>
  <si>
    <t>Clarke, Geoffrey/0000-0001-6909-6643; Halpin, Jacqueline A/0000-0002-4992-8681; Murray, Kathleen/0000-0002-7224-6099; Daczko, Nathan/0000-0002-3737-3818</t>
  </si>
  <si>
    <t>Antarctic Science Advisory Committee (ASAC Project) [1150, 2214]; DEST Systemic Infrastructure Grants; ARC LIEF; NCRIS; Macquarie University; Macquarie University Research Development Grant (MQRDG,) [9200900498]</t>
  </si>
  <si>
    <t>Antarctic Science Advisory Committee (ASAC Project); DEST Systemic Infrastructure Grants(Australian GovernmentDepartment of Industry, Innovation and Science); ARC LIEF(Australian Research Council); NCRIS(Australian GovernmentDepartment of Industry, Innovation and Science); Macquarie University; Macquarie University Research Development Grant (MQRDG,)</t>
  </si>
  <si>
    <t>Fieldwork for this study was completed with funding from the Antarctic Science Advisory Committee (ASAC Project Nos. 1150, 2214). Samples were collected over several Australian National Antarctic Research Expeditions spanning 1989-2005 involving researchers from The University of Sydney, including authors JAH and GLC, as well as colleagues V. Bennett, C.J. Carson, J.A. Fitzherbert, C.L. Gerakiteys, N.M. Kelly, J.A. Hollis, LA. Milan, F.C. Schroter and R.W. White. The authors thank the Australian Antarctic Division and personnel of Mawson Base for their logistic support. We are grateful to N. Pearson (GEMOC, Macquarie University), S. Meffre (CODES, University of Tasmania) and K. Goemann (CSL, University of Tasmania) for help with the analytical work. The authors would like to thank S.D. Boger and an anonymous reviewer for their careful and constructive reviews, and P. Cawood for editorial handling. This is contribution 869 from the Australian Research Council National Key Centre for the Geochemical Evolution and Metallogeny of Continents (http://www.gemoc.mq.edu.au). The analytical data were obtained using instrumentation funded by DEST Systemic Infrastructure Grants, ARC LIEF, NCRIS, industry partners and Macquarie University. Macquarie University Research Development Grant (MQRDG, Grant ref. 9200900498) funding provided financial support to conduct the research.</t>
  </si>
  <si>
    <t>0301-9268</t>
  </si>
  <si>
    <t>1872-7433</t>
  </si>
  <si>
    <t>PRECAMBRIAN RES</t>
  </si>
  <si>
    <t>Precambrian Res.</t>
  </si>
  <si>
    <t>10.1016/j.precamres.2013.03.015</t>
  </si>
  <si>
    <t>180KX</t>
  </si>
  <si>
    <t>WOS:000321595200004</t>
  </si>
  <si>
    <t>Nath, BN; Sijinkumar, AV; Borole, DV; Gupta, SM; Mergulhao, LP; Mascarenhas-Pereira, MBL; Ramaswamy, V; Guptha, MVS; Possnert, G; Aldahan, A; Khadge, NH; Sharma, R</t>
  </si>
  <si>
    <t>Nath, Bejugam Nagender; Sijinkumar, Adukkam V.; Borole, Dnyandev V.; Gupta, Shyam M.; Mergulhao, Lina P.; Mascarenhas-Pereira, Maria B. L.; Ramaswamy, Venkitasubramani; Guptha, Medimi V. S.; Possnert, Goran; Aldahan, Ala; Khadge, Nandkumar H.; Sharma, Rahul</t>
  </si>
  <si>
    <t>Record of carbonate preservation and the Mid-Brunhes climatic shift from a seamount top with low sedimentation rates in the Central Indian Basin</t>
  </si>
  <si>
    <t>BOREAS</t>
  </si>
  <si>
    <t>SEA-SURFACE TEMPERATURES; LATE-PLEISTOCENE; RADIOLARIAN ASSEMBLAGES; FERROMANGANESE CRUST; CLAY-MINERALS; OCEAN; DISSOLUTION; FORAMINIFERA; CIRCULATION; AUSTRALIA</t>
  </si>
  <si>
    <t>In the present investigation, an age model of carbonate-rich cores from a seamount top in the Central Indian Basin (CIB) was constructed using both isotopic (230Thexcess, AMS 14C, oxygen isotopes) and biostratigraphic methods. The chronologies using the two methods are in good agreement, yielding a record of the late Middle Pleistocene to the Pleistocene-Holocene transition (550 to 11.5ka). The first appearance datum (FAD) of the radiolarian Buccinosphaera invaginata (180ka) and coccolith Emiliania huxleyi (268ka) and the last appearance datum (LAD) of the radiolarian Stylatractus universus (425ka) were used. A monsoon-induced productivity increase was inferred from carbonate, organic carbon and 13C records in response to the Mid-Brunhes Climatic Shift (MBCS), consistent with an increased global productivity. While the coccolith diversity increased, a decrease in coccolith productivity was found during the MBCS. At nearly the same time period, earlier records from the equatorial Indian Ocean, western Indian Ocean and eastern Africa have shown an increased productivity in response to the influence of westerlies and increased monsoon. The influence of easterlies from Australia and the intensification of aridity are evidenced by increased kaolinite content and clay-sized sediments in response to the MBCS. An increased abundance of Globorotalia menardii and other resistant species beginning from marine isotope stage (MIS) 11 and the proliferation of coccolith Gephyrocapsa spp. indicate increased dissolution, which is consistent with the widespread global carbonate dissolution during this period. The relatively high carbonate dissolution during the transition period of MIS 3/2 and glacial to interglacial periods (MIS 6, 7 and 8) may be due to the enhanced flow of corrosive Antarctic Bottom Water (AABW) into the CIB.</t>
  </si>
  <si>
    <t>[Khadge, Nandkumar H.; Sharma, Rahul] Natl Inst Oceanog CSIR, Geol Oceanog Div, Panaji 403004, Goa, India; [Possnert, Goran] Uppsala Univ, Tandem Lab, SE-75237 Uppsala, Sweden; [Aldahan, Ala] Uppsala Univ, Dept Earth Sci, S-75236 Uppsala, Sweden; [Aldahan, Ala] United Arab Emirates Univ, Dept Geol, Al Ain, U Arab Emirates</t>
  </si>
  <si>
    <t>Council of Scientific &amp; Industrial Research (CSIR) - India; CSIR - National Institute of Oceanography (NIO); Uppsala University; Uppsala University; United Arab Emirates University</t>
  </si>
  <si>
    <t>Nath, BN (corresponding author), Govt Coll Kasaragod, Dept Post Grad Studies &amp; Res Geol, Kasaragod 671123, Kerala, India.</t>
  </si>
  <si>
    <t>nagender@nio.org; sijingeo@gmail.com; dnyanb@gmail.com; smgupta@nio.org; mlina@rediffmail.com; mariab@nio.org; rams@nio.org; medimi.guptha@googlemail.com; goran.possnert@teknik.uu.se; ala.aldahan@geo.uu.se; khadge@nio.org; rsharma@nio.org</t>
  </si>
  <si>
    <t>A.V., Sijinkumar/A-1649-2017</t>
  </si>
  <si>
    <t>A.V., Sijinkumar/0000-0003-3771-1597</t>
  </si>
  <si>
    <t>Ministry of Earth Science, New Delhi</t>
  </si>
  <si>
    <t>We thank the Director of the National Institute of Oceanography, Goa for permission to publish this paper. The Ministry of Earth Science (formerly Department of Ocean Development, Government of India), New Delhi is thanked for providing ship time on RV 'Akademik Boris Petrov' and for funding for Project PMN-EIA. The captain and crew of the ship are also thanked for their help. Ms Trupti Naik helped in shipboard sampling and in sample processing in the onshore laboratory. Mr V. D. Khedekar, Mr Girish Prabhu, Ms Supriya Karapurkar and Dr C. Prakash Babu are thanked for their help during SEM, XRD, IRMS and coulometer analyses, respectively. Sediment grain size and mineralogy were generated as a part of Graduate project work of students of Smt. Parvatibai Chowgule College, Margao. Comments by Dr Richard Murray and the anonymous reviewer, and changes suggested by Professor Jan A. Piotrowski, Editor-in-Chief, helped to improve the manuscript. This is National Institute of Oceanography contribution No. 5232.</t>
  </si>
  <si>
    <t>0300-9483</t>
  </si>
  <si>
    <t>1502-3885</t>
  </si>
  <si>
    <t>Boreas</t>
  </si>
  <si>
    <t>10.1111/j.1502-3885.2012.00304.x</t>
  </si>
  <si>
    <t>169LX</t>
  </si>
  <si>
    <t>WOS:000320782800019</t>
  </si>
  <si>
    <t>Nakayama, Y; Schröder, M; Hellmer, HH</t>
  </si>
  <si>
    <t>Nakayama, Y.; Schroeder, M.; Hellmer, H. H.</t>
  </si>
  <si>
    <t>From circumpolar deep water to the glacial meltwater plume on the eastern Amundsen Shelf</t>
  </si>
  <si>
    <t>Circumpolar deep water; Ocean-ice shelf interaction; Ice shelf basal melting; Amundsen Sea</t>
  </si>
  <si>
    <t>PINE ISLAND GLACIER; ANTARCTIC ICE-SHEET; OCEAN CIRCULATION; WEST; HELIUM; SEA; CAVITY; NEON; BAY</t>
  </si>
  <si>
    <t>The melting of Pine Island Ice Shelf (PIIS) has increased since the 1990 s, which may have a large impact on ice sheet dynamics, sea-level rise, and changes in water mass properties of surrounding oceans. The reason for the PIIS melting is the relatively warm (similar to 1.2 degrees C) Circumpolar Deep Water (CDW) that penetrates into the PIIS cavity through two submarine glacial troughs located on the Amundsen Sea continental shelf. In this study, we mainly analyze the hydrographic data obtained during ANTXXVI/3 in 2010 with the focus on pathways of the intruding CDW, PIIS melt rates, and the fate of glacial meltwater. We analyze the data by dividing CTD profiles into 6 groups according to intruding CDW properties and meltwater content. From this analysis, it is seen that CDW warmer than 1.23 degrees C (colder than 1.23 degrees C) intrudes via the eastern (central) trough. The temperature is controlled by the thickness of the intruding CDW layer. The eastern trough supports a denser CDW layer than the water mass in Pine Island Trough (PIT). The eastern intrusion is modified on the way into PIT through mixing with the lighter and colder CDW from the central trough. Using ocean transport and tracer transport calculations from the ice shelf front CTD section, the estimated melt rate in 2010 is similar to 30 m yr(-1), which is comparable to published values. From spatial distributions of meltwater content, meltwater flows along the bathymetry towards the west. When compared with earlier (2000) observations, a warmer and thicker CDW layer is observed in Pine Island Trough for the period 2007-2010, indicating a recent thickening of the CDW intrusion. (C) 2013 Elsevier Ltd. All rights reserved.</t>
  </si>
  <si>
    <t>[Nakayama, Y.; Schroeder, M.; Hellmer, H. H.] Alfred Wegener Inst Polar &amp; Marine Res, D-27570 Bremerhaven, Germany</t>
  </si>
  <si>
    <t>Nakayama, Y (corresponding author), Alfred Wegener Inst Polar &amp; Marine Res, Bussestr 24, D-27570 Bremerhaven, Germany.</t>
  </si>
  <si>
    <t>Yoshihiro.Nakayama@awi.de; Michael.Schroeder@awi.de; Hartmut.Hellmer@awi.de</t>
  </si>
  <si>
    <t>Nakayama, Yoshihiro/R-4325-2019</t>
  </si>
  <si>
    <t>Nakayama, Yoshihiro/0000-0001-6543-529X; Hellmer, Hartmut/0000-0002-9357-9853</t>
  </si>
  <si>
    <t>10.1016/j.dsr.2013.04.001</t>
  </si>
  <si>
    <t>165OV</t>
  </si>
  <si>
    <t>WOS:000320494100005</t>
  </si>
  <si>
    <t>Shao, WB; Bouzerdoum, A; Phung, SL</t>
  </si>
  <si>
    <t>Shao, Wenbin; Bouzerdoum, Abdesselam; Phung, Son Lam</t>
  </si>
  <si>
    <t>Sparse Representation of GPR Traces With Application to Signal Classification</t>
  </si>
  <si>
    <t>IEEE TRANSACTIONS ON GEOSCIENCE AND REMOTE SENSING</t>
  </si>
  <si>
    <t>Ground penetrating radar (GPR); pattern classification; signal decomposition; sparse representation (SR)</t>
  </si>
  <si>
    <t>GROUND-PENETRATING RADAR; MATCHING PURSUITS; RECONSTRUCTION; DECOMPOSITION</t>
  </si>
  <si>
    <t>Sparse representation (SR) models a signal with a small number of elementary waves using an overcomplete dictionary. It has been employed for a wide range of signal and image processing applications, including denoising, deblurring, and compression. In this paper, we present an adaptive SR method for modeling and classifying ground penetrating radar (GPR) signals. The proposed method decomposes each GPR trace into elementary waves using an adaptive Gabor dictionary. The sparse decomposition is used to extract salient features for SR and classification of GPR signals. Experimental results on real-world data show that the proposed sparse decomposition achieves efficient signal representation and yields discriminative features for pattern classification.</t>
  </si>
  <si>
    <t>[Shao, Wenbin; Bouzerdoum, Abdesselam; Phung, Son Lam] Univ Wollongong, Informat &amp; Commun Technol Res Inst, Wollongong, NSW 2522, Australia; [Shao, Wenbin; Bouzerdoum, Abdesselam; Phung, Son Lam] Univ Wollongong, Sch Elect Comp &amp; Telecommun Engn, Wollongong, NSW 2522, Australia</t>
  </si>
  <si>
    <t>University of Wollongong; University of Wollongong</t>
  </si>
  <si>
    <t>Shao, WB (corresponding author), Univ Wollongong, Informat &amp; Commun Technol Res Inst, Wollongong, NSW 2522, Australia.</t>
  </si>
  <si>
    <t>ws909@uowmail.edu.au; a.bouzerdoum@ieee.org; phung@uow.edu.au</t>
  </si>
  <si>
    <t>Phung, Son Lam/A-9469-2013; /I-9592-2014; Bouzerdoum, Abdesselam/A-4479-2012</t>
  </si>
  <si>
    <t>Phung, Son Lam/0000-0002-3076-0540; /0000-0001-6052-615X; Bouzerdoum, Abdesselam/0000-0002-9163-0045</t>
  </si>
  <si>
    <t>Australian Research Council; Cooperative Research Center Rail for Innovation [CRC-AT5]</t>
  </si>
  <si>
    <t>Australian Research Council(Australian Research Council); Cooperative Research Center Rail for Innovation</t>
  </si>
  <si>
    <t>This work was supported in part by a grant from the Australian Research Council.; The Windmill Islands data were obtained from the Australian Antarctic Data Center (International Directory Network Node Antarctic Master Directory/Australia), Australian Antarctic Division, Commonwealth of Australia. The Wollongong railway ground penetrating radar data were collected as part of the Rail CRC-AT5 project, sponsored by Cooperative Research Center Rail for Innovation.</t>
  </si>
  <si>
    <t>IEEE-INST ELECTRICAL ELECTRONICS ENGINEERS INC</t>
  </si>
  <si>
    <t>PISCATAWAY</t>
  </si>
  <si>
    <t>445 HOES LANE, PISCATAWAY, NJ 08855-4141 USA</t>
  </si>
  <si>
    <t>0196-2892</t>
  </si>
  <si>
    <t>1558-0644</t>
  </si>
  <si>
    <t>IEEE T GEOSCI REMOTE</t>
  </si>
  <si>
    <t>IEEE Trans. Geosci. Remote Sensing</t>
  </si>
  <si>
    <t>10.1109/TGRS.2012.2228660</t>
  </si>
  <si>
    <t>Geochemistry &amp; Geophysics; Engineering, Electrical &amp; Electronic; Remote Sensing; Imaging Science &amp; Photographic Technology</t>
  </si>
  <si>
    <t>Geochemistry &amp; Geophysics; Engineering; Remote Sensing; Imaging Science &amp; Photographic Technology</t>
  </si>
  <si>
    <t>171PX</t>
  </si>
  <si>
    <t>WOS:000320942600011</t>
  </si>
  <si>
    <t>Ikeda, T</t>
  </si>
  <si>
    <t>Ikeda, Tsutomu</t>
  </si>
  <si>
    <t>Synthesis towards a global-bathymetric model of metabolism and chemical composition of mysid crustaceans</t>
  </si>
  <si>
    <t>Ammonia excretion; CN composition; Global-bathymetric model; Mysids; O:N ratio; Respiration</t>
  </si>
  <si>
    <t>ANTARCTIC MICRONEKTONIC CRUSTACEA; OXYGEN-CONSUMPTION; ELEMENTAL COMPOSITION; MIDWATER CRUSTACEANS; MARINE ZOOPLANKTON; AMMONIA EXCRETION; BODY-MASS; RESPIRATION; DEPTH; RATES</t>
  </si>
  <si>
    <t>Respiration and ammonia excretion data and chemical composition data [water content, ash, carbon (C), nitrogen (N) and C:N ratios] of 13-32 mysids from freshwater, coastal littoral, epipelagic and abyssopelagic zones of the world's oceans were compiled. The independent variables including body mass, habitat temperature and sampling depth were all significant predictors of respiration, accounting for 74-85% of the variance in the data, while body mass and habitat temperature were significant predictors of ammonia excretion, accounting for 85-86% of the variance. Atomic O:N ratios (respiration: ammonia excretion) ranged from 7.9 to 448 (median: 18.7), indicating protein-oriented metabolism. Body water content and ash were not correlated with body mass, habitat temperature and sampling depth, but C composition and N composition increased and decreased, respectively, with the increase of sampling depth. As judged by C:N ratios, protein was considered to be the major organic component of most mysids. However, some deep-sea mysids exhibited high C:N ratios (8.6-10.6), suggesting a predominance of lipids in the body. (C) 2013 Elsevier B.V. All rights reserved.</t>
  </si>
  <si>
    <t>Ikeda, T (corresponding author), 16-3-1001 Toyokawa Cho, Hakodate, Hokkaido 0400065, Japan.</t>
  </si>
  <si>
    <t>ikeda.tutomu@sepia.plala.or.jp</t>
  </si>
  <si>
    <t>10.1016/j.jembe.2013.04.001</t>
  </si>
  <si>
    <t>170ZZ</t>
  </si>
  <si>
    <t>WOS:000320895500010</t>
  </si>
  <si>
    <t>Houliez, E; Lizon, F; Lefebvre, S; Artigas, LF; Schmitt, FG</t>
  </si>
  <si>
    <t>Houliez, Emilie; Lizon, Fabrice; Lefebvre, Sebastien; Artigas, Luis Felipe; Schmitt, Francois G.</t>
  </si>
  <si>
    <t>Short-term variability and control of phytoplankton photosynthetic activity in a macrotidal ecosystem (the Strait of Dover, eastern English Channel)</t>
  </si>
  <si>
    <t>MARINE BIOLOGY</t>
  </si>
  <si>
    <t>RAPID LIGHT CURVES; PHAEOCYSTIS-GLOBOSA; CHLOROPHYLL FLUORESCENCE; EMILIANIA-HUXLEYI; COASTAL WATERS; FLUCTUATING IRRADIANCE; VARIABLE FLUORESCENCE; XANTHOPHYLL-CYCLE; ANTARCTIC DIATOM; DIEL VARIATIONS</t>
  </si>
  <si>
    <t>Short-term changes in phytoplankton photosynthetic activity were studied during different periods of the years 2009 and 2010 in the coastal waters of a macrotidal ecosystem (the Strait of Dover, eastern English Channel). During each sampling period, samples were taken every 1.45 h., from sunrise to sunset, during at least 5 days distributed along a complete spring-neap tide cycle. The photosynthetic parameters were obtained by measuring rapid light curves using pulse amplitude modulated fluorometry and were related to environmental conditions and phytoplankton taxonomic composition. The maximum quantum yield (F (v)/F (m)) showed clear light-dependent changes and could vary from physiological maxima (0.68-0.60) to values close to 0.30 during the course of 1 day, suggesting the operation of photoprotective mechanisms. The maximum electron transport rate (ETRm) and maximal light utilization efficiency (alpha) were generally positively correlated and showed large diel variability. These parameters fluctuated significantly from hour to hour within each day and the intraday pattern of variation changed significantly among days of each sampling period. Stepwise multiple linear regressions analyses indicated that light fluctuations explained a part of this variability but a great part of variability stayed unexplained. F (v)/F (m), ETRm and alpha were not only dependent on the light conditions of the sampling day but also on those of the previous days. A time lag of 3 days in the effect of light on ETRm and alpha variation was highlighted. At these time scales, changes in phytoplankton community structure seemed to have a low importance in the variability in photosynthetic parameters. The photoacclimation index E (k) showed a lower variability and was generally different from the incident irradiance, indicating a limited acclimation capacity with a poor optimization of light harvesting during the day. However, in well-mixed systems such as the Strait of Dover, the short-term photoacclimation is disrupted by the high level of variability in environmental conditions. Also, the variability observed in the present study can be associated with a particular kind of photosynthetic response: the E (k)-independent variability. The physiological basis of this photosynthetic response is largely unresolved and further researches on this subject are still required to better explain the dynamics of phytoplankton activity in the Strait of Dover.</t>
  </si>
  <si>
    <t>[Houliez, Emilie; Lizon, Fabrice; Lefebvre, Sebastien; Schmitt, Francois G.] Univ Sci &amp; Technol Lille, Lab Oceanol &amp; Geosci, CNRS, Univ Lille Nord France,UMR 8187,Stn Marine Wimere, F-62930 Wimereux, France; [Artigas, Luis Felipe] Univ Littoral Cote dOpale, Lab Oceanol &amp; Geosci, CNRS, Univ Lille Nord France,UMR 8187, F-62930 Wimereux, France</t>
  </si>
  <si>
    <t>Universite de Lille; Centre National de la Recherche Scientifique (CNRS); CNRS - National Institute for Earth Sciences &amp; Astronomy (INSU); Centre National de la Recherche Scientifique (CNRS); CNRS - National Institute for Earth Sciences &amp; Astronomy (INSU); Universite du Littoral-Cote-d'Opale; Universite de Lille</t>
  </si>
  <si>
    <t>Houliez, E (corresponding author), Univ Sci &amp; Technol Lille, Lab Oceanol &amp; Geosci, CNRS, Univ Lille Nord France,UMR 8187,Stn Marine Wimere, 28 Ave Foch, F-62930 Wimereux, France.</t>
  </si>
  <si>
    <t>emilie.houliez@ed.univ-lille1.fr</t>
  </si>
  <si>
    <t>Houliez, Emilie/B-6968-2014; Artigas, Luis Felipe/L-1264-2016; Schmitt, François G./A-1999-2009; Lefebvre, Sébastien/G-8562-2011</t>
  </si>
  <si>
    <t>Schmitt, François G./0000-0001-6733-0598; Lefebvre, Sébastien/0000-0002-7152-5897; lizon, fabrice/0000-0001-7393-6553; Artigas, Luis Felipe/0000-0003-0512-5315; Houliez, Emilie/0000-0003-1670-6772</t>
  </si>
  <si>
    <t>French Ministere de l'Enseignement Superieur et de la Recherche; DYMAPHY INTERREG IVA 2 Mers Seas Zeeen project; European Union (ERDF funds)</t>
  </si>
  <si>
    <t>French Ministere de l'Enseignement Superieur et de la Recherche; DYMAPHY INTERREG IVA 2 Mers Seas Zeeen project; European Union (ERDF funds)(European Union (EU))</t>
  </si>
  <si>
    <t>We thank Valerie Gentilhomme for her help during laboratory measurements of nutrient concentrations, Jessica Chicheportiche for chlorophyll a analyses and Xavier Meriaux for his help during the analyses of chl a-specific absorption coefficients. Finally, we thank three anonymous reviewers for their helpful comments which improved the manuscript. This study forms part of the PhD thesis of E. H. financially supported by a grant from the French Ministere de l'Enseignement Superieur et de la Recherche and the DYMAPHY INTERREG IVA 2 Mers Seas Zeeen project co-funded by the European Union (ERDF funds).</t>
  </si>
  <si>
    <t>SPRINGER HEIDELBERG</t>
  </si>
  <si>
    <t>HEIDELBERG</t>
  </si>
  <si>
    <t>TIERGARTENSTRASSE 17, D-69121 HEIDELBERG, GERMANY</t>
  </si>
  <si>
    <t>0025-3162</t>
  </si>
  <si>
    <t>1432-1793</t>
  </si>
  <si>
    <t>MAR BIOL</t>
  </si>
  <si>
    <t>Mar. Biol.</t>
  </si>
  <si>
    <t>10.1007/s00227-013-2218-4</t>
  </si>
  <si>
    <t>169OZ</t>
  </si>
  <si>
    <t>WOS:000320791000012</t>
  </si>
  <si>
    <t>Austermann, J; Mitrovica, JX; Latychev, K; Milne, GA</t>
  </si>
  <si>
    <t>Austermann, Jacqueline; Mitrovica, Jerry X.; Latychev, Konstantin; Milne, Glenn A.</t>
  </si>
  <si>
    <t>Barbados-based estimate of ice volume at Last Glacial Maximum affected by subducted plate</t>
  </si>
  <si>
    <t>SEA-LEVEL; MANTLE; PLEISTOCENE; MODELS; EARTH</t>
  </si>
  <si>
    <t>The record of sea-level change at Barbados derived from the dating of fossil corals(1-3) has been used to argue that globally averaged, or eustatic, sea level during the Last Glacial Maximum was approximately 120 m below present(3). This estimate is roughly 10 m lower than inferences based on sea-level data from other far-field sites(4) and, if correct, would suggest that the Barbados record is a largely uncontaminated measure of eustasy(3). However, these previous analyses(1-4) were based on numerical corrections for glacial isostatic adjustment that adopted one-dimensional viscoelastic Earth models. Here we assess the impact of three-dimensional mantle viscoelastic structure on predictions of post-glacial sea-level change at Barbados. Our simulations indicate that the predictions are strongly perturbed by the presence of a high-viscosity slab associated with subduction of the South American Plate beneath the Caribbean Plate. The slab suppresses local deformation and reduces the sea-level rise predicted during the deglaciation phase. To accommodate this reduction while maintaining a fit to the Barbados sea-level record requires an excess ice volume at the Last Glacial Maximum equivalent to about 130 m of eustatic sea-level rise. Given a downward revision in estimates of the Antarctic ice sheet contribution(5) to this excess ice volume, we conclude that a significant amount of Northern Hemisphere ice at the Last Glacial Maximum remains unaccounted for in sea-level-based ice sheet reconstructions.</t>
  </si>
  <si>
    <t>[Austermann, Jacqueline; Mitrovica, Jerry X.] Harvard Univ, Dept Earth &amp; Planetary Sci, Cambridge, MA 02138 USA; [Latychev, Konstantin] Univ Toronto, Dept Phys, Toronto, ON M5S 1A7, Canada; [Milne, Glenn A.] Univ Ottawa, Dept Earth Sci, Ottawa, ON K1N 6N5, Canada</t>
  </si>
  <si>
    <t>Harvard University; University of Toronto; University of Ottawa</t>
  </si>
  <si>
    <t>Austermann, J (corresponding author), Harvard Univ, Dept Earth &amp; Planetary Sci, 20 Oxford St, Cambridge, MA 02138 USA.</t>
  </si>
  <si>
    <t>jaustermann@fas.harvard.edu</t>
  </si>
  <si>
    <t>Austermann, Jacqueline/0000-0003-3754-5082</t>
  </si>
  <si>
    <t>Harvard University; Canadian Institute for Advanced Research; [NSF-OCE-1202632]; Directorate For Geosciences; Division Of Ocean Sciences [1202632] Funding Source: National Science Foundation</t>
  </si>
  <si>
    <t>Harvard University; Canadian Institute for Advanced Research(Canadian Institute for Advanced Research (CIFAR)); ; Directorate For Geosciences; Division Of Ocean Sciences(National Science Foundation (NSF)NSF - Directorate for Geosciences (GEO))</t>
  </si>
  <si>
    <t>Support for this research was provided by NSF-OCE-1202632, Harvard University and the Canadian Institute for Advanced Research.</t>
  </si>
  <si>
    <t>75 VARICK ST, 9TH FLR, NEW YORK, NY 10013-1917 USA</t>
  </si>
  <si>
    <t>10.1038/NGEO1859</t>
  </si>
  <si>
    <t>172KU</t>
  </si>
  <si>
    <t>WOS:000321002700018</t>
  </si>
  <si>
    <t>Jia, P; Zhang, SJ</t>
  </si>
  <si>
    <t>Jia, Peng; Zhang, Sijiong</t>
  </si>
  <si>
    <t>Simulation of a ground-layer adaptive optics system for the Kunlun Dark Universe Survey Telescope</t>
  </si>
  <si>
    <t>RESEARCH IN ASTRONOMY AND ASTROPHYSICS</t>
  </si>
  <si>
    <t>instrumentation: adaptive optics; methods: numerical</t>
  </si>
  <si>
    <t>DOME-C; ANTARCTICA; TURBULENCE; ENERGY</t>
  </si>
  <si>
    <t>Ground Layer Adaptive Optics (GLAO) is a recently developed technique extensively applied to ground-based telescopes, which mainly compensates for the wavefront errors induced by ground-layer turbulence to get an appropriate point spread function in a wide field of view. The compensation results mainly depend on the turbulence distribution. The atmospheric turbulence at Dome A in the Antarctic is mainly distributed below 15 meters, which is an ideal site for applications of GLAO. The GLAO system has been simulated for the Kunlun Dark Universe Survey Telescope, which will be set up at Dome A, and uses a rotating mirror to generate several laser guide stars and a wavefront sensor with a wide field of view to sequentially measure the wavefronts from different laser guide stars. The system is simulated on a computer and parameters of the system are given, which provide detailed information about the design of a practical GLAO system.</t>
  </si>
  <si>
    <t>[Jia, Peng] Nanjing Univ, Sch Astron &amp; Space Sci, Nanjing 210093, Jiangsu, Peoples R China; [Jia, Peng; Zhang, Sijiong] Chinese Acad Sci, Nanjing Inst Astron Opt &amp; Technol, Natl Astron Observ, Nanjing 210042, Jiangsu, Peoples R China; [Jia, Peng; Zhang, Sijiong] Chinese Acad Sci, Nanjing Inst Astron Opt &amp; Technol, Key Lab Astron Opt &amp; Technol, Nanjing 210042, Jiangsu, Peoples R China; [Jia, Peng] Minist Educ, Key Lab Modern Astron &amp; Astrophys, Nanjing 210093, Jiangsu, Peoples R China</t>
  </si>
  <si>
    <t>Nanjing University; Chinese Academy of Sciences; National Astronomical Observatory, CAS; Nanjing Institute of Astronomical Optics &amp; Technology, NAOC, CAS; Chinese Academy of Sciences; Nanjing Institute of Astronomical Optics &amp; Technology, NAOC, CAS</t>
  </si>
  <si>
    <t>Jia, P (corresponding author), Nanjing Univ, Sch Astron &amp; Space Sci, Nanjing 210093, Jiangsu, Peoples R China.</t>
  </si>
  <si>
    <t>sjzhang@niaot.ac.cn</t>
  </si>
  <si>
    <t>Jia, Peng/AEA-4672-2022; Jia, Peng/J-9617-2014</t>
  </si>
  <si>
    <t>Jia, Peng/0000-0001-6623-0931; Jia, Peng/0000-0001-6623-0931</t>
  </si>
  <si>
    <t>NATL ASTRONOMICAL OBSERVATORIES, CHIN ACAD SCIENCES</t>
  </si>
  <si>
    <t>20A DATUN RD, CHAOYANG, BEIJING, 100012, PEOPLES R CHINA</t>
  </si>
  <si>
    <t>1674-4527</t>
  </si>
  <si>
    <t>2397-6209</t>
  </si>
  <si>
    <t>RES ASTRON ASTROPHYS</t>
  </si>
  <si>
    <t>Res. Astron. Astrophys.</t>
  </si>
  <si>
    <t>10.1088/1674-4527/13/7/011</t>
  </si>
  <si>
    <t>170NP</t>
  </si>
  <si>
    <t>WOS:000320859600011</t>
  </si>
  <si>
    <t>Van de Vijver, B; Moravcová, A; Kusber, WH; Neustupa, J</t>
  </si>
  <si>
    <t>Van de Vijver, Bart; Moravcova, Adela; Kusber, Wolf-Henning; Neustupa, Jiri</t>
  </si>
  <si>
    <t>Analysis of the type material of Pinnularia divergentissima (GRUNOW in VAN HEURCK) CLEVE (Bacillariophyceae)</t>
  </si>
  <si>
    <t>FOTTEA</t>
  </si>
  <si>
    <t>Antarctic Region; landmark analysis; morphology; new species; Pinnularia divergentissima; P. fottii; P. martinii; type material</t>
  </si>
  <si>
    <t>FRESH-WATER; DIATOM COMMUNITIES; COMPLEX BACILLARIOPHYCEAE; GEOMETRIC MORPHOMETRICS; SELLAPHORA; ISLANDS; REVISION; SYMMETRY</t>
  </si>
  <si>
    <t>The analysis of the type material of Pinnularia divergentissima (GRUNOW in VAN HEURCK) CLEVE revealed the presence of two distinct :Pinnularia taxa in the same slide. Comparison with the Original drawing of P. divergentissima by GRUNOW showed that recent taxonomic treatments of P. divergentissima are not in accordance with the original diagnosis. Both species in the type material are morphologically characterized and the correct identity of P. divergentissima is established whereas the second taxon is described as P. pseudodivergentissima sp. nov. Additionally, the type material of P. fottii J.BILY et MARVAN and P. martinii KRASSKE is likewise analysed and both taxa are separated from P. divergentissima. Finally, the morphological analysis of a fifth taxon from the sub-Antarctic Region resulted in the description of a new taxon, P. lindanedbalovae VAN DE VIJVER et MORAVCOVA sp. nov.</t>
  </si>
  <si>
    <t>[Van de Vijver, Bart] Natl Bot Garden, Dept Bryophyta &amp; Thallophyta, B-1860 Meise, Belgium; [Moravcova, Adela] Charles Univ Prague, Dept Ecol, CR-12844 Prague, Czech Republic; [Kusber, Wolf-Henning] Free Univ Berlin, Bot Garten &amp; Bot Museum Berlin Dahlem, D-14195 Berlin, Germany; [Neustupa, Jiri] Charles Univ Prague, Dept Bot, Prague 12801, Czech Republic</t>
  </si>
  <si>
    <t>Charles University Prague; Free University of Berlin; Charles University Prague</t>
  </si>
  <si>
    <t>Van de Vijver, B (corresponding author), Natl Bot Garden, Dept Bryophyta &amp; Thallophyta, B-1860 Meise, Belgium.</t>
  </si>
  <si>
    <t>vandevijver@br.fgov.be</t>
  </si>
  <si>
    <t>Neustupa, Jiri/J-1610-2015</t>
  </si>
  <si>
    <t>Neustupa, Jiri/0000-0003-3610-8120</t>
  </si>
  <si>
    <t>French Polar Institute-Paul-Emile Victor [136]; Grant Agency of the Charles University in Prague [GAUK 139910]; MSMT [0021620828]; ERASMUS travel grant</t>
  </si>
  <si>
    <t>French Polar Institute-Paul-Emile Victor; Grant Agency of the Charles University in Prague; MSMT(Ministry of Education, Youth &amp; Sports - Czech Republic); ERASMUS travel grant</t>
  </si>
  <si>
    <t>Sampling on Crozet has been made possible thanks to the logistic and financial support of the French Polar Institute-Paul-Emile Victor in the framework of the terrestrial program, 136 (Ir. Marc Lebouvier &amp; Dr. Yves Frenot). Pierre Compere is thanked for his valuable taxonomical and nomenclature comments. This research was financially supported by the Grant Agency of the Charles University in Prague (GAUK 139910) and partly by the project MSMT No 0021620828. Adela Moravcova benefitted from an ERASMUS travel grant during her research stay in the National Botanic Garden of Belgium. Dr. Anton Igersheim, curator of the Cryptogram Collection at the Naturhistorisches Museum in Vienna is acknowledged for borrowing us the type slide of P. divergentissima.</t>
  </si>
  <si>
    <t>CZECH PHYCOLOGICAL SOC</t>
  </si>
  <si>
    <t>PRAHA 2</t>
  </si>
  <si>
    <t>BENATSKA 2,, PRAHA 2, CZ-128 01, CZECH REPUBLIC</t>
  </si>
  <si>
    <t>1802-5439</t>
  </si>
  <si>
    <t>Fottea</t>
  </si>
  <si>
    <t>10.5507/fot.2013.001</t>
  </si>
  <si>
    <t>Plant Sciences</t>
  </si>
  <si>
    <t>166PJ</t>
  </si>
  <si>
    <t>WOS:000320569200001</t>
  </si>
  <si>
    <t>Pierrat, B; Saucède, T; Brayard, A; David, B</t>
  </si>
  <si>
    <t>Pierrat, Benjamin; Saucede, Thomas; Brayard, Arnaud; David, Bruno</t>
  </si>
  <si>
    <t>Comparative biogeography of echinoids, bivalves and gastropods from the Southern Ocean</t>
  </si>
  <si>
    <t>Antarctic; bootstrapped spanning network; dispersal; sub-Antarctic; trans-Antarctic seaway; vicariance</t>
  </si>
  <si>
    <t>MARINE BENTHIC DIVERSITY; SEA; BIODIVERSITY; ANTARCTICA; EVOLUTION; PATTERNS; DATABASE; FAUNA; WEST; ASSEMBLAGES</t>
  </si>
  <si>
    <t>Aim Biogeographical patterns within three classes, the Echinoidea, Bivalvia and Gastropoda, were investigated in Antarctic, sub-Antarctic and cold-temperate areas based on species occurrence data. Faunal similarities among regions were analysed to: (1) test the robustness of the biogeographical patterns previously identified in bivalves and gastropods; (2) compare them with the biogeographical patterns identified for echinoids; and (3) evaluate the reliability of the biogeographical provinces previously proposed, depending on the taxa and taxonomic levels analysed. Location The Southern Ocean, sub-Antarctic islands and cold-temperate areas south of 45 degrees S latitude at depths of &lt;1000m. Methods Taxonomic similarities among 14 bioregions were analysed using a non-hierarchical clustering method, the bootstrapped spanning network (BSN) procedure. Taxonomic similarities were analysed within the three classes at species and genus levels. Results The previously identified large-scale biogeographical entities are clarified. Echinoid and bivalve faunas are structured mainly according to three faunal provinces: (1) New Zealand, (2) southern South America and sub-Antarctic islands, and (3) Antarctica. Gastropod faunas group into five provinces: (1) New Zealand, (2) southern South America, (3) east sub-Antarctic islands, (4) West Antarctica, and (5) East Antarctica. Strong faunal relationships between bioregions perfectly match the flows of the Antarctic Circumpolar and Antarctic Coastal currents. Moreover, the legacy of the climatic and palaeoceanographic history of Antarctica is revealed by trans-Antarctic faunal affinities, thereby strongly supporting hypotheses of past marine seaways that would have connected both the Amundsen-Bellingshausen area to the Weddell Sea and the Weddell Sea to the Ross Sea. Main conclusions A significant advantage of the BSN procedure lies in the possibility of identifying both biogeographical groupings and transitional areas; that is, both strong connections and groupings between bioregions. The method has also proved to be efficient for identifying potential faunal exchange pathways and dispersal routes, both present and past, by fitting networks to oceanographic and palaeogeographical maps.</t>
  </si>
  <si>
    <t>[Pierrat, Benjamin; Saucede, Thomas; Brayard, Arnaud; David, Bruno] Univ Bourgogne, CNRS, UMR 6282, F-21000 Dijon, France</t>
  </si>
  <si>
    <t>Universite de Bourgogne; Centre National de la Recherche Scientifique (CNRS)</t>
  </si>
  <si>
    <t>Pierrat, B (corresponding author), Univ Bourgogne, CNRS, UMR 6282, 6 Blvd Gabriel, F-21000 Dijon, France.</t>
  </si>
  <si>
    <t>benjamin.pierrat@u-bourgogne.fr</t>
  </si>
  <si>
    <t>DAVID, Bruno/N-8798-2013; Brayard, Arnaud/AAH-3075-2020; Brayard, Arnaud/E-4711-2011</t>
  </si>
  <si>
    <t>Brayard, Arnaud/0000-0003-1304-6553; Brayard, Arnaud/0000-0003-1304-6553</t>
  </si>
  <si>
    <t>FRB; CAML/TOTAL; ANR ANTFLOCKS [07-BLAN-0213-01]; ECOS [C06B02]; BIANZO II project; BIANZO I project</t>
  </si>
  <si>
    <t>FRB; CAML/TOTAL; ANR ANTFLOCKS(Agence Nationale de la Recherche (ANR)); ECOS; BIANZO II project; BIANZO I project</t>
  </si>
  <si>
    <t>This paper is a contribution of the BIOME team of the CNRS laboratory of Biogeosciences (UMR 6282). Funding sources were the FRB (A. B.), CAML/TOTAL, ANR ANTFLOCKS (no. 07-BLAN-0213-01), ECOS (no. C06B02), and BIANZO I and II projects (Belgian Science Policy). The authors are greatly indebted to R. Mooi for improving the writing.</t>
  </si>
  <si>
    <t>10.1111/jbi.12088</t>
  </si>
  <si>
    <t>161ES</t>
  </si>
  <si>
    <t>WOS:000320175400015</t>
  </si>
  <si>
    <t>Laybourn-Parry, J; Anesio, AM; Madan, N; Säwström, C</t>
  </si>
  <si>
    <t>Laybourn-Parry, Johanna; Anesio, Alexandre M.; Madan, Nanette; Saewstroem, Christin</t>
  </si>
  <si>
    <t>Virus dynamics in a large epishelf lake (Beaver Lake, Antarctica)</t>
  </si>
  <si>
    <t>FRESHWATER BIOLOGY</t>
  </si>
  <si>
    <t>bacteria; epishelf lake; lysogeny; viruses; virus-to-bacterium ratio</t>
  </si>
  <si>
    <t>FRESH-WATER; BACTERIAL MORTALITY; VIRAL ABUNDANCE; LOOP DYNAMICS; MARINE; BACTERIOPLANKTON; PHYTOPLANKTON; VIRIOPLANKTON; GRADIENTS; INFECTION</t>
  </si>
  <si>
    <t>Virus concentrations, virus-to-bacterium ratios (VBRs) and levels of lysogenic phage were measured throughout the 110-m water column of epishelf Beaver Lake during the austral summer of 2003/2004. The aim was to determine which factor(s) controlled viral dynamics using detailed concomitant published data on inorganic nutrients, chlorophyll a, dissolved organic carbon (DOC) and bacterial production for Beaver Lake (Freshwater Biology, 51, 2006, 1119). Denaturing Gradient Gel Electrophoresis (DGGE) analysis of the bacterial community was also undertaken to investigate the potential relationship between bacterial community composition and viral dynamics. Virus concentration ranged between 1.43x104 and 302.4x104 virusesmL-1 and showed a clear increase over the summer, while bacterial concentrations exhibited no seasonal pattern (range: 9.6x104 to 44.6x104 cellsmL-1). Consequently, VBR varied with highest values in January (3.32-7.33). The percentage of lysogenic phage was low, ranging from 0 to 11.69%, suggesting that other life cycles (i.e. lytic or possibly pseudolysogeny) were taking place. Attempts to measure viral production using both the TdR incorporation technique and the dilution technique failed to produce consistent results, in common with other ultra-oligotrophic Antarctic lakes. There were significant correlations between viral concentration and each of chlorophyll a, DOC, ammonium and nitrate concentrations and bacterial production, but not between bacterial abundance and either soluble reactive phosphorus or temperature. Lack of change in the dominant bacterial community composition over summer suggests that changes in viral concentrations were a function of changes in other biological and physicochemical factors, rather than changes in host/phage infection. The results suggest a significant connection between viruses and bacteria, with the DOC pool acting as a conduit for the movement of carbon between the two components.</t>
  </si>
  <si>
    <t>[Laybourn-Parry, Johanna; Anesio, Alexandre M.] Univ Bristol, Bristol Glaciol Ctr, Sch Geog Sci, Bristol BS8 1SS, Avon, England; [Madan, Nanette; Saewstroem, Christin] Univ Nottingham, Sch Biosci, Nottingham NG7 2RD, England</t>
  </si>
  <si>
    <t>University of Bristol; University of Nottingham</t>
  </si>
  <si>
    <t>Laybourn-Parry, J (corresponding author), Univ Bristol, Bristol Glaciol Ctr, Sch Geog Sci, Bristol BS8 1SS, Avon, England.</t>
  </si>
  <si>
    <t>jo.laybourn-parry@bristol.ac.uk</t>
  </si>
  <si>
    <t>Anesio, Alexandre/A-7597-2008; Sawstrom, Christin/F-5462-2018</t>
  </si>
  <si>
    <t>Anesio, Alexandre/0000-0003-2990-4014; Sawstrom, Christin/0000-0001-9297-3093</t>
  </si>
  <si>
    <t>Australian Antarctic Research Assessment Committee; Leverhulme Trust; EU</t>
  </si>
  <si>
    <t>Australian Antarctic Research Assessment Committee; Leverhulme Trust(Leverhulme Trust); EU(European Union (EU))</t>
  </si>
  <si>
    <t>This work was funded by grants from the Australian Antarctic Research Assessment Committee Grant and the Leverhulme Trust to JL-P. During this study, Christin Sawstrom was supported by EU Marie Curie funding to Nottingham University. We are indebted to colleagues at Davis Station for their field assistance and to the Twin Otter Pilots from Ken Borek Air Limited. We thank two anonymous reviewers for their helpful comments.</t>
  </si>
  <si>
    <t>0046-5070</t>
  </si>
  <si>
    <t>1365-2427</t>
  </si>
  <si>
    <t>FRESHWATER BIOL</t>
  </si>
  <si>
    <t>Freshw. Biol.</t>
  </si>
  <si>
    <t>10.1111/fwb.12146</t>
  </si>
  <si>
    <t>158CK</t>
  </si>
  <si>
    <t>WOS:000319946000016</t>
  </si>
  <si>
    <t>Schwarz, LK; Goebel, ME; Costa, DP; Kilpatrick, AM</t>
  </si>
  <si>
    <t>Schwarz, Lisa K.; Goebel, Michael E.; Costa, Daniel P.; Kilpatrick, A. Marm</t>
  </si>
  <si>
    <t>Top-down and bottom-up influences on demographic rates of Antarctic fur seals Arctocephalus gazella</t>
  </si>
  <si>
    <t>JOURNAL OF ANIMAL ECOLOGY</t>
  </si>
  <si>
    <t>Antarctic Oscillation; Cormack Jolly Seber; detection probability; El Nino Southern Oscillation; pinniped; Shetland Islands; Southern Annular Mode; tag loss</t>
  </si>
  <si>
    <t>CLIMATE-CHANGE; PREDATION; PENGUINS; SURVIVAL; GROWTH; VARIABILITY; RECRUITMENT; POPULATIONS; MORTALITY</t>
  </si>
  <si>
    <t>Two major drivers in population dynamics are bottom-up processes, such as environmental factors that affect foraging success, and the top-down impacts of predation. Many populations of marine mammal and seabird species appear to be declining in response to reductions in prey associated with the bottom-up effects of climate change. However, predation, which usually occurs at sea and is difficult to observe, may also play a key role. We analysed drivers of population dynamics of Antarctic fur seals Arctocephalus gazella at Cape Shirreff from 1997 to 2009, including a predator that targets pre-weaned pups and bottom-up environmental effects in an ecosystem particularly sensitive to small changes in temperature. We use Bayesian mark-recapture analysis to demonstrate that although large-scale environmental variability affects annual adult survival and reproduction, first year survival appears to be driving the current decline in this population (as defined by a decline in the annual number of pups born). Although the number of pups increased during the first third of the study, first year survival and recruitment of those pups in later years was very low. Such low survival may be driven by leopard seal Hydrurga leptonyx predation, particularly prior to weaning. Our results suggest that without leopard seal predation, this population would most likely increase in size, despite the observed bottom-up effects of climate changes on adult vital rates. More broadly, our results show how age-targeted predation could be a major factor in population decline of K-selected colonial breeders.</t>
  </si>
  <si>
    <t>[Schwarz, Lisa K.; Costa, Daniel P.; Kilpatrick, A. Marm] Univ Calif Santa Cruz, Dept Ecol &amp; Evolutionary Biol, Santa Cruz, CA 95064 USA; [Goebel, Michael E.] NOAA, Antarctic Ecosyst Res Div, Southwest Fisheries Sci Ctr, Natl Marine Fisheries Serv, La Jolla, CA 92037 USA</t>
  </si>
  <si>
    <t>University of California System; University of California Santa Cruz; National Oceanic Atmospheric Admin (NOAA) - USA</t>
  </si>
  <si>
    <t>Schwarz, LK (corresponding author), Univ Calif Santa Cruz, Dept Ecol &amp; Evolutionary Biol, Santa Cruz, CA 95064 USA.</t>
  </si>
  <si>
    <t>Schwarz@biology.ucsc.edu</t>
  </si>
  <si>
    <t>Kilpatrick, A Marm/HOI-0422-2023; Costa, Daniel Paul/E-2616-2013</t>
  </si>
  <si>
    <t>Costa, Daniel Paul/0000-0002-0233-5782</t>
  </si>
  <si>
    <t>NSF Office of Polar Programs grant [ANT-0838937]; Directorate For Geosciences [0838937] Funding Source: National Science Foundation; Office of Polar Programs (OPP) [0838937] Funding Source: National Science Foundation</t>
  </si>
  <si>
    <t>NSF Office of Polar Programs grant; Directorate For Geosciences(National Science Foundation (NSF)NSF - Directorate for Geosciences (GEO)); Office of Polar Programs (OPP)(National Science Foundation (NSF)NSF - Directorate for Geosciences (GEO))</t>
  </si>
  <si>
    <t>Data were collected by researchers and technicians at NOAA, Southwest Fisheries Science Center, Antarctic Ecosystem Research Division. Research was conducted under MMPA permit 774-1847 to the U.S. AMLR Program. Data collection was also supported by the NSF Office of Polar Programs grant ANT-0838937. Analysis and manuscript preparation was supported by the E &amp; P Sound and Marine Life Joint Industry Project of the International Association of Oil and Gas Producers.</t>
  </si>
  <si>
    <t>0021-8790</t>
  </si>
  <si>
    <t>1365-2656</t>
  </si>
  <si>
    <t>J ANIM ECOL</t>
  </si>
  <si>
    <t>J. Anim. Ecol.</t>
  </si>
  <si>
    <t>10.1111/1365-2656.12059</t>
  </si>
  <si>
    <t>Ecology; Zoology</t>
  </si>
  <si>
    <t>Environmental Sciences &amp; Ecology; Zoology</t>
  </si>
  <si>
    <t>164DI</t>
  </si>
  <si>
    <t>WOS:000320388700019</t>
  </si>
  <si>
    <t>Ray, D; Misra, S; Banerjee, R</t>
  </si>
  <si>
    <t>Ray, D.; Misra, S.; Banerjee, R.</t>
  </si>
  <si>
    <t>Geochemical variability of MORBs along slow to intermediate spreading Carlsberg-Central Indian Ridge, Indian Ocean</t>
  </si>
  <si>
    <t>JOURNAL OF ASIAN EARTH SCIENCES</t>
  </si>
  <si>
    <t>Carlsberg-Central Indian Ridge (CR-CIR); MORBs; Partial melting; Mantle contamination; Continental crust; Gondwana breakup; Komatiitic source</t>
  </si>
  <si>
    <t>RODRIGUEZ TRIPLE JUNCTION; TRACE-ELEMENT; MINERAL CHEMISTRY; BASALTS; MANTLE; ISOTOPE; EVOLUTION; ORIGIN; SEGMENTATION; CONSTRAINTS</t>
  </si>
  <si>
    <t>We present new major and ICP-MS trace element data from the Carlsberg Ridge MORBs from two different locations (i.e., 3 degrees 35'N/64 degrees 05'E and 3 degrees 41'N/64 degrees 09'E). Using this data we reassess the intra-ridge geochemical variations of the Carlsberg Ridge- Central Indian Ridge MORBs. Trace element contents of the Carlsberg Ridge MORBs are similar to the Rodriguez Triple junction MORBs [e.g., LIL and REE spidergrams and (La/Sm)(N) ratio etc.]; both closely resemble the average N-MORB. However, the MORBs from the northern- and southern Central Indian Ridge, significantly vary in composition from the average Nand E-MORBs. Most Carlsberg Ridge- Central Indian Ridge MORBs show significantly less fractionation in FeOt, in the MgO-CaO-FeOt diagram, compared to those of the Mid Atlantic- and East Pacific Rise MORBs. Furthermore, the depleted LREE and nearly flat HREE patterns of the Carlsberg Ridge-Central Indian Ridge MORBs (along with their low compatible trace element (Ni, Cr, Sr) variability compared with the increasing incompatible trace element (Y, Zr) contents in the log-log plots, as well as their increasing incompatible trace element ratios) favor partial melting dominated processes for their petrogenetic evolution. Our (Sr, Nd, Pb) isotope data review shows that the Carlsberg Ridge-Central Indian Ridge MORBs are derived from a depleted mantle source that was variously contaminated by continental crust, perhaps during the third stage of Gondwana break up between 155 and 135 Ma. Such contamination could also have occurred later during the strike slip movement along a mega fracture (a member of the Davie Transform Faults in the Somali Basin that broke Gondwanaland into the East and West Gondwanas). The Pb-208/Pb-204 versus Pb-206/Pb-204 plot of above mentioned MORBs suggests that the depleted mantle source of the Rodriguez Triple junction MORBs was contaminated by similar to 21% lower continental crust, whereas the mantle source of the Central Indian Ridge MORBs was contaminated by upper continental crust, which are similar to 19% for the Carlsberg Ridge and Northern Central Indian Ridge MORBs and similar to 32% for the Southern Central Indian Ridge MORBs. The contaminated mantle sources were compositionally similar to the Al-depleted Komatiite basalt and significantly enriched in Rb, Ba, La and Ce over the depleted mantle. (C) 2013 Elsevier Ltd. All rights reserved.</t>
  </si>
  <si>
    <t>[Ray, D.] Phys Res Lab, PLANEX, Ahmadabad 380009, Gujarat, India; [Misra, S.] Univ KwaZulu Natal, SAEES, Sch Geol Sci, ZA-4000 Durban, South Africa; [Banerjee, R.] CSIR Natl Inst Oceanog, Panaji 403004, Goa, India</t>
  </si>
  <si>
    <t>Department of Space (DoS), Government of India; Physical Research Laboratory - India; University of Kwazulu Natal; Council of Scientific &amp; Industrial Research (CSIR) - India; CSIR - National Institute of Oceanography (NIO)</t>
  </si>
  <si>
    <t>Ray, D (corresponding author), Phys Res Lab, PLANEX, Ahmadabad 380009, Gujarat, India.</t>
  </si>
  <si>
    <t>dwijesh@prl.res.in</t>
  </si>
  <si>
    <t>Misra, Saumitra/AAN-1657-2020</t>
  </si>
  <si>
    <t>Ray, Dwijesh/0000-0002-6320-353X</t>
  </si>
  <si>
    <t>University of KwaZulu-Natal, Durban, South Africa [RG-41]</t>
  </si>
  <si>
    <t>University of KwaZulu-Natal, Durban, South Africa</t>
  </si>
  <si>
    <t>We thank the Ministry of Earth Sciences, New Delhi, India, for the availability of ORV Sagar Kanya, the scientific party and crew of the maiden cruise, for assistance during sample collection and the National Centre for Antarctic and Ocean Research (NCAOR), Goa, India, for allotting the cruise as schedule and for logistics. We are obliged to Directors, NCAOR and NIO, Goa, India, for constant encouragement during the progress of this work. Especial thanks to M. K. Watkeys, H. Kumagai and A. Smith for constructive comments on the early versions of the manuscript. Constructive reviews by S. Arai and J.G. Liou are greatly appreciated. The second author (S.M.) is thankful to the University of KwaZulu-Natal, Durban, South Africa, for Competitive Research Grant (RG-41) for this work. V. Khedekar of NIO helped during SEM-EPMA analyses.</t>
  </si>
  <si>
    <t>1367-9120</t>
  </si>
  <si>
    <t>1878-5786</t>
  </si>
  <si>
    <t>J ASIAN EARTH SCI</t>
  </si>
  <si>
    <t>J. Asian Earth Sci.</t>
  </si>
  <si>
    <t>70-71</t>
  </si>
  <si>
    <t>10.1016/j.jseaes.2013.03.008</t>
  </si>
  <si>
    <t>159VY</t>
  </si>
  <si>
    <t>WOS:000320076600010</t>
  </si>
  <si>
    <t>Bockheim, JG</t>
  </si>
  <si>
    <t>Bockheim, J. G.</t>
  </si>
  <si>
    <t>Soil formation in the Transantarctic Mountains from the Middle Paleozoic to the Anthropocene</t>
  </si>
  <si>
    <t>Paleosols; Pedology; Soil chronosequences; Climate change; Gelisols</t>
  </si>
  <si>
    <t>ANTARCTIC ICE-SHEET; CENOZOIC LANDSCAPE EVOLUTION; CENTRAL WRIGHT VALLEY; UPPER TAYLOR GLACIER; MCMURDO DRY VALLEYS; SIRIUS GROUP; VICTORIA LAND; SURFACE FLUCTUATIONS; BEARDMORE GLACIER; DEVELOPMENT RATES</t>
  </si>
  <si>
    <t>In the Transantarctic Mountains (TAMs), soils from the middle Paleozoic and from the Oligocene to the present have been examined. Soils representing other sections of the geologic column are missing, probably because of the low proportion of ice-free areas (0.35%) in Antarctica. The evolution of soils in Antarctica reflects changes in climate and geologic conditions as the continent became separated and increasingly isolated from Gondwana. A greenhouse climate existed during the middle Paleozoic; and an icehouse climate began in the early Oligocene. The climate of the TAMs has become increasingly hyper-arid since the middle Miocene. Humans have had a dramatic effect on the climate of the TAMs during the Anthropocene. The first forest soils (under Callixylon-Archaeopteris forest) on Earth, identified as Alfisols, were discovered in Antarctica and assigned to the middle Devonian. During the Permian, Dicroidium forests covered Entisols and Inceptisols. In the Oligocene, Nothofagus-Podocarpaceae forests contained Gelisols. Miocene-aged soils enriched in silt are common in the TAMs, but they tend to be poorly developed because they have been eroded. A soil evolutionary sequence exists in the TAMs from the Holocene through the Pliocene that includes Glacic Haploturbels on ice-cored Holocene drift, Typic Haploturbels on late Pleistocene surfaces, Typic Anhyorthels on middle Pleistocene surfaces, Salic Anhyorthels on early Pleistocene surfaces, and Petrosalic Anhyorthels on Pliocene surfaces. These changes reflect gradual sublimation of ice in ice-cored drift and ice-wedge polygons, a recovery of the surface from cryoturbation, accumulation of salts, and eventual development of a salt pan. Soils of the TAMs are undergoing rapid change as the climate warms, including loss of semi-permanent snowbanks, an expansion of the hyporheic zone, flushing of salts from soils along valley walls, and the development of thermokarst. (C) 2013 Elsevier B.V. All rights reserved.</t>
  </si>
  <si>
    <t>Univ Wisconsin, Dept Soil Sci, Madison, WI 53706 USA</t>
  </si>
  <si>
    <t>University of Wisconsin System; University of Wisconsin Madison</t>
  </si>
  <si>
    <t>Bockheim, JG (corresponding author), Univ Wisconsin, Dept Soil Sci, Madison, WI 53706 USA.</t>
  </si>
  <si>
    <t>bockheim@wisc.edu</t>
  </si>
  <si>
    <t>U.S. National Science Foundation; New Zealand Ministry of Science and Innovation; Antarctica New Zealand; Office of Polar Programs (OPP); Directorate For Geosciences [0943799] Funding Source: National Science Foundation</t>
  </si>
  <si>
    <t>U.S. National Science Foundation(National Science Foundation (NSF)); New Zealand Ministry of Science and Innovation; Antarctica New Zealand; Office of Polar Programs (OPP); Directorate For Geosciences(National Science Foundation (NSF)NSF - Directorate for Geosciences (GEO))</t>
  </si>
  <si>
    <t>The author appreciates the opportunity to study under the guidance of Dr. F.C. Ugolini in 1968-1972, and to work with Dr. G.H. Denton during 1975-1987, and mentor Dr. M. McLeod during 2004-2012. The support for this project was provided by the U.S. National Science Foundation, the New Zealand Ministry of Science and Innovation, and Antarctica New Zealand. A.E. Hartemink kindly read an early draft of this manuscript This manuscript benefited from reviews by W.C. Mahaney and C. Baroni.</t>
  </si>
  <si>
    <t>10.1016/j.palaeo.2013.04.019</t>
  </si>
  <si>
    <t>164QN</t>
  </si>
  <si>
    <t>WOS:000320424700009</t>
  </si>
  <si>
    <t>Olsina, O; Wienders, N; Dewar, WK</t>
  </si>
  <si>
    <t>Olsina, Otmar; Wienders, N.; Dewar, W. K.</t>
  </si>
  <si>
    <t>An estimate of the climatology and variability of Eighteen Degree Water potential vorticity forcing</t>
  </si>
  <si>
    <t>Mode Waters; Potential Vorticity Flux; North Atlantic General Circulation</t>
  </si>
  <si>
    <t>SUBTROPICAL MODE WATER; CIRCULATION; OCEAN; SEA; THEOREMS; ENTRY; WINDS; CYCLE; EXIT</t>
  </si>
  <si>
    <t>The input of potential vorticity (PV) over the oceans is estimated from observations to produce climatological maps and study interannual forcing variability. The estimate is obtained using a potential vorticity like variable employing potential temperature in place of potential density, and thus we refer to it as pseudo-potential vorticity (PPV). This choice allows us to examine the effects of storms and high frequency events as sources of PPV. We postulate the characteristics of the PPV fluxes reflect the properties of PV flux. Particular attention is paid to the North Atlantic subtropical mode water potential temperature range from 17 to 19 degrees C. The sea surface PPV flux is estimated through buoyancy and wind stress contributions and using a climatological mixed layer depth product. Wind forcing of PPV is strong in frontal regions and in the Antarctic Circumpolar current. When averaged following outcrops, however, buoyant forcing emerges as dominant. A major observational subtropical mode water program named CLIMODE was conducted during the winters from 2004/5 to 2006/7. Summer months during these years are very much in agreement with climatology; the winter months are slightly more variable. Attempts are made to relate PPV forcing variability to the NAO, a major mode of North Atlantic atmospheric variability. Correlation between the flux and the NAO is significant, and increases in amplitude if analysis is restricted to the winter time frame. There is also a weaker correlation between the NAO and the net EDW flux the following year. Considerable variability of the flux is unaccounted for, however, and we speculate that this is a signal of intrinsic ocean variability. (c) 2013 Elsevier Ltd. All rights reserved.</t>
  </si>
  <si>
    <t>[Olsina, Otmar; Wienders, N.; Dewar, W. K.] Florida State Univ, Dept Earth Ocean &amp; Atmospher Sci, Tallahassee, FL 32306 USA</t>
  </si>
  <si>
    <t>State University System of Florida; Florida State University</t>
  </si>
  <si>
    <t>Dewar, WK (corresponding author), Florida State Univ, Dept Earth Ocean &amp; Atmospher Sci, Tallahassee, FL 32306 USA.</t>
  </si>
  <si>
    <t>wdewar@fsu.edu</t>
  </si>
  <si>
    <t>NSF [OCE-0424227, OCE-0960500]; NOAA Climate Observations and Monitoring (COM) program; Division Of Ocean Sciences; Directorate For Geosciences [0960500] Funding Source: National Science Foundation</t>
  </si>
  <si>
    <t>NSF(National Science Foundation (NSF)); NOAA Climate Observations and Monitoring (COM) program; Division Of Ocean Sciences; Directorate For Geosciences(National Science Foundation (NSF)NSF - Directorate for Geosciences (GEO))</t>
  </si>
  <si>
    <t>The authors gratefully recognize many interesting conversations with Terry Joyce, Leif Thomas and John Marshall, and thank Birol Kara for providing us his 0.2 mixed layer climatology. This work was supported by NSF grants OCE-0424227 and OCE-0960500. The global ocean heat flux and evaporation products were provided by the WHOI OAFlux project (http://oaflux.whoi.edu) funded by the NOAA Climate Observations and Monitoring (COM) program.</t>
  </si>
  <si>
    <t>10.1016/j.dsr2.2013.02.018</t>
  </si>
  <si>
    <t>160WI</t>
  </si>
  <si>
    <t>WOS:000320150800007</t>
  </si>
  <si>
    <t>Byrne, M; Ho, MA; Koleits, L; Price, C; King, CK; Virtue, P; Tilbrook, B; Lamarek, M</t>
  </si>
  <si>
    <t>Byrne, Maria; Ho, Melanie A.; Koleits, Lucas; Price, Casandra; King, Catherine K.; Virtue, Patti; Tilbrook, Bronte; Lamarek, Miles</t>
  </si>
  <si>
    <t>Vulnerability of the calcifying larval stage of the Antarctic sea urchin Sterechinus neumayeri to near-future ocean acidification and warming</t>
  </si>
  <si>
    <t>GLOBAL CHANGE BIOLOGY</t>
  </si>
  <si>
    <t>climate change; development; Eastern Antarctica; echinopluteus; pCO 2; sea urchin; temperature</t>
  </si>
  <si>
    <t>REDUCED SEAWATER PH; CLIMATE-CHANGE; EMBRYONIC-DEVELOPMENT; PHENOTYPIC PLASTICITY; MARINE-INVERTEBRATES; SOUTHERN-OCEAN; TEMPERATURE; ECHINODERMATA; IMPACT; SHELF</t>
  </si>
  <si>
    <t>Stenothermal polar benthic marine invertebrates are highly sensitive to environmental perturbations but little is known about potential synergistic effects of concurrent ocean warming and acidification on development of their embryos and larvae. We examined the effects of these stressors on development to the calcifying larval stage in the Antarctic sea urchin Sterechinus neumayeri in embryos reared in present and future (2100+) ocean conditions from fertilization. Embryos were reared in 2 temperature (ambient: -1.0 degrees C, + 2 degrees C:1.0 degrees C) and 3 pH (ambient: pH 8.0, -0.2-0.4 pH units: 7.8,7.6) levels. Principle coordinates analysis on five larval metrics showed a significant effect of temperature and pH on the pattern of growth. Within each temperature, larvae were separated by pH treatment, a pattern primarily influenced by larval arm and body length. Growth was accelerated by temperature with a 20-28% increase in postoral (PO) length at +2 degrees C across all pH levels. Growth was strongly depressed by reduced pH with a 8-19% decrease in PO length at pH 7.6-7.8 at both temperatures. The boost in growth caused by warming resulted in larvae that were larger than would be observed if acidification was examined in the absence of warming. However, there was no significant interaction between these stressors. The increase in left-right asymmetry and altered body allometry indicated that decreased pH disrupted developmental patterning and acted as a teratogen (agent causing developmental malformation). Decreased developmental success with just a 2 degrees C warming indicates that development in S. neumayeri is particularly sensitive to increased temperature. Increased temperature also altered larval allometry. Altered body shape impairs swimming and feeding in echinoplutei. In the absence of adaptation, it appears that the larval phase may be a bottleneck for survivorship of S. neumayeri in a changing ocean in a location where poleward migration to escape inhospitable conditions is not possible.</t>
  </si>
  <si>
    <t>[Byrne, Maria] Univ Sydney, Sch Med, Sydney, NSW 2006, Australia; [Byrne, Maria] Univ Sydney, Sch Biol Sci, Sydney, NSW 2006, Australia; [Ho, Melanie A.] Univ Sydney, Sch Med Sci, Sydney, NSW 2006, Australia; [Koleits, Lucas; Price, Casandra; Virtue, Patti] Univ Tasmania, Inst Marine &amp; Antarctic Studies, Hobart, Tas, Australia; [King, Catherine K.] Australian Antarctic Div, Kingston, Tas, Australia; [Tilbrook, Bronte] CSIRO Marine &amp; Atmospher Res, Hobart, Tas, Australia; [Lamarek, Miles] Univ Otago, Dept Marine Biol, Dunedin, New Zealand</t>
  </si>
  <si>
    <t>University of Sydney; University of Sydney; University of Sydney; University of Tasmania; Australian Antarctic Division; Commonwealth Scientific &amp; Industrial Research Organisation (CSIRO); University of Otago</t>
  </si>
  <si>
    <t>Byrne, M (corresponding author), Univ Sydney, Sch Med, Sydney, NSW 2006, Australia.</t>
  </si>
  <si>
    <t>mbyrne@anatomy.usyd.edu.au</t>
  </si>
  <si>
    <t>King, Catherine K/G-7059-2017; Tilbrook, Bronte/W-4007-2019; Price, Cas/KHT-2225-2024; Byrne, Maria/K-6355-2016; Sedran-Price, Cassandra/F-4341-2014</t>
  </si>
  <si>
    <t>King, Catherine K/0000-0003-3356-0381; Tilbrook, Bronte/0000-0001-9385-3827; Byrne, Maria/0000-0002-8902-9808; Lamare, Miles/0000-0001-8656-7240; Virtue, Patti/0000-0002-9870-1256; Sedran-Price, Cassandra/0000-0002-0196-2450</t>
  </si>
  <si>
    <t>Australian Antarctic Division (AAD) [3134]; Australian Research Council [DP0881388]; Australian Research Council [DP0881388] Funding Source: Australian Research Council</t>
  </si>
  <si>
    <t>Australian Antarctic Division (AAD); Australian Research Council(Australian Research Council); Australian Research Council(Australian Research Council)</t>
  </si>
  <si>
    <t>This research was funded by grants from the Australian Antarctic Division (AAD#3134) and the Australian Research Council (DP0881388). Collections were made under permit from the AAD. Thanks to AAD staff and students who provided logistical support and assistance including Adam Christensen, Glenn Wallace, Rob King, Steve Whiteside, Jane Wasley, Andrew Bryant, Charmaine Alford, Mike Grimmer, Martin Hess, Dougie Gray, Frank Ross and also to Kate Berry of CSIRO Marine and Atmospheric Research, Hobart. We thank the reviewers for insightful and helpful comments.</t>
  </si>
  <si>
    <t>1354-1013</t>
  </si>
  <si>
    <t>1365-2486</t>
  </si>
  <si>
    <t>GLOBAL CHANGE BIOL</t>
  </si>
  <si>
    <t>Glob. Change Biol.</t>
  </si>
  <si>
    <t>10.1111/gcb.12190</t>
  </si>
  <si>
    <t>Biodiversity Conservation; Ecology; Environmental Sciences</t>
  </si>
  <si>
    <t>158IT</t>
  </si>
  <si>
    <t>WOS:000319963500024</t>
  </si>
  <si>
    <t>Bertellotti, M; D'Amico, V; Cejuela, E</t>
  </si>
  <si>
    <t>Bertellotti, Marcelo; D'Amico, Veronica; Cejuela, Evelina</t>
  </si>
  <si>
    <t>TOURIST ACTIVITIES FOCUSING ON ANTARCTIC PENGUINS</t>
  </si>
  <si>
    <t>ANNALS OF TOURISM RESEARCH</t>
  </si>
  <si>
    <t>[Bertellotti, Marcelo; D'Amico, Veronica] Ctr Nacl Patagon CONICET, Buenos Aires, DF, Argentina; [Cejuela, Evelina] Univ Nacl Patagonia San Juan Bosco, Buenos Aires, DF, Argentina</t>
  </si>
  <si>
    <t>Centro Nacional Patagonico (CENPAT); Consejo Nacional de Investigaciones Cientificas y Tecnicas (CONICET); Universidad Nacional de la Patagonia San Juan Bosco</t>
  </si>
  <si>
    <t>Bertellotti, M (corresponding author), Ctr Nacl Patagon CONICET, Buenos Aires, DF, Argentina.</t>
  </si>
  <si>
    <t>Bertellotti, Marcelo/GQZ-7950-2022; Bertellotti, Marcelo/I-6200-2019</t>
  </si>
  <si>
    <t>Bertellotti, Marcelo/0000-0002-1834-7788; Bertellotti, Marcelo/0000-0001-5641-8789</t>
  </si>
  <si>
    <t>0160-7383</t>
  </si>
  <si>
    <t>ANN TOURISM RES</t>
  </si>
  <si>
    <t>Ann. Touris. Res.</t>
  </si>
  <si>
    <t>10.1016/j.annals.2013.02.017</t>
  </si>
  <si>
    <t>Hospitality, Leisure, Sport &amp; Tourism; Sociology</t>
  </si>
  <si>
    <t>Social Science Citation Index (SSCI)</t>
  </si>
  <si>
    <t>Social Sciences - Other Topics; Sociology</t>
  </si>
  <si>
    <t>174MY</t>
  </si>
  <si>
    <t>WOS:000321161300021</t>
  </si>
  <si>
    <t>Patton, H; Hubbard, A; Glasser, NF; Bradwell, T; Golledge, NR</t>
  </si>
  <si>
    <t>Patton, Henry; Hubbard, Alun; Glasser, Neil F.; Bradwell, Tom; Golledge, Nicholas R.</t>
  </si>
  <si>
    <t>The last Welsh Ice Cap: Part 1-Modelling its evolution, sensitivity and associated climate</t>
  </si>
  <si>
    <t>NORTH-ATLANTIC; YOUNGER DRYAS; HEINRICH EVENTS; GLACIAL MAXIMUM; IRISH SEA; BRECON-BEACONS; THERMOHALINE CIRCULATION; ICEBERG DISCHARGES; NUMERICAL-MODEL; WESTERN NORWAY</t>
  </si>
  <si>
    <t>A high-resolution, three-dimensional, thermomechanical ice-flow model is used to investigate the glaciodynamics of the Last Glacial Maximum Welsh Ice Cap - a large, independent ice centre of the British-Irish Ice Sheet. The model uses higher-order physics to solve longitudinal stresses, and is coupled to climate via a distributed, positive degree-day mass-balance scheme. A suite of model experiments driven by the GISP2 18O curve was initiated from a climatic optimum at 38.3ka BP through to the Devensian/Holocene boundary to identify an icecap configuration compatible with available empirical evidence. An enhanced cooling from present of 11.85 degrees C and strong precipitation suppression are required between 27.4 and 23.5ka BP for the modelled icecap to attain well-established empirical limits, a scenario probably associated with Heinrich Event-2 and the potential collapse of thermohaline circulation in the North Atlantic. The experiments indicate ice-dispersal centres located in North and Mid Wales, the latter being essential for forcing ice southwards of the Brecon Beacons during the Last Glacial Maximum. Deglaciation of the Welsh Ice Cap was relatively rapid, occurring within one millennium. Dynamic stability is governed largely by the dominance and vigour with which fast-flowing outlet glaciers drain the icecap interior, which in turn are linked to variations in the climatic forcing. The distribution of permanently cold-based ice across the uplands and summits indicates the probable preservation of relict landscapes in these areas throughout the full glacial cycle.</t>
  </si>
  <si>
    <t>[Patton, Henry; Hubbard, Alun; Glasser, Neil F.] Aberystwyth Univ, Inst Geog &amp; Earth Sci, Aberystwyth SY23 3DB, Dyfed, Wales; [Bradwell, Tom] British Geol Survey, Edinburgh EH9 3LA, Midlothian, Scotland; [Golledge, Nicholas R.] Victoria Univ Wellington, Antarctic Res Ctr, Wellington 6140, New Zealand</t>
  </si>
  <si>
    <t>Aberystwyth University; UK Research &amp; Innovation (UKRI); Natural Environment Research Council (NERC); NERC British Geological Survey; Victoria University Wellington</t>
  </si>
  <si>
    <t>Patton, H (corresponding author), Aberystwyth Univ, Inst Geog &amp; Earth Sci, Aberystwyth SY23 3DB, Dyfed, Wales.</t>
  </si>
  <si>
    <t>hhp06@aber.ac.uk; abh@aber.ac.uk; nfg@aber.ac.uk; tbrad@bgs.ac.uk; nick.golledge@vuw.ac.nz</t>
  </si>
  <si>
    <t>Patton, Henry/H-7525-2019; Hubbard, Alun/R-5085-2017</t>
  </si>
  <si>
    <t>Patton, Henry/0000-0001-9670-611X; Golledge, Nicholas/0000-0001-7676-8970; Bradwell, Tom/0000-0003-0947-3309; Hubbard, Alun/0000-0002-0503-3915; Glasser, Neil/0000-0002-8245-2670</t>
  </si>
  <si>
    <t>Climate Change Consortium of Wales; British Geological Survey and Aberystwyth University via the BGS-University Funding Initiative [2K08/E018]; NERC [bgs05002] Funding Source: UKRI; Natural Environment Research Council [bgs05002] Funding Source: researchfish</t>
  </si>
  <si>
    <t>Climate Change Consortium of Wales; British Geological Survey and Aberystwyth University via the BGS-University Funding Initiative; NERC(UK Research &amp; Innovation (UKRI)Natural Environment Research Council (NERC)); Natural Environment Research Council(UK Research &amp; Innovation (UKRI)Natural Environment Research Council (NERC))</t>
  </si>
  <si>
    <t>This work was supported by a generous grant from the Climate Change Consortium of Wales, as well as by a Joint Studentship (2K08/E018) provided by the British Geological Survey and Aberystwyth University via the BGS-University Funding Initiative. The paper has benefited significantly from useful discussions with various colleagues from both institutions during the course of the project, for which HP is extremely grateful. The authors also thank Ola Fredin and an anonymous reviewer for their constructive reviews. Work carried out by Sam Doyle on final figure production is greatly appreciated. TB publishes with the permission of the Executive Director, BGS (NERC).</t>
  </si>
  <si>
    <t>10.1111/j.1502-3885.2012.00300.x</t>
  </si>
  <si>
    <t>WOS:000320782800001</t>
  </si>
  <si>
    <t>The last Welsh Ice Cap: Part 2-Dynamics of a topographically controlled icecap</t>
  </si>
  <si>
    <t>PERIPHERAL MOUNTAIN-RANGES; BRECON-BEACONS; YOUNGER DRYAS; SOUTH-WALES; NORTH WALES; IRISH SEA; WEST ANTARCTICA; GLACIAL MAXIMUM; STREAM-B; LANDSCAPE EVOLUTION</t>
  </si>
  <si>
    <t>During the Last Glacial Maximum, the British-Irish Ice Sheet was dominated by a number of accumulation centres, including a terrestrially based, semi-independent icecap centred on Wales. The dynamics of this Welsh Ice Cap (WIC) over the last glacial period are still relatively poorly understood, with few studies taking into consideration the dynamic evolution of the icecap as a whole. Here we contrast results from two modelled reconstructions of the WIC in conjunction with the wider glacial geomorphological record to elucidate understanding of its form, extent and dynamics. Model output was analysed to yield zones of high basal motion and the spatial distribution of potential glacial erosion. We conclude that coherent flowsets of streamlined bedforms are linked to fast-flowing outlets dominated by basal sliding. Large-scale changes in dynamics are discussed, with a number of possible major advances proposed over the glacial cycle. Maximum ice thicknesses of approximate to 1200m in Mid Wales indicate that all mountain summits were probably ice-covered during the Last Glacial Maximum, even if it was with a thin protective mantle of cold-based ice, leading to landscape preservation of these upland zones. The distribution, dynamism and landscape modification related to the WIC are further discussed at the regional scale. Model predictions of glacier distribution through the Younger Dryas stadial accord well with geologically reconstructed limits at this time.</t>
  </si>
  <si>
    <t>Patton, Henry/0000-0001-9670-611X; Hubbard, Alun/0000-0002-0503-3915; Bradwell, Tom/0000-0003-0947-3309; Golledge, Nicholas/0000-0001-7676-8970; Glasser, Neil/0000-0002-8245-2670</t>
  </si>
  <si>
    <t>Climate Change Consortium of Wales (C3W); British Geological Survey and Aberystwyth University via the BGS-University Funding Initiative [2K08/E018]; NERC [bgs05002] Funding Source: UKRI; Natural Environment Research Council [bgs05002] Funding Source: researchfish</t>
  </si>
  <si>
    <t>Climate Change Consortium of Wales (C3W); British Geological Survey and Aberystwyth University via the BGS-University Funding Initiative; NERC(UK Research &amp; Innovation (UKRI)Natural Environment Research Council (NERC)); Natural Environment Research Council(UK Research &amp; Innovation (UKRI)Natural Environment Research Council (NERC))</t>
  </si>
  <si>
    <t>This work was supported by a generous grant from the Climate Change Consortium of Wales (C3W), as well as by a Joint Studentship (2K08/E018) provided by the British Geological Survey and Aberystwyth University via the BGS-University Funding Initiative. The paper has benefited significantly from useful discussions with various colleagues from both institutions during the course of the project. HP is also grateful to Brian John for constructive discussion on aspects of Welsh glaciation, and also to Monica Wins-borrow and an anonymous reviewer for their valuable comments, which have improved the paper. Work carried out by Sam Doyle on final figure production is greatly appreciated. TB publishes with the permission of the Executive Director, BGS (NERC).</t>
  </si>
  <si>
    <t>10.1111/j.1502-3885.2012.00301.x</t>
  </si>
  <si>
    <t>WOS:000320782800002</t>
  </si>
  <si>
    <t>Garzio, LM; Steinberg, DK</t>
  </si>
  <si>
    <t>Garzio, Lori M.; Steinberg, Deborah K.</t>
  </si>
  <si>
    <t>Microzooplankton community composition along the Western Antarctic Peninsula</t>
  </si>
  <si>
    <t>Microzooplankton; Western Antarctic Peninsula; Southern Ocean; Dinoflagellates; Ciliates; Climate</t>
  </si>
  <si>
    <t>ICE ZONE WEST; SEA-ICE; MARGUERITE BAY; SOUTHERN-OCEAN; DISTRIBUTION PATTERNS; EUPHAUSIA-SUPERBA; CONTINENTAL-SHELF; ATLANTIC SECTOR; COASTAL WATERS; GRAZING IMPACT</t>
  </si>
  <si>
    <t>Microzooplankton are an integral part of aquatic food webs, yet compared to macrozooplankton, are understudied in the Southern Ocean. The region along the Western Antarctic Peninsula (WAP) is experiencing rapid climate warming, resulting in declines in sea ice extent and duration, and affecting the marine food web. Microzooplankton community structure along the WAP was analyzed in January 2010 and 2011 as part of the Palmer Antarctica Long-Term Ecological Research project. Whole seawater samples were collected within the top 100 m of the water column along both north-south and coastal-offshore gradients, and major taxa of microzooplankton were quantified using microscopy. Average chlorophyll-a concentrations and microzooplankton biomass were higher in 2011 compared to 2010. Athecate dinoflagellates and aloricate ciliates dominated microzooplankton biomass, and the biomass of most taxonomic groups was higher in the south compared to the north. Specifically, aloricate ciliate and tintinnid biomass increased with increasing latitude, and biomass peaked at several southern, inshore stations - including Marguerite Bay, which was an area of high biomass for some microzooplankton taxa. Biomass was higher in surface waters compared to 100 m, and variability in microzooplankton biomass between years and with distance from shore was most likely due to sea ice dynamics. Microzooplankton biomass was positively correlated with chlorophyll-a and particulate organic carbon. These results are used to consider how microzooplankton populations may be adjusting to environmental changes along the WAR (C) 2013 Published by Elsevier Ltd.</t>
  </si>
  <si>
    <t>[Garzio, Lori M.; Steinberg, Deborah K.] Virginia Inst Marine Sci, Gloucester Pt, VA 23062 USA</t>
  </si>
  <si>
    <t>William &amp; Mary; Virginia Institute of Marine Science</t>
  </si>
  <si>
    <t>Garzio, LM (corresponding author), Virginia Inst Marine Sci, Gloucester Pt, VA 23062 USA.</t>
  </si>
  <si>
    <t>lori.m.price@gmail.com; debbies@vims.edu</t>
  </si>
  <si>
    <t>National Science Foundation Office of Polar Programs grant [OPP-0823101]; 1st Advantage Federal Credit Union of Newport News, VA, USA; Directorate For Geosciences; Office of Polar Programs (OPP) [1440435] Funding Source: National Science Foundation</t>
  </si>
  <si>
    <t>National Science Foundation Office of Polar Programs grant; 1st Advantage Federal Credit Union of Newport News, VA, USA; Directorate For Geosciences; Office of Polar Programs (OPP)(National Science Foundation (NSF)NSF - Directorate for Geosciences (GEO))</t>
  </si>
  <si>
    <t>Thanks to D.W. Coats and D. Stoecker for help with microzooplankton identification, J. Cope and M. Newman for statistical help, J. Stone for assistance with GIS, and D. Bronk, D. Stoecker, W. Smith Jr. and K. Tang for helpful feedback on this manuscript. Special thanks to H. Ducklow and the rest of the P.I.s and participants of the Palmer LTER project for their support of this research. Our research could not have been completed without the support of the officers and crew of the ARSV Laurence M. Gould and the scientific support of Raytheon Polar Services Group. This research was supported by National Science Foundation Office of Polar Programs grant OPP-0823101, for the Palmer Antarctica Long-Term Ecological Research project. Additional funding to support L. Garzio's participation on a Palmer LTER cruise was provided by A.G. 'Casey' Duplantier Jr. and the 1st Advantage Federal Credit Union of Newport News, VA, USA. This is contribution number 3274 from the Virginia Institute of Marine Science.</t>
  </si>
  <si>
    <t>10.1016/j.dsr.2013.03.001</t>
  </si>
  <si>
    <t>WOS:000320494100004</t>
  </si>
  <si>
    <t>Siegel, V; Reiss, CS; Dietrich, KS; Haraldsson, M; Rohardt, G</t>
  </si>
  <si>
    <t>Siegel, Volker; Reiss, Christian S.; Dietrich, Kimberly S.; Haraldsson, Matilda; Rohardt, Gerhard</t>
  </si>
  <si>
    <t>Distribution and abundance of Antarctic krill (Euphausia superba) along the Antarctic Peninsula</t>
  </si>
  <si>
    <t>Southern Ocean; Antarctic krill; Large-scale distribution; Geographical zonation; Demography; Recruitment</t>
  </si>
  <si>
    <t>SEASONAL VARIABILITY; CONTINENTAL-SHELF; CLIMATE-CHANGE; PALMER LTER; SEA-ICE; WEST; RECRUITMENT; BIOMASS; WATERS; STOCK</t>
  </si>
  <si>
    <t>Net-based data on the abundance, distribution, and demographic patterns of Antarctic krill are quantified from a contemporaneous two ship survey of the Antarctic Peninsula during austral summer 2011. Two survey areas were sampled focussed on Marguerite Bay in the south, and the tip of the Antarctic Peninsula in the north. Data from 177 stations showed that the highest concentrations of krill were found in the southern sampling area. Differences between areas were associated with a few large catches of one year old krill found in anomalously warm and productive waters in Marguerite Bay, and small krill catches in the less-productive, offshore waters in the north. Estimated krill density across the survey area was 3.4 krill m(-2), and was low compared to the long-term average of 45 krill m(-2) for the Elephant Island area. Overall recruitment between the two survey regions was similar, but per capita recruitment was about 60% lower than historical mean recruitment levels measured at Elephant Island since the late 1970s. Demographic patterns showed small krill concentrated near the coast, and large krill concentrated offshore on the shelf and slope all along the survey area. The offshore distribution of adult krill was delineated by the warm (similar to 1 degrees C), low salinity (33.8) water at 30 m, suggesting that most krill were present shoreward of the southern boundary of Antarctic Circumpolar Current Front. Distributions of larvae indicated that three hotspot areas were important for the production of krill: slope areas outside Marguerite Bay and north of the South Shetland Islands, and near the coast around Antarctic Sound. Successful spawning, as inferred from larval abundance, was roughly coincident with the shelf break and not with inshore waters. Given the rapid changes in climate along the Antarctic Peninsula and the lower per capita recruitment observed in recent years, studies comparing and contrasting production, growth, and recruitment across the Peninsula will be critical to better understand how climate change will impact krill populations and their dependent predators in the Scotia Sea. (C) 2013 Elsevier Ltd. All rights reserved.</t>
  </si>
  <si>
    <t>[Siegel, Volker] Thunen Inst Seefischerei, D-22767 Hamburg, Germany; [Reiss, Christian S.; Dietrich, Kimberly S.] NOAA, Antarctic Ecosyst Res Div, SW Fisheries Sci Ctr, La Jolla, CA 92037 USA; [Haraldsson, Matilda] Dept Marine Ecol Kristineberg, S-56645034 Kristineberg, Fiskebackskil, Sweden; [Rohardt, Gerhard] Alfred Wegener Inst Polar &amp; Marine Res, D-27570 Bremerhaven, Germany</t>
  </si>
  <si>
    <t>Johann Heinrich von Thunen Institute; National Oceanic Atmospheric Admin (NOAA) - USA; Helmholtz Association; Alfred Wegener Institute, Helmholtz Centre for Polar &amp; Marine Research</t>
  </si>
  <si>
    <t>Siegel, V (corresponding author), Thunen Inst Seefischerei, Palmaille 9, D-22767 Hamburg, Germany.</t>
  </si>
  <si>
    <t>volker.siegel@ti.bund.de</t>
  </si>
  <si>
    <t>10.1016/j.dsr.2013.02.005</t>
  </si>
  <si>
    <t>WOS:000320494100006</t>
  </si>
  <si>
    <t>Stainforth, DA; Chapman, SC; Watkins, NW</t>
  </si>
  <si>
    <t>Stainforth, David A.; Chapman, Sandra C.; Watkins, Nicholas W.</t>
  </si>
  <si>
    <t>Mapping climate change in European temperature distributions</t>
  </si>
  <si>
    <t>ENVIRONMENTAL RESEARCH LETTERS</t>
  </si>
  <si>
    <t>climate; thresholds; distributions; quantiles; climate change; regional climate change; observations; climate adaptation; climate impacts</t>
  </si>
  <si>
    <t>SUPPORT</t>
  </si>
  <si>
    <t>Climate change poses challenges for decision makers across society, not just in preparing for the climate of the future but even when planning for the climate of the present day. When making climate sensitive decisions, policy makers and adaptation planners would benefit from information on local scales and for user-specific quantiles (e. g. the hottest/coldest 5% of days) and thresholds (e. g. days above 28 degrees C), not just mean changes. Here, we translate observations of weather into observations of climate change, providing maps of the changing shape of climatic temperature distributions across Europe since 1950. The provision of such information from observations is valuable to support decisions designed to be robust in today's climate, while also providing data against which climate forecasting methods can be judged and interpreted. The general statement that the hottest summer days are warming faster than the coolest is made decision relevant by exposing how the regions of greatest warming are quantile and threshold dependent. In a band from Northern France to Denmark, where the response is greatest, the hottest days in the temperature distribution have seen changes of at least 2 degrees C, over four times the global mean change over the same period. In winter the coldest nights are warming fastest, particularly in Scandinavia.</t>
  </si>
  <si>
    <t>[Stainforth, David A.] London Sch Econ, Grantham Res Inst Climate Change &amp; Environm, London WC2A 2AE, England; [Stainforth, David A.; Watkins, Nicholas W.] London Sch Econ, Ctr Anal Timeseries, London WC2A 2AE, England; [Stainforth, David A.; Chapman, Sandra C.; Watkins, Nicholas W.] Univ Warwick, Dept Phys, Coventry CV4 7AL, W Midlands, England; [Chapman, Sandra C.] Univ Tromso, Dept Math &amp; Stat, NO-9037 Tromso, Norway; [Watkins, Nicholas W.] British Antarctic Survey, Cambridge CB3 0ET, England; [Stainforth, David A.] Univ Oxford, Environm Change Inst, Oxford OX1 3QY, England</t>
  </si>
  <si>
    <t>University of London; London School Economics &amp; Political Science; University of London; London School Economics &amp; Political Science; University of Warwick; UiT The Arctic University of Tromso; UK Research &amp; Innovation (UKRI); Natural Environment Research Council (NERC); NERC British Antarctic Survey; University of Oxford</t>
  </si>
  <si>
    <t>Stainforth, DA (corresponding author), London Sch Econ, Grantham Res Inst Climate Change &amp; Environm, Houghton St, London WC2A 2AE, England.</t>
  </si>
  <si>
    <t>d.a.stainforth@lse.ac.uk</t>
  </si>
  <si>
    <t>Chapman, Sandra/C-2216-2008; Watkins, Nick/GPX-7439-2022; Watkins, Nicholas Wynn/C-5140-2008</t>
  </si>
  <si>
    <t>Chapman, Sandra/0000-0003-0053-1584; Watkins, Nick/0000-0003-4484-6588; Watkins, Nicholas Wynn/0000-0003-4484-6588; Stainforth, David/0000-0001-6476-733X</t>
  </si>
  <si>
    <t>Grantham Research Institute on Climate Change and the Environment; Centre for Climate Change Economics and Policy; ESRC; Munich Re; UK STFC; EPSRC; NERC; BAS as part of the British Antarctic Survey Polar Science for Planet Earth Programme; UK NERC; Economic and Social Research Council [ES/K006576/1] Funding Source: researchfish; Engineering and Physical Sciences Research Council [EP/H02395X/1, EP/D062837/1] Funding Source: researchfish; Natural Environment Research Council [NE/G015392/1, bas0100026] Funding Source: researchfish; Science and Technology Facilities Council [ST/F00205X/1, ST/I000720/1] Funding Source: researchfish; EPSRC [EP/D062837/1, EP/H02395X/1] Funding Source: UKRI; ESRC [ES/K006576/1] Funding Source: UKRI; NERC [NE/G015392/1, bas0100026] Funding Source: UKRI; STFC [ST/I000720/1, ST/F00205X/1] Funding Source: UKRI</t>
  </si>
  <si>
    <t>Grantham Research Institute on Climate Change and the Environment; Centre for Climate Change Economics and Policy; ESRC(UK Research &amp; Innovation (UKRI)Economic &amp; Social Research Council (ESRC)); Munich Re; UK STFC(UK Research &amp; Innovation (UKRI)Science &amp; Technology Facilities Council (STFC)); EPSRC(UK Research &amp; Innovation (UKRI)Engineering &amp; Physical Sciences Research Council (EPSRC)); NERC(UK Research &amp; Innovation (UKRI)Natural Environment Research Council (NERC)); BAS as part of the British Antarctic Survey Polar Science for Planet Earth Programme; UK NERC(UK Research &amp; Innovation (UKRI)Natural Environment Research Council (NERC)); Economic and Social Research Council(UK Research &amp; Innovation (UKRI)Economic &amp; Social Research Council (ESRC));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 EPSRC(UK Research &amp; Innovation (UKRI)Engineering &amp; Physical Sciences Research Council (EPSRC)); ESRC(UK Research &amp; Innovation (UKRI)Economic &amp; Social Research Council (ESRC)); NERC(UK Research &amp; Innovation (UKRI)Natural Environment Research Council (NERC)); STFC(UK Research &amp; Innovation (UKRI)Science &amp; Technology Facilities Council (STFC))</t>
  </si>
  <si>
    <t>We acknowledge the E-OBS dataset from the EU-FP6 project ENSEMBLES (http://ensembles-eu.metoffice.com) and the data providers in the EC&amp;D project (http://eca.knmi.nl). DAS acknowledges the support of the Grantham Research Institute on Climate Change and the Environment and the Centre for Climate Change Economics and Policy funded by the ESRC and Munich Re. This work was supported by the UK STFC, the EPSRC, the NERC, and at BAS as part of the British Antarctic Survey Polar Science for Planet Earth Programme funded by the UK NERC.</t>
  </si>
  <si>
    <t>IOP Publishing Ltd</t>
  </si>
  <si>
    <t>1748-9326</t>
  </si>
  <si>
    <t>ENVIRON RES LETT</t>
  </si>
  <si>
    <t>Environ. Res. Lett.</t>
  </si>
  <si>
    <t>JUL-SEP</t>
  </si>
  <si>
    <t>10.1088/1748-9326/8/3/034031</t>
  </si>
  <si>
    <t>229FL</t>
  </si>
  <si>
    <t>Green Submitted, Green Accepted, gold</t>
  </si>
  <si>
    <t>WOS:000325247100037</t>
  </si>
  <si>
    <t>Li, G; Gao, KS</t>
  </si>
  <si>
    <t>Li, Gang; Gao, Kunshan</t>
  </si>
  <si>
    <t>Cell Size-Dependent Effects of Solar UV Radiation on Primary Production in Coastal Waters of the South China Sea</t>
  </si>
  <si>
    <t>ESTUARIES AND COASTS</t>
  </si>
  <si>
    <t>Cell size; UVR; Carbon fixation; Phytoplankton; South China Sea</t>
  </si>
  <si>
    <t>PHYTOPLANKTON ASSEMBLAGES; MARINE-PHYTOPLANKTON; ANTARCTIC PHYTOPLANKTON; CARBON FIXATION; PHOTOSYNTHESIS; VARIABILITY; ORGANISMS; RESPONSES; GROWTH; LIGHT</t>
  </si>
  <si>
    <t>In order to examine the effects of solar ultraviolet radiation (UVR, 280-400 nm) on photosynthesis of differently cell-sized phytoplankton, natural phytoplankton assemblages from the coastal waters of the South China Sea were separated into three groups (&gt; 20, 5-20, and &lt; 5 mu m) and exposed to four different solar UV spectral regimes, i.e., 280-700 nm (PAR + UVR), 400-700 nm (PAR), 280-400 nm (UV-A + B), and 315-400 nm (UV-A). In situ carbon fixation measurements revealed that microplankton (&gt; 20 mu m) efficiently utilized UV-A for photosynthetic carbon fixation, with assimilation number of up to 1.01 mu g C (mu g chl a)(-1) h(-1) under 21.4 W m(-2) UV-A alone (about half of noontime irradiance at the surface), about 40 % higher than nanoplankton (5-20 mu m). UV-B (280-315 nm) of 0.95 W m(-2) reduced the carbon fixation by approximately 20 and 57 % in microplankton and nanoplankton assemblages, respectively. In contrast, smaller picoplankton (&lt; 5 mu m) was unable to utilize UV-A for the photosynthetic carbon fixation. In addition, only micro-sized assemblages demonstrated the UV enhancement on their primary productivity in the presence of PAR, by about 8 % under moderate intensities of solar radiation.</t>
  </si>
  <si>
    <t>[Li, Gang; Gao, Kunshan] Xiamen Univ, State Key Lab Marine Environm Sci, Xiamen 361005, Fujian, Peoples R China; [Li, Gang] Chinese Acad Sci, Key Lab Marine Bioresources Sustainable Utilizat, South China Sea Inst Oceanol, Guangzhou 510301, Guangdong, Peoples R China</t>
  </si>
  <si>
    <t>Xiamen University; Chinese Academy of Sciences; South China Sea Institute of Oceanology, CAS</t>
  </si>
  <si>
    <t>Gao, KS (corresponding author), Xiamen Univ, State Key Lab Marine Environm Sci, Xiamen 361005, Fujian, Peoples R China.</t>
  </si>
  <si>
    <t>ksgao@xmu.edu.cn</t>
  </si>
  <si>
    <t>gao, kunshan/G-3374-2010</t>
  </si>
  <si>
    <t>Gao, Kunshan/0000-0001-7365-6332</t>
  </si>
  <si>
    <t>National Natural Science Foundation [40930846, 41120164007, 41206132]; National Basic Research Program of China [2009CB421207]; Program for Changjiang Scholars and Innovative Research Team [IRT0941]; MOST [S2012GR0290]; Special Research Fund for the National Non-profit Institutes [2008M15]; CAS [SQ201115]</t>
  </si>
  <si>
    <t>National Natural Science Foundation(National Natural Science Foundation of China (NSFC)); National Basic Research Program of China(National Basic Research Program of China); Program for Changjiang Scholars and Innovative Research Team(Program for Changjiang Scholars &amp; Innovative Research Team in University (PCSIRT)); MOST; Special Research Fund for the National Non-profit Institutes; CAS(Chinese Academy of Sciences)</t>
  </si>
  <si>
    <t>This study was supported by the National Natural Science Foundation (40930846, 41120164007, and 41206132), National Basic Research Program of China (2009CB421207), Program for Changjiang Scholars and Innovative Research Team (IRT0941), China-Japan collaboration project from MOST (S2012GR0290), Special Research Fund for the National Non-profit Institutes (2008M15), and CAS Knowledge Innovation Program (SQ201115). The authors are grateful to Weizhou Chen (Nan'Ao Marine Biology Station, Shantou University) and Zhiwei Che (Sanya Marine Environment Monitoring Station, SOA) for their experimental assistance.</t>
  </si>
  <si>
    <t>1559-2723</t>
  </si>
  <si>
    <t>1559-2731</t>
  </si>
  <si>
    <t>ESTUAR COAST</t>
  </si>
  <si>
    <t>Estuaries Coasts</t>
  </si>
  <si>
    <t>10.1007/s12237-013-9591-6</t>
  </si>
  <si>
    <t>Environmental Sciences; Marine &amp; Freshwater Biology</t>
  </si>
  <si>
    <t>157FW</t>
  </si>
  <si>
    <t>WOS:000319882400005</t>
  </si>
  <si>
    <t>Bajerski, F; Wagner, D</t>
  </si>
  <si>
    <t>Bajerski, Felizitas; Wagner, Dirk</t>
  </si>
  <si>
    <t>Bacterial succession in Antarctic soils of two glacier forefields on Larsemann Hills, East Antarctica</t>
  </si>
  <si>
    <t>FEMS MICROBIOLOGY ECOLOGY</t>
  </si>
  <si>
    <t>T-RFLP; microbial communities; Antarctica; 16S rRNA gene; glacier forefield; impact of soil parameters</t>
  </si>
  <si>
    <t>RIBOSOMAL-RNA SEQUENCES; MICROBIAL DIVERSITY; COMMUNITY STRUCTURE; VICTORIA LAND; ENVIRONMENTAL-FACTORS; FUNCTIONAL DIVERSITY; LIVINGSTON ISLAND; DOMINANT BACTERIA; CLIMATE-CHANGE; LENA DELTA</t>
  </si>
  <si>
    <t>Antarctic glacier forefields are extreme environments and pioneer sites for ecological succession. Increasing temperatures due to global warming lead to enhanced deglaciation processes in cold-affected habitats, and new terrain is becoming exposed to soil formation and microbial colonization. However, only little is known about the impact of environmental changes on microbial communities and how they develop in connection to shifting habitat characteristics. In this study, using a combination of molecular and geochemical analysis, we determine the structure and development of bacterial communities depending on soil parameters in two different glacier forefields on Larsemann Hills, East Antarctica. Our results demonstrate that deglaciation-dependent habitat formation, resulting in a gradient in soil moisture, pH and conductivity, leads to an orderly bacterial succession for some groups, for example Cyanobacteria, Bacteroidetes and Deltaproteobacteria in a transect representing classical' glacier forefields. A variable bacterial distribution and different composed communities were revealed according to soil heterogeneity in a slightly matured' glacier forefield transect, where Gemmatimonadetes, Flavobacteria, Gamma- and Deltaproteobacteria occur depending on water availability and soil depth. Actinobacteria are dominant in both sites with dominance connected to certain trace elements in the glacier forefields.</t>
  </si>
  <si>
    <t>[Bajerski, Felizitas; Wagner, Dirk] Alfred Wegener Inst Polar &amp; Marine Res, Res Dept Potsdam, D-14473 Potsdam, Germany</t>
  </si>
  <si>
    <t>Bajerski, F (corresponding author), Alfred Wegener Inst Polar &amp; Marine Res, Res Dept Potsdam, Telegrafenberg A45, D-14473 Potsdam, Germany.</t>
  </si>
  <si>
    <t>Wagner, Dirk/C-3932-2012</t>
  </si>
  <si>
    <t>Wagner, Dirk/0000-0001-5064-497X</t>
  </si>
  <si>
    <t>Deutsche Forschungsgemeinschaft (DFG) [WA 1554/9]</t>
  </si>
  <si>
    <t>The authors wish to thank the shipboard scientific party, particularly H.-W. Hubberten (Alfred Wegener Institute for Polar and Marine Research) and the crew of the expedition ANT-XXIII/9 in 2007 with RV Polarstern. Special thanks go to Lars Ganzert (Finnish Forest Research Institute) for successful field work, Oliver Burckhardt (German Research Centre for Geosciences, GFZ) for laboratory assistance and Beatrice Frank-Fahle (Helmholtz Zentrum Munchen) and Mashal Alawi (German Research Centre for Geosciences, GFZ) for critical reading of the manuscript. This study was supported by the Deutsche Forschungsgemeinschaft (DFG) in the framework of the priority programme 'Antarctic Research with Comparative Investigations in Arctic Ice Areas' by a grant to D.W. (WA 1554/9).</t>
  </si>
  <si>
    <t>0168-6496</t>
  </si>
  <si>
    <t>1574-6941</t>
  </si>
  <si>
    <t>FEMS MICROBIOL ECOL</t>
  </si>
  <si>
    <t>FEMS Microbiol. Ecol.</t>
  </si>
  <si>
    <t>10.1111/1574-6941.12105</t>
  </si>
  <si>
    <t>166LQ</t>
  </si>
  <si>
    <t>WOS:000320556500012</t>
  </si>
  <si>
    <t>Qi, H; Jiang, X; Zhou, DY; Zhu, BW; Qin, L; Ma, C; Ong, YH; Murata, Y</t>
  </si>
  <si>
    <t>Qi, Hang; Jiang, Xiao; Zhou, Dayong; Zhu, Beiwei; Qin, Lei; Ma, Chun; Ong, Yihang; Murata, Yoshiyuki</t>
  </si>
  <si>
    <t>Removal of Heavy Metals in Aqueous Solution Using Antarctic Krill Chitosan/Hydroxyapatite Composite</t>
  </si>
  <si>
    <t>FIBERS AND POLYMERS</t>
  </si>
  <si>
    <t>Antarctic krill shells; Chitosan; Hydroxyapatite; Preparation; Heavy metals</t>
  </si>
  <si>
    <t>NANO-HYDROXYAPATITE COMPOSITE; CHITOSAN; BIOSORBENT; MECHANISM; EFFLUENT; SORPTION; CHITIN</t>
  </si>
  <si>
    <t>Discarded Antarctic hill shells can be used to prepare chitosan and adsorption materials in an attempt to save resource and protect environment. The optimal conditions of composite materials preparation were as follows: mass ratio of CS and HA was 2:1 at 40 degrees C, pH 10-10.5, volume ratio of chitosan and Ca(NO3)(2) was 2:1 over a period of 1 day. Under these conditions, the Cr (VI) removal rate was about 75 +/- 8 %. SEM, TEM, XRD, FTIR, DT-TGA analysis indicated that CS/HA composite was made up of CS and HA and it possessed good mechanical strength and thermal stability. The ability to remove Cd (II), Cr (III) and Cu (II) in aqueous was high, and the optimal conditions were as follows: a contact time of 60 min at 35 degrees C and pH 6-7. The removal rates of all three heavy metals were above 90 %.</t>
  </si>
  <si>
    <t>[Qi, Hang; Jiang, Xiao; Zhou, Dayong; Zhu, Beiwei; Qin, Lei; Ma, Chun] Minist Agr, Sch Food Sci &amp; Technol, Engn Res Ctr Seafood, Minist Educ,Special Subctr Shellfish Natl Res &amp; D, Dalian 116034, Peoples R China; [Murata, Yoshiyuki] Okayama Univ, Grad Sch Nat Sci &amp; Technol, Okayama 7008530, Japan; [Ong, Yihang] Agrifood &amp; Vet Author Singapore, Postharvest Technol Div, Singapore 718915, Singapore</t>
  </si>
  <si>
    <t>Ministry of Agriculture &amp; Rural Affairs; Okayama University</t>
  </si>
  <si>
    <t>Zhu, BW (corresponding author), Minist Agr, Sch Food Sci &amp; Technol, Engn Res Ctr Seafood, Minist Educ,Special Subctr Shellfish Natl Res &amp; D, Dalian 116034, Peoples R China.</t>
  </si>
  <si>
    <t>zhubeiwei@163.com</t>
  </si>
  <si>
    <t>Murata, Yoshiyuki/B-2098-2011</t>
  </si>
  <si>
    <t>National Projects of the 863 Plan [2011AA090801]; Program for Liaoning Excellent Talents in University [LJQ2011056]</t>
  </si>
  <si>
    <t>National Projects of the 863 Plan; Program for Liaoning Excellent Talents in University</t>
  </si>
  <si>
    <t>This work was supported by National Projects of the 863 Plan (No. 2011AA090801) and Program for Liaoning Excellent Talents in University (LJQ2011056).</t>
  </si>
  <si>
    <t>KOREAN FIBER SOC</t>
  </si>
  <si>
    <t>KOREA SCIENCE TECHNOLOGY CTR #501 635-4 YEOGSAM-DONG, KANGNAM-GU, SEOUL 135-703, SOUTH KOREA</t>
  </si>
  <si>
    <t>1229-9197</t>
  </si>
  <si>
    <t>FIBER POLYM</t>
  </si>
  <si>
    <t>Fiber. Polym.</t>
  </si>
  <si>
    <t>10.1007/s12221-013-1134-z</t>
  </si>
  <si>
    <t>Materials Science, Textiles; Polymer Science</t>
  </si>
  <si>
    <t>Materials Science; Polymer Science</t>
  </si>
  <si>
    <t>191LO</t>
  </si>
  <si>
    <t>WOS:000322414700011</t>
  </si>
  <si>
    <t>Carr, SA; Vogel, SW; Dunbar, RB; Brandes, J; Spear, JR; Levy, R; Naish, TR; Powell, RD; Wakeham, SG; Mandernack, KW</t>
  </si>
  <si>
    <t>Carr, S. A.; Vogel, S. W.; Dunbar, R. B.; Brandes, J.; Spear, J. R.; Levy, R.; Naish, T. R.; Powell, R. D.; Wakeham, S. G.; Mandernack, K. W.</t>
  </si>
  <si>
    <t>Bacterial abundance and composition in marine sediments beneath the Ross Ice Shelf, Antarctica</t>
  </si>
  <si>
    <t>GEOBIOLOGY</t>
  </si>
  <si>
    <t>CARBON-ISOTOPE FRACTIONATION; FATTY-ACIDS; MICROBIAL COMMUNITIES; SUBSEAFLOOR SEDIMENTS; METABOLIC-ACTIVITY; TETRAETHER LIPIDS; ORGANIC-MATTER; GEN. NOV.; SEA; LIFE</t>
  </si>
  <si>
    <t>Marine sediments of the Ross Sea, Antarctica, harbor microbial communities that play a significant role in the decomposition, mineralization, and recycling of organic carbon (OC). In this study, the cell densities within a 153-cm sediment core from the Ross Sea were estimated based on microbial phospholipid fatty acid (PLFA) concentrations and acridine orange direct cell counts. The resulting densities were as high as 1.7x107cellsmL-1 in the top ten centimeters of sediments. These densities are lower than those calculated for most near-shore sites but consistent with deep-sea locations with comparable sedimentation rates. The 13C measurements of PLFAs and sedimentary and dissolved carbon sources, in combination with ribosomal RNA (SSU rRNA) gene pyrosequencing, were used to infer microbial metabolic pathways. The 13C values of dissolved inorganic carbon (DIC) in porewaters ranged downcore from -2.5 parts per thousand to -3.7 parts per thousand, while 13C values for the corresponding sedimentary particulate OC (POC) varied from -26.2 parts per thousand to -23.1 parts per thousand. The 13C values of PLFAs ranged between -29 parts per thousand and -35 parts per thousand throughout the sediment core, consistent with a microbial community dominated by heterotrophs. The SSU rRNA gene pyrosequencing revealed that members of this microbial community were dominated by -, -, and -Proteobacteria, Actinobacteria, Chloroflexi and Bacteroidetes. Among the sequenced organisms, many appear to be related to known heterotrophs that utilize OC sources such as amino acids, oligosaccharides, and lactose, consistent with our interpretation from 13CPLFA analysis. Integrating phospholipids analyses with porewater chemistry, 13CDIC and 13CPOC values and SSU rRNA gene sequences provides a more comprehensive understanding of microbial communities and carbon cycling in marine sediments, including those of this unique ice shelf environment.</t>
  </si>
  <si>
    <t>[Carr, S. A.; Mandernack, K. W.] Colorado Sch Mines, Dept Chem &amp; Geochem, Golden, CO 80401 USA; [Vogel, S. W.; Powell, R. D.] No Illinois Univ, Dept Geol &amp; Environm Geosci, De Kalb, IL 60115 USA; [Vogel, S. W.] Australian Antarctic Div, Kingston, Tas, Australia; [Vogel, S. W.] Univ Tasmania, Antarctic Climate &amp; Ecosyst Cooperat Res Ctr, Hobart, Tas, Australia; [Dunbar, R. B.] Stanford Univ, Dept Environm Earth Syst Sci, Stanford, CA 94305 USA; [Brandes, J.; Wakeham, S. G.] Skidaway Inst Oceanog, Savannah, GA USA; [Spear, J. R.] Colorado Sch Mines, Dept Civil &amp; Environm Engn, Golden, CO 80401 USA; [Levy, R.] Geol &amp; Nucl Sci, Wellington, New Zealand; [Naish, T. R.] Victoria Univ, Antarctic Res Ctr, Wellington, New Zealand; [Mandernack, K. W.] Indiana Univ Purdue Univ, Dept Earth Sci, Indianapolis, IN 46202 USA</t>
  </si>
  <si>
    <t>Colorado School of Mines; Northern Illinois University; Australian Antarctic Division; University of Tasmania; Antarctic Climate &amp; Ecosystems Cooperative Research Centre (ACE CRC); Stanford University; University System of Georgia; University of Georgia; Skidaway Institute of Oceanography; Colorado School of Mines; GNS Science - New Zealand; Victoria University Wellington; Indiana University System; Indiana University-Purdue University Indianapolis</t>
  </si>
  <si>
    <t>Mandernack, KW (corresponding author), Colorado Sch Mines, Dept Chem &amp; Geochem, Golden, CO 80401 USA.</t>
  </si>
  <si>
    <t>kevinman@iupui.edu</t>
  </si>
  <si>
    <t>Levy, Richard H/E-2477-2011; Spear, John R./ABI-5873-2020; Vogel, Stefan/I-1963-2014</t>
  </si>
  <si>
    <t>Vogel, Stefan/0000-0002-4350-7130; Spear, John/0000-0002-4664-7438; Naish, Tim/0000-0002-1185-9932; Levy, Richard/0000-0002-8783-0167; Dunbar, Robert/0000-0002-9728-5609</t>
  </si>
  <si>
    <t>ANDRILL</t>
  </si>
  <si>
    <t>The authors would like to thank ANDRILL for samples and funding, especially Alex Pyne for his efforts with the push cores. We also like to thank Chuck Pepe-Ranney, Chase Williamson, and Jason Sahl for assistance in the laboratory and with bioinformatics, David Mucciarone for his help with 13C measurements, as well as Chris Mills, Andrew Glossner and Hallgerd Eydal for their editorial comments. We thank our four anonymous reviewers for their thoughtful and very constructive reviews and the editorial handling of Anne Louise Reysenbach and Kurt Konhauser.</t>
  </si>
  <si>
    <t>1472-4677</t>
  </si>
  <si>
    <t>1472-4669</t>
  </si>
  <si>
    <t>Geobiology</t>
  </si>
  <si>
    <t>10.1111/gbi.12042</t>
  </si>
  <si>
    <t>Biology; Environmental Sciences; Geosciences, Multidisciplinary</t>
  </si>
  <si>
    <t>Life Sciences &amp; Biomedicine - Other Topics; Environmental Sciences &amp; Ecology; Geology</t>
  </si>
  <si>
    <t>166KH</t>
  </si>
  <si>
    <t>WOS:000320552800006</t>
  </si>
  <si>
    <t>Clark, MS; Husmann, G; Thorne, MAS; Burns, G; Truebano, M; Peck, LS; Abele, D; Philipp, EER</t>
  </si>
  <si>
    <t>Clark, Melody S.; Husmann, Gunnar; Thorne, Michael A. S.; Burns, Gavin; Truebano, Manuela; Peck, Lloyd S.; Abele, Doris; Philipp, Eva E. R.</t>
  </si>
  <si>
    <t>Hypoxia impacts large adults first: consequences in a warming world</t>
  </si>
  <si>
    <t>antioxidant; mollusc; protein oxidation; sarcopenia; tissue scaling</t>
  </si>
  <si>
    <t>ADENYLATE ENERGY-CHARGE; CO2-DRIVEN OCEAN ACIDIFICATION; KING-GEORGE-ISLAND; LATERNULA-ELLIPTICA; ARTICULATE BRACHIOPODS; PROTEASOME INHIBITION; INNATE IMMUNITY; POTTER COVE; GROWTH-RATE; BODY-SIZE</t>
  </si>
  <si>
    <t>Future oceans are predicted to contain less oxygen than at present. This is because oxygen is less soluble in warmer water and predicted stratification will reduce mixing. Hypoxia in marine environments is thus likely to become more widespread in marine environments and understanding species-responses is important to predicting future impacts on biodiversity. This study used a tractable model, the Antarctic clam, Laternula elliptica, which can live for 36years, and has a well-characterized ecology and physiology to understand responses to hypoxia and how the effect varied with age. Younger animals had a higher condition index, higher adenylate energy charge and transcriptional profiling indicated that they were physically active in their response to hypoxia, whereas older animals were more sedentary, with higher levels of oxidative damage and apoptosis in the gills. These effects could be attributed, in part, to age-related tissue scaling; older animals had proportionally less contractile muscle mass and smaller gills and foot compared with younger animals, with consequential effects on the whole-animal physiological response. The data here emphasize the importance of including age effects, as large mature individuals appear to be less able to resist hypoxic conditions and this is the size range that is the major contributor to future generations. Thus, the increased prevalence of hypoxia in future oceans may have marked effects on benthic organisms' abilities to persist and this is especially so for long-lived species when predicting responses to environmental perturbation.</t>
  </si>
  <si>
    <t>[Clark, Melody S.; Thorne, Michael A. S.; Burns, Gavin; Truebano, Manuela; Peck, Lloyd S.] NERC, British Antarctic Survey, Cambridge CB3 0ET, England; [Husmann, Gunnar; Philipp, Eva E. R.] Univ Kiel, Inst Clin Mol Biol, D-24105 Kiel, Germany; [Truebano, Manuela] Univ Plymouth, Marine Biol &amp; Ecol Res Ctr, Plymouth PL4 8AA, Devon, England; [Abele, Doris] Alfred Wegener Inst Polar &amp; Marine Res, D-27570 Bremerhaven, Germany</t>
  </si>
  <si>
    <t>UK Research &amp; Innovation (UKRI); Natural Environment Research Council (NERC); NERC British Antarctic Survey; University of Kiel; University of Plymouth; Helmholtz Association; Alfred Wegener Institute, Helmholtz Centre for Polar &amp; Marine Research</t>
  </si>
  <si>
    <t>Clark, MS (corresponding author), NERC, British Antarctic Survey, Madingley Rd, Cambridge CB3 0ET, England.</t>
  </si>
  <si>
    <t>mscl@bas.ac.uk</t>
  </si>
  <si>
    <t>Truebano, Manuela/AAO-4545-2021; Clark, Melody/D-7371-2014</t>
  </si>
  <si>
    <t>Clark, Melody/0000-0002-3442-3824; Truebano, Manuela/0000-0003-2586-6524; Abele, Doris/0000-0002-5766-5017; Thorne, Michael/0000-0001-7759-612X</t>
  </si>
  <si>
    <t>DFG [PH141-5-1]; ESF-PolarCLIMATE programme IMCOAST; DfG Cluster of Excellence 'The Future Ocean' at Christian-Albrechts University, Kiel; Natural Environment Research Council [dml011000, bas0100025] Funding Source: researchfish; NERC [bas0100025, dml011000] Funding Source: UKRI</t>
  </si>
  <si>
    <t>DFG(German Research Foundation (DFG)); ESF-PolarCLIMATE programme IMCOAST; DfG Cluster of Excellence 'The Future Ocean' at Christian-Albrechts University, Kiel; Natural Environment Research Council(UK Research &amp; Innovation (UKRI)Natural Environment Research Council (NERC)); NERC(UK Research &amp; Innovation (UKRI)Natural Environment Research Council (NERC))</t>
  </si>
  <si>
    <t>This study was produced within the BAS Ecosystems programme. The Rothera Dive Team collected animals and Derek Ball suggested decreased muscle mass as a consequence of ageing. Andrew Clarke critically appraised the manuscript. The NERC National Facility for Scientific Diving (Oban) provided overall diving support. We also thank M. Schwanitz, C. Daniels, the Argentinian divers and the A. Carlini crew for logistical support at the Argentinian station A. Carlini. S. Meyer provided technical support at the AWI, Bremerhaven. Funding was from DFG project PH141-5-1 (E. P and G. H), the ESF-PolarCLIMATE programme IMCOAST and the DfG Cluster of Excellence 'The Future Ocean' at Christian-Albrechts University, Kiel.</t>
  </si>
  <si>
    <t>10.1111/gcb.12197</t>
  </si>
  <si>
    <t>Bronze, Green Accepted</t>
  </si>
  <si>
    <t>WOS:000319963500023</t>
  </si>
  <si>
    <t>Godinho, VM; Furbino, LE; Santiago, IF; Pellizzari, FM; Yokoya, NS; Pupo, D; Alves, TMA; Junior, PAS; Romanha, AJ; Zani, CL; Cantrell, CL; Rosa, CA; Rosa, LH</t>
  </si>
  <si>
    <t>Godinho, Valeria M.; Furbino, Laura E.; Santiago, Iara F.; Pellizzari, Franciane M.; Yokoya, Nair S.; Pupo, Dicla; Alves, Tania M. A.; Junior, Policarpo A. S.; Romanha, Alvaro J.; Zani, Carlos L.; Cantrell, Charles L.; Rosa, Carlos A.; Rosa, Luiz H.</t>
  </si>
  <si>
    <t>Diversity and bioprospecting of fungal communities associated with endemic and cold-adapted macroalgae in Antarctica</t>
  </si>
  <si>
    <t>Antarctica; marine fungi; seaweeds; diversity; extremophiles</t>
  </si>
  <si>
    <t>CYTOTOXIC METABOLITES; PENICILLIUM-CHRYSOGENUM; MARINE MACROALGAE; STRAINS; IDENTIFICATION; TEMPERATURE; PENOSTATINS; ISLANDS; REGION; DESV.</t>
  </si>
  <si>
    <t>We surveyed the distribution and diversity of fungi associated with eight macroalgae from Antarctica and their capability to produce bioactive compounds. The collections yielded 148 fungal isolates, which were identified using molecular methods as belonging to 21 genera and 50 taxa. The most frequent taxa were Geomyces species (sp.), Penicillium sp. and Metschnikowia australis. Seven fungal isolates associated with the endemic Antarctic macroalgae Monostroma hariotii (Chlorophyte) displayed high internal transcribed spacer sequences similarities with the psychrophilic pathogenic fungus Geomyces destructans. Thirty-three fungal singletons (66%) were identified, representing rare components of the fungal communities. The fungal communities displayed high diversity, richness and dominance indices; however, rarefaction curves indicated that not all of the fungal diversity present was recovered. Penicillium sp. UFMGCB 6034 and Penicillium sp. UFMGCB 6120, recovered from the endemic species Palmaria decipiens (Rhodophyte) and M. hariotii, respectively, yielded extracts with high and selective antifungal and/or trypanocidal activities, in which a preliminary spectral analysis using proton nuclear magnetic resonance spectroscopy indicated the presence of highly functionalised aromatic compounds. These results suggest that the endemic and cold-adapted macroalgae of Antarctica shelter a rich, diversity and complex fungal communities consisting of a few dominant indigenous or mesophilic cold-adapted species, and a large number of rare and/or endemic taxa, which may provide an interesting model of algal-fungal interactions under extreme conditions as well as a potential source of bioactive compounds.</t>
  </si>
  <si>
    <t>[Godinho, Valeria M.; Furbino, Laura E.; Santiago, Iara F.; Rosa, Carlos A.; Rosa, Luiz H.] Univ Fed Minas Gerais, Inst Ciencias Biol, Dept Microbiol, BR-31270901 Belo Horizonte, MG, Brazil; [Pellizzari, Franciane M.] Univ Estadual Parana, Lab Ficol &amp; Qual Agua Mar, Paranagua, Brazil; [Yokoya, Nair S.; Pupo, Dicla] Nucleo Pesquisa Ficol, Secao Ficol, Sao Paulo, Brazil; [Alves, Tania M. A.; Zani, Carlos L.] Fundacao Oswaldo Cruz, Ctr Pesquisas Rene Rachou, Lab Quim Prod Nat, Belo Horizonte, MG, Brazil; [Junior, Policarpo A. S.; Romanha, Alvaro J.] Fiocruz MS, Ctr Pesquisas Rene Rachou, Lab Parasitol Celular &amp; Mol, BR-30190 Belo Horizonte, MG, Brazil; [Cantrell, Charles L.] USDA ARS, Nat Prod Utilizat Res Unit, Oxford, MS USA</t>
  </si>
  <si>
    <t>Universidade Federal de Minas Gerais; Fundacao Oswaldo Cruz; Fundacao Oswaldo Cruz; United States Department of Agriculture (USDA)</t>
  </si>
  <si>
    <t>Rosa, LH (corresponding author), Univ Fed Minas Gerais, Inst Ciencias Biol, Dept Microbiol, Lab Sistemat &amp; Biomol Fungos, POB 486, BR-31270901 Belo Horizonte, MG, Brazil.</t>
  </si>
  <si>
    <t>lhrosa@icb.ufmg.br</t>
  </si>
  <si>
    <t>Fapesp, Biota/F-8655-2017; Pellizzari, Franciane M./JLL-6907-2023; Zani, Carlos Leomar/ABE-3936-2021; Yokoya, Nair S/F-1571-2015; Alves, Tania Maria A/B-4814-2009; Zani, Carlos/A-9658-2008</t>
  </si>
  <si>
    <t>Fapesp, Biota/0000-0002-9887-8449; Zani, Carlos/0000-0003-1859-177X; Pellizzari, Franciane/0000-0003-1877-2570; Almeida Alves, Tania Maria/0000-0002-0582-3968</t>
  </si>
  <si>
    <t>Brazilian Antarctic Program (PROANTAR/MCT/CNPq) [23/2009]; Fundacao de Amparo a Pesquisa do Estado de Minas Gerais (FAPEMIG); Health-PDTIS-FIOCRUZ; PRPq-UFMG; CAPES/PGCI [036/13]; Conselho Nacional de Desenvolvimento Cientifico e Tecnologico (CNPq); Marine of Brazil; Clube Alpino Paulista (CAP)</t>
  </si>
  <si>
    <t>Brazilian Antarctic Program (PROANTAR/MCT/CNPq); Fundacao de Amparo a Pesquisa do Estado de Minas Gerais (FAPEMIG)(Fundacao de Amparo a Pesquisa do Estado de Minas Gerais (FAPEMIG)); Health-PDTIS-FIOCRUZ; PRPq-UFMG; CAPES/PGCI; Conselho Nacional de Desenvolvimento Cientifico e Tecnologico (CNPq)(Conselho Nacional de Desenvolvimento Cientifico e Tecnologico (CNPQ)); Marine of Brazil; Clube Alpino Paulista (CAP)</t>
  </si>
  <si>
    <t>This study had financial and logistic support from the Brazilian Antarctic Program (PROANTAR/MCT/CNPq-No. 23/2009), Marine of Brazil and Francisco Petrone from the Clube Alpino Paulista (CAP). We acknowledge the financial support from Fundacao de Amparo a Pesquisa do Estado de Minas Gerais (FAPEMIG), Health-PDTIS-FIOCRUZ, PRPq-UFMG, CAPES/PGCI 036/13 and Conselho Nacional de Desenvolvimento Cientifico e Tecnologico (CNPq). This study represents the Pos-doctoral degree of Dr VM Godinho under the supervision of Dr LH Rosa. Also, the results of this study are part of the Master Science degree of LE Furbino within the Programa of Pos-Graduacao in Biotecnologia of UFOP. We thank Isis V Galliza and Fernanda LM Francisco for performing the biological assays. We thank Solomon Green III for technical assistance. We also thank the anonymous reviewers for helpful comments to improve the quality of the manuscript.</t>
  </si>
  <si>
    <t>SPRINGERNATURE</t>
  </si>
  <si>
    <t>CAMPUS, 4 CRINAN ST, LONDON, N1 9XW, ENGLAND</t>
  </si>
  <si>
    <t>1751-7370</t>
  </si>
  <si>
    <t>10.1038/ismej.2013.77</t>
  </si>
  <si>
    <t>170LM</t>
  </si>
  <si>
    <t>WOS:000320852100018</t>
  </si>
  <si>
    <t>Lecomte, O; Fichefet, T; Vancoppenolle, M; Domine, F; Massonnet, F; Mathiot, P; Morin, S; Barriat, P</t>
  </si>
  <si>
    <t>Lecomte, O.; Fichefet, T.; Vancoppenolle, M.; Domine, F.; Massonnet, F.; Mathiot, P.; Morin, S.; Barriat, P. Y.</t>
  </si>
  <si>
    <t>On the formulation of snow thermal conductivity in large-scale sea ice models</t>
  </si>
  <si>
    <t>JOURNAL OF ADVANCES IN MODELING EARTH SYSTEMS</t>
  </si>
  <si>
    <t>sea ice; snow; model; thermodynamics; mass balance</t>
  </si>
  <si>
    <t>SENSITIVITY; COVER; EVOLUTION; TRANSMISSION; SIMULATIONS; RADIATION; PHYSICS; GROWTH; SCHEME</t>
  </si>
  <si>
    <t>An assessment of the performance of a state-of-the-art large-scale coupled sea ice-ocean model, including a new snow multilayer thermodynamic scheme, is performed. Four 29 year long simulations are compared against each other and against sea ice thickness and extent observations. Each simulation uses a separate parameterization for snow thermophysical properties. The first simulation uses a constant thermal conductivity and prescribed density profiles. The second and third parameterizations use typical power-law relationships linking thermal conductivity directly to density (prescribed as in the first simulation). The fourth parameterization is newly developed and consists of a set of two linear equations relating the snow thermal conductivity and density to the mean seasonal wind speed. Results show that simulation 1 leads to a significant overestimation of the sea ice thickness due to overestimated thermal conductivity, particularly in the Northern Hemisphere. Parameterizations 2 and 4 lead to a realistic simulation of the Arctic sea ice mean state. Simulation 3 results in the underestimation of the sea ice basal growth in both hemispheres, but is partly compensated by lateral growth and snow ice formation in the Southern Hemisphere. Finally, parameterization 4 improves the simulated Snow Depth Distributions by including snow packing by wind, and shows potential for being used in future works. The intercomparison of all simulations suggests that the sea ice model is more sensitive to the snow representation in the Arctic than it is in the Southern Ocean, where the sea ice thickness is not driven by temperature profiles in the snow.</t>
  </si>
  <si>
    <t>[Lecomte, O.; Fichefet, T.; Massonnet, F.; Barriat, P. Y.] Catholic Univ Louvain, Earth &amp; Life Inst, Georges Lemaitre Ctr Earth &amp; Climate Res, BE-1348 Louvain, Belgium; [Vancoppenolle, M.] Lab Oceanog &amp; Climat Expt &amp; Approches Numer, Paris, France; [Domine, F.] Univ Laval, Takuvik Joint Int Lab, Quebec City, PQ, Canada; [Domine, F.] Ctr Natl Rech Sci France, Quebec City, PQ, Canada; [Domine, F.] Univ Laval, Dept Chem, Quebec City, PQ G1K 7P4, Canada; [Mathiot, P.] British Antarctic Survey, Nat Environm Res Council, Cambridge CB3 0ET, England; [Morin, S.] Meteeo France CNRS, CNRM GAME, Snow Res Ctr, St Martin Dheres, France</t>
  </si>
  <si>
    <t>Universite Catholique Louvain; Museum National d'Histoire Naturelle (MNHN); Sorbonne Universite; Laval University; Laval University; UK Research &amp; Innovation (UKRI); Natural Environment Research Council (NERC); NERC British Antarctic Survey; Centre National de la Recherche Scientifique (CNRS)</t>
  </si>
  <si>
    <t>Lecomte, O (corresponding author), Catholic Univ Louvain, Earth &amp; Life Inst, Georges Lemaitre Ctr Earth &amp; Climate Res, BE-1348 Louvain, Belgium.</t>
  </si>
  <si>
    <t>Vancoppenolle, Martin/AAA-7711-2022; Morin, Samuel/E-8005-2011; Vancoppenolle, Martin/B-3750-2011</t>
  </si>
  <si>
    <t>Vancoppenolle, Martin/0000-0002-7573-8582; Morin, Samuel/0000-0002-1781-687X; Vancoppenolle, Martin/0000-0002-7573-8582</t>
  </si>
  <si>
    <t>European Commissions 7th Framework Programme under COMBINE project (Comprehensive Modeling of the Earth System for Better Climate Prediction and Projection) [226520]; French Polar Institute (IPEV); CNRS through Programme National de Teledetection Spatiale (PNTS); Meteo France; NERC [bas0100028] Funding Source: UKRI; Natural Environment Research Council [bas0100028] Funding Source: researchfish</t>
  </si>
  <si>
    <t>European Commissions 7th Framework Programme under COMBINE project (Comprehensive Modeling of the Earth System for Better Climate Prediction and Projection)(European Union (EU)); French Polar Institute (IPEV); CNRS through Programme National de Teledetection Spatiale (PNTS); Meteo France; NERC(UK Research &amp; Innovation (UKRI)Natural Environment Research Council (NERC)); Natural Environment Research Council(UK Research &amp; Innovation (UKRI)Natural Environment Research Council (NERC))</t>
  </si>
  <si>
    <t>This work was partly funded by the European Commissions 7th Framework Programme under grant agreement 226520, COMBINE project (Comprehensive Modeling of the Earth System for Better Climate Prediction and Projection). Most of the field work of F. Domine was funded by the French Polar Institute (IPEV). The campaign in Sodankyla was funded by CNRS through Programme National de Teledetection Spatiale (PNTS), and F. Domine thanks Jean-Louis Roujean for his invitation. The work at Col de Porte was funded by Meteo France. Laurent Arnaud, Ghislain Picard, Josue Bock, Jean-Charles Gallet, and Carlo Carmagnola all contributed to the field data. F. Massonnet is a F.R.S.-FNRS Research Fellow. The authors are grateful to two anonymous reviewers for contributing to the significant improvement of the manuscript.</t>
  </si>
  <si>
    <t>1942-2466</t>
  </si>
  <si>
    <t>J ADV MODEL EARTH SY</t>
  </si>
  <si>
    <t>J. Adv. Model. Earth Syst.</t>
  </si>
  <si>
    <t>10.1002/jame.20039</t>
  </si>
  <si>
    <t>238HB</t>
  </si>
  <si>
    <t>Green Published, gold, Green Accepted</t>
  </si>
  <si>
    <t>WOS:000325934100005</t>
  </si>
  <si>
    <t>Gregory, JM; White, NJ; Church, JA; Bierkens, MFP; Box, JE; den Broeke, MR; Cogley, JG; Fettweis, X; Hanna, E; Huybrechts, P; Konikow, LF; Leclercq, PW; Marzeion, B; Oerlemans, J; Tamisiea, ME; Wada, Y; Wake, LM; de Wal, RSW</t>
  </si>
  <si>
    <t>Gregory, J. M.; White, N. J.; Church, J. A.; Bierkens, M. F. P.; Box, J. E.; van den Broeke, M. R.; Cogley, J. G.; Fettweis, X.; Hanna, E.; Huybrechts, P.; Konikow, L. F.; Leclercq, P. W.; Marzeion, B.; Oerlemans, J.; Tamisiea, M. E.; Wada, Y.; Wake, L. M.; van de Wal, R. S. W.</t>
  </si>
  <si>
    <t>Twentieth-Century Global-Mean Sea Level Rise: Is the Whole Greater than the Sum of the Parts?</t>
  </si>
  <si>
    <t>Sea level; In situ oceanic observations; Ship observations; Surface observations; Climate models; Land surface model</t>
  </si>
  <si>
    <t>GREENLAND ICE-SHEET; SURFACE MASS-BALANCE; CLIMATE-CHANGE; GLACIER CONTRIBUTION; MOUNTAIN GLACIERS; TEMPERATURE; OCEAN; VARIABILITY; IMPACT; MODEL</t>
  </si>
  <si>
    <t>Confidence in projections of global-mean sea level rise (GMSLR) depends on an ability to account for GMSLR during the twentieth century. There are contributions from ocean thermal expansion, mass loss from glaciers and ice sheets, groundwater extraction, and reservoir impoundment. Progress has been made toward solving the enigma of twentieth-century GMSLR, which is that the observed GMSLR has previously been found to exceed the sum of estimated contributions, especially for the earlier decades. The authors propose the following: thermal expansion simulated by climate models may previously have been underestimated because of their not including volcanic forcing in their control state; the rate of glacier mass loss was larger than previously estimated and was not smaller in the first half than in the second half of the century; the Greenland ice sheet could have made a positive contribution throughout the century; and groundwater depletion and reservoir impoundment, which are of opposite sign, may have been approximately equal in magnitude. It is possible to reconstruct the time series of GMSLR from the quantified contributions, apart from a constant residual term, which is small enough to be explained as a long-term contribution from the Antarctic ice sheet. The reconstructions account for the observation that the rate of GMSLR was not much larger during the last 50 years than during the twentieth century as a whole, despite the increasing anthropogenic forcing. Semiempirical methods for projecting GMSLR depend on the existence of a relationship between global climate change and the rate of GMSLR, but the implication of the authors' closure of the budget is that such a relationship is weak or absent during the twentieth century.</t>
  </si>
  <si>
    <t>[Gregory, J. M.] Univ Reading, NCAS Climate, Reading RG6 6BB, Berks, England; [Gregory, J. M.] Met Off Hadley Ctr, Exeter, Devon, England; [White, N. J.; Church, J. A.] CSIRO Marine &amp; Atmospher Res, CAWCR, Hobart, Tas, Australia; [Bierkens, M. F. P.; Wada, Y.] Univ Utrecht, Dept Phys Geog, Utrecht, Netherlands; [Bierkens, M. F. P.] Deltares, Delft, Netherlands; [Box, J. E.] Ohio State Univ, Byrd Polar Res Ctr, Columbus, OH 43210 USA; [Box, J. E.] Ohio State Univ, Dept Geog, Atmospher Sci Program, Columbus, OH 43210 USA; [van den Broeke, M. R.; Fettweis, X.; Leclercq, P. W.; Oerlemans, J.; van de Wal, R. S. W.] Univ Utrecht, Inst Marine &amp; Atmospher Res Utrecht, Utrecht, Netherlands; [Cogley, J. G.] Trent Univ, Dept Geog, Peterborough, ON K9J 7B8, Canada; [Fettweis, X.] Univ Liege, Dept Geog, Liege, Belgium; [Hanna, E.] Univ Sheffield, Dept Geog, Sheffield S10 2TN, S Yorkshire, England; [Huybrechts, P.] Vrije Univ Brussel, Brussels, Belgium; [Huybrechts, P.] Vrije Univ Brussel, Dept Geog, Brussels, Belgium; [Konikow, L. F.] US Geol Survey, Reston, VA 22092 USA; [Marzeion, B.] Univ Innsbruck, Inst Meteorol &amp; Geophys, Ctr Climate &amp; Cryosphere, A-6020 Innsbruck, Austria; [Tamisiea, M. E.] Natl Oceanog Ctr, Liverpool, Merseyside, England; [Wake, L. M.] Univ Calgary, Dept Geog, Calgary, AB T2N 1N4, Canada</t>
  </si>
  <si>
    <t>University of Reading; UK Research &amp; Innovation (UKRI); Natural Environment Research Council (NERC); NERC National Centre for Atmospheric Science; Met Office - UK; Hadley Centre; Commonwealth Scientific &amp; Industrial Research Organisation (CSIRO); Utrecht University; Deltares; University System of Ohio; Ohio State University; University System of Ohio; Ohio State University; Utrecht University; Trent University; University of Liege; University of Sheffield; Vrije Universiteit Brussel; Vrije Universiteit Brussel; United States Department of the Interior; United States Geological Survey; University of Innsbruck; NERC National Oceanography Centre; University of Calgary</t>
  </si>
  <si>
    <t>Gregory, JM (corresponding author), Univ Reading, Meteorol Bldg,POB 243, Reading RG6 6BB, Berks, England.</t>
  </si>
  <si>
    <t>j.m.gregory@reading.ac.uk</t>
  </si>
  <si>
    <t>Van den Broeke, Michiel R./F-7867-2011; Box, Jason/H-5770-2013; Gregory, Jonathan/J-2939-2016; Hanna, Edward/W-5927-2019; Wada, Yoshihide/F-3595-2012; Church, John A/A-1541-2012; Bierkens, Marc F.P./AAE-8176-2019; Hanna, Edward/H-2219-2016; van de wal, roderik/D-1705-2011; Box, Jason E/AAE-1654-2019; Bierkens, Marc F.P./JAC-9727-2023; Huybrechts, Philippe/J-5278-2013; Marzeion, Ben/G-6514-2013</t>
  </si>
  <si>
    <t>Van den Broeke, Michiel R./0000-0003-4662-7565; Box, Jason/0000-0003-0052-8705; Gregory, Jonathan/0000-0003-1296-8644; Hanna, Edward/0000-0002-8683-182X; Wada, Yoshihide/0000-0003-4770-2539; Church, John A/0000-0002-7037-8194; Hanna, Edward/0000-0002-8683-182X; van de wal, roderik/0000-0003-2543-3892; Box, Jason E/0000-0003-0052-8705; Huybrechts, Philippe/0000-0003-1406-0525; Marzeion, Ben/0000-0002-6185-3539; Fettweis, Xavier/0000-0002-4140-3813; Wake, Leanne/0000-0003-1531-6473; Bierkens, Marc F.P./0000-0002-7411-6562</t>
  </si>
  <si>
    <t>European Research Council under the European Community's Seventh Framework Programme (FP7), ERC, project Seachange [247220]; Australian Climate Change Science Program; Natural Environment Research Council [ncas10009, noc010012] Funding Source: researchfish</t>
  </si>
  <si>
    <t>European Research Council under the European Community's Seventh Framework Programme (FP7), ERC, project Seachange; Australian Climate Change Science Program; Natural Environment Research Council(UK Research &amp; Innovation (UKRI)Natural Environment Research Council (NERC))</t>
  </si>
  <si>
    <t>We are grateful to Manfred Wenzel and Jens Schroter, Richard Ray and Bruce Douglas, Svetlana Jevrejeva and her colleagues, and Ben Chao and his colleagues for kindly making their datasets available. We thank Ian Allison, Christopher Bernhardt, Mark Hemer, Walter Munk, and the anonymous reviewers for their constructive comments on the paper. We acknowledge the modeling groups for making their AOGCM output available as part of the CMIP3 multi-model dataset and the Program for Climate Model Diagnosis and Intercomparison (PCMDI) for collecting and archiving these data. The research leading to these results has received funding from the European Research Council under the European Community's Seventh Framework Programme (FP7/2007-2013), ERC grant agreement 247220, project Seachange. This paper is a contribution to the Australian Climate Change Research Program; JAC and NJW were partly funded by the Australian Climate Change Science Program.</t>
  </si>
  <si>
    <t>10.1175/JCLI-D-12-00319.1</t>
  </si>
  <si>
    <t>175UL</t>
  </si>
  <si>
    <t>Green Submitted, Green Accepted, Green Published, Bronze</t>
  </si>
  <si>
    <t>WOS:000321259000006</t>
  </si>
  <si>
    <t>Close, SE; Garabato, ACN; McDonagh, EL; King, BA; Biuw, M; Boehme, L</t>
  </si>
  <si>
    <t>Close, Sally E.; Garabato, Alberto C. Naveira; McDonagh, Elaine L.; King, Brian A.; Biuw, Martin; Boehme, Lars</t>
  </si>
  <si>
    <t>Control of Mode and Intermediate Water Mass Properties in Drake Passage by the Amundsen Sea Low</t>
  </si>
  <si>
    <t>SOUTHERN ANNULAR MODE; OCEAN SALINITIES; DECADAL CHANGES; PACIFIC-OCEAN; FRESH-WATER; TRENDS; VARIABILITY; HEMISPHERE; REANALYSIS; ENSO</t>
  </si>
  <si>
    <t>The evolution of the physical properties of Subantarctic Mode Water (SAMW) and Antarctic Intermediate Water (AAIW) in the Drake Passage region is examined on time scales down to intraseasonal, within the 1969-2009 period. Both SAMW and AAIW experience substantial interannual to interdecadal variability, significantly linked to the action of the Amundsen Sea low (ASL) in their formation areas. Observations suggest that the interdecadal freshening tendency evident in SAMW over the past three decades has recently abated, while AAIW has warmed significantly since the early 2000s. The two water masses have also experienced a substantial lightening since the start of the record. Examination of the mechanisms underpinning water mass property variability shows that SAMW characteristics are controlled predominantly by a combination of air-sea turbulent heat fluxes, cross-frontal Ekman transport of Antarctic surface waters, and the evaporation-precipitation balance in the Subantarctic zone of the southeast Pacific and Drake Passage, while AAIW properties reflect air-sea turbulent heat fluxes and sea ice formation in the Bellingshausen Sea. The recent interdecadal evolution of the ASL is consistent with both the dominance of the processes described here and the response of SAMW and AAIW on that time scale.</t>
  </si>
  <si>
    <t>[Close, Sally E.; Garabato, Alberto C. Naveira] Univ Southampton, Natl Oceanog Ctr, Southampton, Hants, England; [McDonagh, Elaine L.; King, Brian A.] Natl Oceanog Ctr, Southampton, Hants, England; [Biuw, Martin] Norwegian Inst Nat Res, Tromso, Norway; [Boehme, Lars] Scottish Oceans Inst, St Andrews, Fife, Scotland</t>
  </si>
  <si>
    <t>University of Southampton; NERC National Oceanography Centre; NERC National Oceanography Centre; Norwegian Institute Nature Research; University of St Andrews</t>
  </si>
  <si>
    <t>Close, SE (corresponding author), Catholic Univ Louvain, Earth &amp; Life Inst, Ctr Rech Terre &amp; Climat Georges Lemaitre, Pl Louis Pasteur 3, B-1348 Louvain, Belgium.</t>
  </si>
  <si>
    <t>sally.close@uclouvain.be</t>
  </si>
  <si>
    <t>Garabato, Alberto Naveira/AAQ-1114-2020; KIng, Brian/KDN-7191-2024; Biuw, Martin/AAF-9895-2021; Boehme, Lars/B-6567-2009</t>
  </si>
  <si>
    <t>Garabato, Alberto Naveira/0000-0001-6071-605X; McDonagh, Elaine/0000-0002-8813-4585; Boehme, Lars/0000-0003-3513-6816; Biuw, Martin/0000-0001-8051-3399</t>
  </si>
  <si>
    <t>U.K. Natural Environment Research Council (NERC) [GR3/11654]; National Oceanography Centre, Southampton (NOCS); British Antarctic Survey; SEaOS project [NER/D/S/2002/00426]; SEC at NOCS; ACNG [NE/C517633/1]; Natural Environment Research Council [NE/C517633/1, smru10001, NE/E007058/1, noc010012, NE/E018289/1] Funding Source: researchfish; NERC [NE/E018289/1, NE/E007058/1] Funding Source: UKRI</t>
  </si>
  <si>
    <t>U.K. Natural Environment Research Council (NERC)(UK Research &amp; Innovation (UKRI)Natural Environment Research Council (NERC)); National Oceanography Centre, Southampton (NOCS); British Antarctic Survey; SEaOS project; SEC at NOCS; ACNG; Natural Environment Research Council(UK Research &amp; Innovation (UKRI)Natural Environment Research Council (NERC)); NERC(UK Research &amp; Innovation (UKRI)Natural Environment Research Council (NERC))</t>
  </si>
  <si>
    <t>This study would not have been possible without the effort of many people at sea and ashore to collect, calibrate, and process the Drake Passage section measurements. The U.K. Natural Environment Research Council (NERC) funded 17 of the section occupations used in this work through Research Grant GR3/11654 and several core-strategic research programs at the National Oceanography Centre, Southampton (NOCS) and the British Antarctic Survey. It also funded the SEaOS project through Research Grant NER/D/S/2002/00426 and supported SEC through a Ph.D. studentship based at NOCS and ACNG through an NERC Advanced Research Fellowship (NE/C517633/1). Argo profile data were made available by the International Argo Project. We are grateful to Eleanor Frajka-Williams and Mike Meredith for helpful discussions and to two anonymous reviewers for their constructive comments on the manuscript.</t>
  </si>
  <si>
    <t>10.1175/JCLI-D-12-00346.1</t>
  </si>
  <si>
    <t>Green Accepted, Green Submitted, Bronze</t>
  </si>
  <si>
    <t>WOS:000330515400014</t>
  </si>
  <si>
    <t>Marshall, GJ; Orr, A; Turner, J</t>
  </si>
  <si>
    <t>Marshall, Gareth J.; Orr, Andrew; Turner, John</t>
  </si>
  <si>
    <t>A Predominant Reversal in the Relationship between the SAM and East Antarctic Temperatures during the Twenty-First Century</t>
  </si>
  <si>
    <t>SOUTHERN-HEMISPHERE CLIMATE; ANNULAR MODE; VARIABILITY; TRENDS; OSCILLATION; REANALYSES; RECONSTRUCTIONS; LATITUDES</t>
  </si>
  <si>
    <t>The scientific literature portrays a temporally invariant spatial relationship between the phase of the southern annular mode (SAM) and the sign of surface air temperature (SAT) anomalies across Antarctica. However, here the authors describe a predominant switch from a negative to positive SAM-temperature relationship (STR) across East Antarctica in austral summer/autumn during the first decade of the twenty-first century, when the SAM was generally weakly positive. Of the nine years that had a positive regional STR from 1957 to 2010, seven occurred during the last decade. This reversal appears to be a response to anomalous high pressure over East Antarctica, resulting from variability in the phase and amplitude of the local component of the zonal wavenumber 3 pressure pattern. In years when a reversed (positive) regional STR exists the anomalous circulation is such that there is greater energy flux into the region, while enhanced katabatic drainage across the continental interior disrupts the surface temperature inversion leading to warmer SATs inland, too. The average summer/autumn SAT increase across East Antarctica for years with reversed versus standard STR is similar to 1 degrees C. Anthropogenically forced models fail to reproduce the trend toward the anomalous high pressure pattern so it is likely that the STR switch is due to natural internal climate variability. That such broadscale STR reversals can take place on decadal time scales needs to be considered when detecting and attributing recent Antarctic climate change and when utilizing isotope data from the East Antarctic ice core record to provide a proxy SAM index prior to the instrumental record.</t>
  </si>
  <si>
    <t>[Marshall, Gareth J.; Orr, Andrew; Turner, John] British Antarctic Survey, Nat Environm Res Council, Cambridge CB3 0ET, England</t>
  </si>
  <si>
    <t>Marshall, GJ (corresponding author), British Antarctic Survey, Nat Environm Res Council, Madingley Rd, Cambridge CB3 0ET, England.</t>
  </si>
  <si>
    <t>gjma@bas.ac.uk</t>
  </si>
  <si>
    <t>U.K. Natural Environment Research Council through the British Antarctic Survey research programme Polar Science for Planet Earth; NERC [bas0100023] Funding Source: UKRI; Natural Environment Research Council [bas0100023] Funding Source: researchfish</t>
  </si>
  <si>
    <t>U.K. Natural Environment Research Council through the British Antarctic Survey research programme Polar Science for Planet Earth; NERC(UK Research &amp; Innovation (UKRI)Natural Environment Research Council (NERC)); Natural Environment Research Council(UK Research &amp; Innovation (UKRI)Natural Environment Research Council (NERC))</t>
  </si>
  <si>
    <t>This work was supported by the U.K. Natural Environment Research Council through the British Antarctic Survey research programme Polar Science for Planet Earth. We thank the three reviewers for their constructive comments that helped improve the final manuscript.</t>
  </si>
  <si>
    <t>10.1175/JCLI-D-12-00671.1</t>
  </si>
  <si>
    <t>WOS:000330515400020</t>
  </si>
  <si>
    <t>Johnson, R; Strutton, PG; Wright, SW; McMinn, A; Meiners, KM</t>
  </si>
  <si>
    <t>Johnson, Robert; Strutton, Peter G.; Wright, Simon W.; McMinn, Andrew; Meiners, Klaus M.</t>
  </si>
  <si>
    <t>Three improved satellite chlorophyll algorithms for the Southern Ocean</t>
  </si>
  <si>
    <t>ocean color; chlorophyll; Southern Ocean; satellite chlorophyll; remote sensing; algorithm</t>
  </si>
  <si>
    <t>BIOOPTICAL PROPERTIES; COLOR ALGORITHMS; VALIDATION; ATLANTIC; DIATOM</t>
  </si>
  <si>
    <t>Remote sensing of Southern Ocean chlorophyll concentrations is the most effective way to detect large-scale changes in phytoplankton biomass driven by seasonality and climate change. However, the current algorithms for the Sea-viewing Wide Field-of-view Sensor (SeaWiFS, algorithm OC4v6), the Moderate Resolution Imaging Spectroradiometer (MODIS-Aqua, algorithm OC3M), and GlobColour significantly underestimate chlorophyll concentrations at high latitudes. Here, we use a long-term data set from the Southern Ocean (20 degrees-160 degrees E) to develop more accurate algorithms for all three of these products in southern high-latitude regions. These new algorithms improve in situ versus satellite chlorophyll coefficients of determination (r(2)) from 0.27 to 0.46, 0.26 to 0.51, and 0.25 to 0.27, for OC4v6, OC3M, and GlobColour, respectively, while addressing the underestimation problem. This study also revealed that pigment composition, which reflects species composition and physiology, is key to understanding the reasons for satellite chlorophyll underestimation in this region. These significantly improved algorithms will permit more accurate estimates of standing stocks and more sensitive detection of spatial and temporal changes in those stocks, with consequences for derived products such as primary production and carbon cycling.</t>
  </si>
  <si>
    <t>[Johnson, Robert; Strutton, Peter G.; McMinn, Andrew] Univ Tasmania, Inst Marine &amp; Antarctic Studies, Hobart, Tas 7005, Australia; [Johnson, Robert; Wright, Simon W.; Meiners, Klaus M.] Australian Antarctic Div, Marine Microbial Ecol Grp, Kingston, Tas, Australia; [Johnson, Robert; Wright, Simon W.; Meiners, Klaus M.] Antarctic Climate &amp; Ecosyst Cooperat Res Ctr, Hobart, Tas, Australia</t>
  </si>
  <si>
    <t>University of Tasmania; Australian Antarctic Division; Antarctic Climate &amp; Ecosystems Cooperative Research Centre (ACE CRC)</t>
  </si>
  <si>
    <t>Johnson, R (corresponding author), Univ Tasmania, Inst Marine &amp; Antarctic Studies, Hobart, Tas 7005, Australia.</t>
  </si>
  <si>
    <t>robert.johnson@utas.edu.au</t>
  </si>
  <si>
    <t>McMinn, Andrew/A-9910-2008; Strutton, Peter/C-4466-2011; Johnson, Robert/E-7321-2012</t>
  </si>
  <si>
    <t>Strutton, Peter/0000-0002-2395-9471; Johnson, Robert/0000-0002-5915-5416</t>
  </si>
  <si>
    <t>Australian Government's Cooperative Research Centres Program through the Antarctic Climate and Ecosystems Cooperative Research Centre (ACE CRC); Australian Research Council's Centre of Excellence for Climate System Science</t>
  </si>
  <si>
    <t>Australian Government's Cooperative Research Centres Program through the Antarctic Climate and Ecosystems Cooperative Research Centre (ACE CRC)(Australian GovernmentDepartment of Industry, Innovation and ScienceCooperative Research Centres (CRC) Programme); Australian Research Council's Centre of Excellence for Climate System Science(Australian Research Council)</t>
  </si>
  <si>
    <t>We would like to thank the captain and crew of MV L'Astrolabe, Bronte Tilbrook (CSIRO), John Akl (CSIRO), Alain Poisson, the French Polar Program (IFREMER), and many dedicated volunteer samplers. Robert Johnson indebted to Astrid U. Bracher, Tilman Dinter, and the Phytooptics research group at the Alfred Wegener Institute for Polar and Marine Research for their invaluable assistance with the GlobColour satellite products. This work was supported by the Australian Government's Cooperative Research Centres Program through the Antarctic Climate and Ecosystems Cooperative Research Centre (ACE CRC) and the Australian Research Council's Centre of Excellence for Climate System Science. Satellite data were kindly provided by NASA Goddard Space Flight Centre and the ESA GlobColour Project; http://oceancolor.gsfc.nasa.gov/ (accessed March 2013, reprocessing 2012.0) and http://www.glob-colour.info/ (accessed March 2013).</t>
  </si>
  <si>
    <t>10.1002/jgrc.20270</t>
  </si>
  <si>
    <t>224KY</t>
  </si>
  <si>
    <t>Bronze, Green Accepted, Green Published</t>
  </si>
  <si>
    <t>WOS:000324885400030</t>
  </si>
  <si>
    <t>Nemec, F; Santolík, O; Pickett, JS; Parrot, M; Cornilleau-Wehrlin, N</t>
  </si>
  <si>
    <t>Nemec, F.; Santolik, O.; Pickett, J. S.; Parrot, M.; Cornilleau-Wehrlin, N.</t>
  </si>
  <si>
    <t>Quasiperiodic emissions observed by the Cluster spacecraft and their association with ULF magnetic pulsations</t>
  </si>
  <si>
    <t>quasiperiodic; QP emissions</t>
  </si>
  <si>
    <t>ELF-VLF EMISSIONS; VERY-LOW-FREQUENCY; PARTICLE ROCKET EXPERIMENT; GEOMAGNETIC CONJUGACY; PROPAGATION ANALYSIS; ANTARCTIC STATIONS; KERGUELEN-ISLANDS; WAVE-PROPAGATION; STAFF EXPERIMENT; MAGNETOSPHERE</t>
  </si>
  <si>
    <t>Quasiperiodic (QP) emissions are electromagnetic waves at frequencies of about 0.5-4kHz characterized by a periodic time modulation of the wave intensity, with a typical modulation period on the order of minutes. We present results of a survey of QP emissions observed by the Wide-Band Data (WBD) instruments on board the Cluster spacecraft. All WBD data measured in the appropriate frequency range during the first 10years of operation (2001-2010) at radial distances lower than 10R(E) were visually inspected for the presence of QP emissions, resulting in 21 positively identified events. These are systematically analyzed, and their frequency ranges and modulation periods are determined. Moreover, a detailed wave analysis has been done for the events that were strong enough to be seen in low-resolution Spatio-Temporal Analysis of Field Fluctuations-Spectrum Analyzer data. Wave vectors are found to be nearly field-aligned in the equatorial region, but they become oblique at larger geomagnetic latitudes. This is consistent with a hypothesis of unducted propagation. ULF magnetic field pulsations were detected at the same time as QP emissions in 4 out of the 21 events. They were polarized in the plane perpendicular to the ambient magnetic field, and their frequencies roughly corresponded to the modulation period of the QP events.</t>
  </si>
  <si>
    <t>[Nemec, F.; Santolik, O.] Charles Univ Prague, Fac Math &amp; Phys, Prague, Czech Republic; [Santolik, O.] Acad Sci Czech Republ, Inst Atmospher Phys, Prague, Czech Republic; [Pickett, J. S.] Univ Iowa, Dept Phys &amp; Astron, Iowa City, IA 52242 USA; [Parrot, M.] CNRS, Lab Phys &amp; Chim Environm &amp; Espace, F-45071 Orleans, France; [Cornilleau-Wehrlin, N.] Ecole Polytech, CNRS, Lab Phys Plasmas, F-91128 Palaiseau, France; [Cornilleau-Wehrlin, N.] Observ Meudon, LESIA, F-92195 Meudon, France</t>
  </si>
  <si>
    <t>Charles University Prague; Czech Academy of Sciences; Institute of Atmospheric Physics of the Czech Academy of Sciences; University of Iowa; Centre National de la Recherche Scientifique (CNRS); Centre National de la Recherche Scientifique (CNRS); Universite Paris Saclay; Institut Polytechnique de Paris; Sorbonne Universite; Universite PSL; Observatoire de Paris</t>
  </si>
  <si>
    <t>Nemec, F (corresponding author), Charles Univ Prague, Fac Math &amp; Phys, Prague, Czech Republic.</t>
  </si>
  <si>
    <t>frantisek.nemec@gmail.com</t>
  </si>
  <si>
    <t>Nemec, Frantisek/H-7027-2013; Santolik, Ondrej/F-7766-2014</t>
  </si>
  <si>
    <t>Nemec, Frantisek/0000-0002-3233-2718; Parrot, Michel/0000-0003-0905-5721; Santolik, Ondrej/0000-0002-4891-9273</t>
  </si>
  <si>
    <t>GACR [P209/12/P658, P205/10/2279]; NASA Goddard Space Flight Canter grant [NNX11AB38G]</t>
  </si>
  <si>
    <t>GACR(Grant Agency of the Czech Republic); NASA Goddard Space Flight Canter grant</t>
  </si>
  <si>
    <t>We would like to thank the Cluster Active Archive and all the involved personnel. We would like to acknowledge E. Lucek, who is the principal investigator of the FGM instrument. A part of the Cluster WBD data set for this study has been received at the Panska Ves Observatory of the Institute of Atmospheric Physics ASCR, and we would like to thank its personnel. This work was supported by GACR grants P209/12/P658 and P205/10/2279. This work was supported at Iowa by NASA Goddard Space Flight Canter grant NNX11AB38G.</t>
  </si>
  <si>
    <t>10.1002/jgra.50406</t>
  </si>
  <si>
    <t>226YN</t>
  </si>
  <si>
    <t>WOS:000325073600024</t>
  </si>
  <si>
    <t>Chiang, TL; Qu, TD</t>
  </si>
  <si>
    <t>Chiang, Tzu-Ling; Qu, Tangdong</t>
  </si>
  <si>
    <t>Subthermocline Eddies in the Western Equatorial Pacific as Shown by an Eddy-Resolving OGCM</t>
  </si>
  <si>
    <t>Boundary currents; Dynamics; Eddies</t>
  </si>
  <si>
    <t>ANTARCTIC INTERMEDIATE WATER; MINDANAO CURRENT; VARIABILITY; OCEAN; NORTH</t>
  </si>
  <si>
    <t>Sporadic in situ observations have shown evidence that subthermocline eddies exist off the Mindanao coast. These subthermocline eddies are believed to play an important role in the heat, freshwater, and other ocean property transports of the region, but their characteristics and in particular their pathway and source of energy are poorly explored because of the lack of long-term observations. Analysis of results from an eddy-resolving general ocean circulation model has revealed that most subthermocline eddies off the Mindanao coast originate from the equatorial South Pacific Ocean to the west of the Ninigo Group. These eddies propagate northward along the New Guinea coast, cross the equator in the far western Pacific, and reach the Mindanao coast at a typical propagation speed of similar to 0.12 m s(-1). The dominant time scales of these eddies range between 50 and 60 days.</t>
  </si>
  <si>
    <t>[Chiang, Tzu-Ling] Natl Taiwan Normal Univ, Dept Earth Sci, Taipei, Taiwan; [Chiang, Tzu-Ling; Qu, Tangdong] Univ Hawaii Manoa, SOEST, Int Pacific Res Ctr, Honolulu, HI 96822 USA</t>
  </si>
  <si>
    <t>National Taiwan Normal University; University of Hawaii System; University of Hawaii Manoa</t>
  </si>
  <si>
    <t>Qu, TD (corresponding author), Univ Hawaii Manoa, SOEST, Int Pacific Res Ctr, 1680 East West Rd, Honolulu, HI 96822 USA.</t>
  </si>
  <si>
    <t>tangdong@hawaii.edu</t>
  </si>
  <si>
    <t>Taiwan National Science Council [100-2811-M-003-013, 101-2811-M-003-017]; U.S. National Science Foundation [OCE10-29704, OCE11-30050]; Directorate For Geosciences [1029704] Funding Source: National Science Foundation; Division Of Ocean Sciences [1029704] Funding Source: National Science Foundation; Division Of Ocean Sciences; Directorate For Geosciences [1130050] Funding Source: National Science Foundation</t>
  </si>
  <si>
    <t>Taiwan National Science Council(Ministry of Science and Technology, Taiwan); U.S. National Science Foundation(National Science Foundation (NSF)); Directorate For Geosciences(National Science Foundation (NSF)NSF - Directorate for Geosciences (GEO)); Division Of Ocean Sciences(National Science Foundation (NSF)NSF - Directorate for Geosciences (GEO)); Division Of Ocean Sciences; Directorate For Geosciences(National Science Foundation (NSF)NSF - Directorate for Geosciences (GEO))</t>
  </si>
  <si>
    <t>This research was supported Taiwan National Science Council through Grants 100-2811-M-003-013 and 101-2811-M-003-017 and by U.S. National Science Foundation through Grants OCE10-29704 and OCE11-30050. The authors are grateful to C.-R. Wu and Y. Kashino for useful communication on the topic, to H. Sasaki and colleagues from the Earth Simulator for assistance in processing the OFES outputs, to the Japan Agency for Marine-Earth Science and Technology (JAMSTEC) for the Tropical Ocean Climate Study (TOCS) project ADCP mooring data and Triangle Trans-Ocean Buoy Network (TRITON) data, and to the two anonymous reviewers for their thoughtful comments on an earlier version of the manuscript.</t>
  </si>
  <si>
    <t>10.1175/JPO-D-12-0187.1</t>
  </si>
  <si>
    <t>290SG</t>
  </si>
  <si>
    <t>WOS:000329778000001</t>
  </si>
  <si>
    <t>Stewart, AL; Thompson, AF</t>
  </si>
  <si>
    <t>Stewart, Andrew L.; Thompson, Andrew F.</t>
  </si>
  <si>
    <t>Connecting Antarctic Cross-Slope Exchange with Southern Ocean Overturning</t>
  </si>
  <si>
    <t>Antarctica; Southern Ocean; Eddies; Meridional overturning circulation; Mesoscale processes; Primitive equations model</t>
  </si>
  <si>
    <t>LAST GLACIAL MAXIMUM; EULERIAN-MEAN THEORY; WEDDELL SEA; CIRCUMPOLAR CURRENT; EXTRATROPICAL CIRCULATION; BAROCLINIC INSTABILITY; ANNULAR MODES; EDDY TRANSFER; BOTTOM WATER; GLOBAL OCEAN</t>
  </si>
  <si>
    <t>Previous idealized investigations of Southern Ocean overturning have omitted its connection with the Antarctic continental shelves, leaving the influence of shelf processes on Antarctic Bottom Water (AABW) export unconsidered. In particular, the contribution of mesoscale eddies to setting the stratification and overturning circulation in the Antarctic Circumpolar Current (ACC) is well established, yet their role in cross-shelf exchange of water masses remains unclear. This study proposes a residual-mean theory that elucidates the connection between Antarctic cross-shelf exchange and overturning in the ACC, and the contribution of mesoscale eddies to the export of AABW. The authors motivate and verify this theory using an eddy-resolving process model of a sector of the Southern Ocean. The strength and pattern of the simulated overturning circulation strongly resemble those of the real ocean and are closely captured by the residual-mean theory. Over the continental slope baroclinic instability is suppressed, and so transport by mesoscale eddies is reduced. This suppression of the eddy fluxes also gives rise to the steep V-shaped isopycnals that characterize the Antarctic Slope Front in AABW-forming regions of the continental shelf. Furthermore, to produce water on the continental shelf that is dense enough to sink to the deep ocean, the deep overturning cell must be at least comparable in strength to wind-driven mean overturning on the continental slope. This results in a strong sensitivity of the deep overturning strength to changes in the polar easterly winds.</t>
  </si>
  <si>
    <t>[Stewart, Andrew L.; Thompson, Andrew F.] CALTECH, Pasadena, CA 91125 USA</t>
  </si>
  <si>
    <t>California Institute of Technology</t>
  </si>
  <si>
    <t>Stewart, AL (corresponding author), CALTECH, MC 131-24, Pasadena, CA 91125 USA.</t>
  </si>
  <si>
    <t>stewart@gps.caltech.edu</t>
  </si>
  <si>
    <t>Stewart, Andrew/0000-0001-5861-4070</t>
  </si>
  <si>
    <t>California Institute of Technology; NSF [OCE-1235488]; Direct For Computer &amp; Info Scie &amp; Enginr; Office of Advanced Cyberinfrastructure (OAC) [0904338] Funding Source: National Science Foundation; Division Of Ocean Sciences; Directorate For Geosciences [1235488] Funding Source: National Science Foundation</t>
  </si>
  <si>
    <t>California Institute of Technology; NSF(National Science Foundation (NSF)); Direct For Computer &amp; Info Scie &amp; Enginr; Office of Advanced Cyberinfrastructure (OAC)(National Science Foundation (NSF)NSF - Directorate for Computer &amp; Information Science &amp; Engineering (CISE)); Division Of Ocean Sciences; Directorate For Geosciences(National Science Foundation (NSF)NSF - Directorate for Geosciences (GEO))</t>
  </si>
  <si>
    <t>A.L.S.'s and A.F.T.'s research was supported by the California Institute of Technology and NSF Award OCE-1235488. The simulations presented herein were conducted using the CITerra computing cluster in the Division of Geological and Planetary Sciences at the California Institute of Technology, and the authors thank the CITerra technicians for facilitating this work. The authors gratefully acknowledge the modeling efforts of the MITgcm team. The authors thank Dimitris Menemenlis, Christopher Wolfe, Rick Salmon, Paul Dellar and Mike Dinniman for useful discussions. The authors thank two anonymous reviewers for constructive criticisms that improved the original draft of this manuscript.</t>
  </si>
  <si>
    <t>10.1175/JPO-D-12-0205.1</t>
  </si>
  <si>
    <t>WOS:000329778000015</t>
  </si>
  <si>
    <t>Badin, G; Williams, RG; Jing, Z; Wu, LX</t>
  </si>
  <si>
    <t>Badin, Gualtiero; Williams, Richard G.; Jing, Zhao; Wu, Lixin</t>
  </si>
  <si>
    <t>Water Mass Transformations in the Southern Ocean Diagnosed from Observations: Contrasting Effects of Air-Sea Fluxes and Diapycnal Mixing</t>
  </si>
  <si>
    <t>Mixing; Water masses</t>
  </si>
  <si>
    <t>OVERTURNING CIRCULATION; STATE; LIMB</t>
  </si>
  <si>
    <t>Transformation and formation rates of water masses in the Southern Ocean are estimated in a neutral-surface framework using air-sea fluxes of heat and freshwater together with in situ estimates of diapycnal mixing. The air-sea fluxes are taken from two different climatologies and a reanalysis dataset, while the diapycnal mixing is estimated from a mixing parameterization applied to five years of Argo float data. Air-sea fluxes lead to a large transformation directed toward lighter waters, typically from -45 to -63 Sv (1 Sv 10(6) m(3) s(-1)) centered at = 27.2, while interior diapycnal mixing leads to two weaker peaks in transformation, directed toward denser waters, 8 Sv centered at = 27.8, and directed toward lighter waters, -16 Sv centered at = 28.3. Hence, air-sea fluxes and interior diapycnal mixing are important in transforming different water masses within the Southern Ocean. The transformation of dense to lighter waters by diapycnal mixing within the Southern Ocean is slightly larger, though comparable in magnitude, to the transformation of lighter to dense waters by air-sea fluxes in the North Atlantic. However, there are significant uncertainties in the authors' estimates with errors of at least +/- 5 W m(-2) in air-sea fluxes, a factor 4 uncertainty in diapycnal mixing and limited coverage of air-sea fluxes in the high latitudes and Argo data in the Pacific. These water mass transformations partly relate to the circulation in density space: air-sea fluxes provide a general lightening along the core of the Antarctic Circumpolar Current and diapycnal diffusivity is enhanced at middepths along the current.</t>
  </si>
  <si>
    <t>[Badin, Gualtiero] Univ Hamburg, Inst Oceanog, D-20146 Hamburg, Germany; [Williams, Richard G.] Univ Liverpool, Sch Environm Sci, Liverpool L69 3BX, Merseyside, England; [Jing, Zhao; Wu, Lixin] Ocean Univ China, Phys Oceanog Lab, Qingdao, Peoples R China; [Badin, Gualtiero] Princeton Univ, Program Atmospher &amp; Ocean Sci, Princeton, NJ 08544 USA</t>
  </si>
  <si>
    <t>University of Hamburg; University of Liverpool; Ocean University of China; Princeton University; National Oceanic Atmospheric Admin (NOAA) - USA</t>
  </si>
  <si>
    <t>Badin, G (corresponding author), Univ Hamburg, Inst Oceanog, Bundesstr 53, D-20146 Hamburg, Germany.</t>
  </si>
  <si>
    <t>gualtiero.badin@zmaw.de</t>
  </si>
  <si>
    <t>Williams, Richard G/K-4111-2016; Badin, Gualtiero/H-2193-2011</t>
  </si>
  <si>
    <t>Williams, Richard G/0000-0002-3180-7558; Badin, Gualtiero/0000-0002-0470-1192</t>
  </si>
  <si>
    <t>DOE [DE-SC0005189]; NSF [AGS-1144302]; RGW [NER/T/S/2002/00439]; NERC [NE/H02087X/1] Funding Source: UKRI; Natural Environment Research Council [NE/H02087X/1] Funding Source: researchfish; U.S. Department of Energy (DOE) [DE-SC0005189] Funding Source: U.S. Department of Energy (DOE)</t>
  </si>
  <si>
    <t>DOE(United States Department of Energy (DOE)); NSF(National Science Foundation (NSF)); RGW; NERC(UK Research &amp; Innovation (UKRI)Natural Environment Research Council (NERC)); Natural Environment Research Council(UK Research &amp; Innovation (UKRI)Natural Environment Research Council (NERC)); U.S. Department of Energy (DOE)(United States Department of Energy (DOE))</t>
  </si>
  <si>
    <t>GB was partially funded by DOE Grant DE-SC0005189 and NSF Grant AGS-1144302, and RGW by NER/T/S/2002/00439. We are grateful for the dynamic topography from N. Maximenko and P. Niiler, and for constructive feedback from S. Griffies and R. Toggweiler. We thank two anonymous referees for their constructive comments that strengthened the study.</t>
  </si>
  <si>
    <t>10.1175/JPO-D-12-0216.1</t>
  </si>
  <si>
    <t>WOS:000329778000016</t>
  </si>
  <si>
    <t>Everatt, MJ; Convey, P; Worland, MR; Bale, JS; Hayward, SAL</t>
  </si>
  <si>
    <t>Everatt, M. J.; Convey, P.; Worland, M. R.; Bale, J. S.; Hayward, S. A. L.</t>
  </si>
  <si>
    <t>Heat tolerance and physiological plasticity in the Antarctic collembolan, Cryptopygus antarcticus, and mite, Alaskozetes antarcticus</t>
  </si>
  <si>
    <t>JOURNAL OF THERMAL BIOLOGY</t>
  </si>
  <si>
    <t>Global warming; Rapid heat hardening; Acclimation; Thermal sensitivity; Invertebrate</t>
  </si>
  <si>
    <t>EXPERIMENTAL TEMPERATURE ELEVATION; CLIMATE-CHANGE; OVERWINTERING STRATEGIES; THERMAL TOLERANCES; L. ORTHOPTERA; LONG-TERM; ACCLIMATION; SOIL; SURVIVAL; SHOCK</t>
  </si>
  <si>
    <t>Polar amplification of global warming has led to an average 2 degrees C rise in air temperatures in parts of the polar regions in the last 50 years. Poikilothermic ectotherms that are found in these regions, such as Collembola and mites, may therefore be put under pressure by changing environmental conditions. However, it has also been suggested that the thermal sensitivity of invertebrates declines with higher latitudes and, therefore, that polar ectotherms may not be at risk. In the current study, the heat tolerance and physiological plasticity to heat stress of two well-studied Antarctic invertebrates, the collembolan, Cryptopygus antarcticus, and the mite, Alaskozetes antarcticus, were investigated. Both species showed considerable heat tolerance, with each having an Upper Lethal Temperature (ULT) above 35 degrees C (1 h exposure). These species were also able to survive for over 43 d at 10 degrees C and for periods of 5-20 min at 40 degrees C. Across all experimental procedures, A. antarcticus possessed a somewhat greater level of heat tolerance than C antarcticus. Water loss during short duration exposures did not differ between the two species at 30, 35 and 40 degrees C, suggesting that the greater tolerance of A. antarcticus over this timescale was not due to higher desiccation resistance. Physiological plasticity was investigated by testing for Rapid Heat Hardening (RHH) and long-term acclimation. RHH was observed to a small degree in both species at a warming rate of 0.5 degrees C min(-1), and also 0.2 degrees C min(-1) in A. antarcticus alone. Longer-term acclimation (1 week at 10 degrees C) did not enhance the heat tolerance of either species. Even with this limited physiological plasticity, the results of this study indicate that C antarcticus and A. antarcticus have capacity in their heat tolerance to cope with current and future environmental extremes of high temperature. (C) 2013 Elsevier Ltd. All rights reserved.</t>
  </si>
  <si>
    <t>[Everatt, M. J.; Bale, J. S.; Hayward, S. A. L.] Univ Birmingham, Sch Biosci, Birmingham B15 2TT, W Midlands, England; [Convey, P.; Worland, M. R.] British Antarctic Survey, Nat Environm Res Council, Cambridge CB3 0ET, England; [Convey, P.] Univ Malaya, Natl Antarctic Res Ctr, Kuala Lumpur 50603, Malaysia</t>
  </si>
  <si>
    <t>University of Birmingham; UK Research &amp; Innovation (UKRI); Natural Environment Research Council (NERC); NERC British Antarctic Survey; Universiti Malaya</t>
  </si>
  <si>
    <t>Everatt, MJ (corresponding author), Univ Birmingham, Sch Biosci, Birmingham B15 2TT, W Midlands, England.</t>
  </si>
  <si>
    <t>mxe746@bham.ac.uk</t>
  </si>
  <si>
    <t>Convey, Peter/AAV-5728-2020</t>
  </si>
  <si>
    <t>Convey, Peter/0000-0001-8497-9903; Hayward, Scott/0000-0002-1899-6630</t>
  </si>
  <si>
    <t>Natural Environment Research Council [RRBN15266]; British Antarctic Survey; University of Birmingham; Natural Environment Research Council [bas0100025] Funding Source: researchfish; NERC [bas0100025] Funding Source: UKRI</t>
  </si>
  <si>
    <t>Natural Environment Research Council(UK Research &amp; Innovation (UKRI)Natural Environment Research Council (NERC)); British Antarctic Survey; University of Birmingham; Natural Environment Research Council(UK Research &amp; Innovation (UKRI)Natural Environment Research Council (NERC)); NERC(UK Research &amp; Innovation (UKRI)Natural Environment Research Council (NERC))</t>
  </si>
  <si>
    <t>MJE was funded by the Natural Environment Research Council (RRBN15266) and was supported by the British Antarctic Survey and the University of Birmingham. We thank Sharon Duggan (BAS) for help in the location of sample sites. This paper contributes to the BAS 'Polar Science for Planet Earth' and SCAR 'Evolution and Biodiversity in Antarctica' research programmes.</t>
  </si>
  <si>
    <t>0306-4565</t>
  </si>
  <si>
    <t>J THERM BIOL</t>
  </si>
  <si>
    <t>J. Therm. Biol.</t>
  </si>
  <si>
    <t>10.1016/j.jtherbio.2013.02.006</t>
  </si>
  <si>
    <t>Biology; Zoology</t>
  </si>
  <si>
    <t>Life Sciences &amp; Biomedicine - Other Topics; Zoology</t>
  </si>
  <si>
    <t>151UQ</t>
  </si>
  <si>
    <t>WOS:000319486100009</t>
  </si>
  <si>
    <t>Xavier, JC; Louzao, M; Thorpe, SE; Ward, P; Hill, C; Roberts, D; Croxall, JP; Phillips, RA</t>
  </si>
  <si>
    <t>Xavier, J. C.; Louzao, M.; Thorpe, S. E.; Ward, P.; Hill, C.; Roberts, D.; Croxall, J. P.; Phillips, R. A.</t>
  </si>
  <si>
    <t>Seasonal changes in the diet and feeding behaviour of a top predator indicate a flexible response to deteriorating oceanographic conditions</t>
  </si>
  <si>
    <t>ALBATROSSES THALASSARCHE-CHRYSOSTOMA; BLACK-BROWED ALBATROSS; PATAGONIAN TOOTHFISH; CLIMATE-CHANGE; SOUTH GEORGIA; IN-SITU; OCEAN; FOOD; SEGREGATION; SEABIRDS</t>
  </si>
  <si>
    <t>Shifts in the diet of top predators can be linked to changes in environmental conditions. In this study, we tested relationships between environmental variation and seasonal changes in diet of a top predator, the grey-headed albatross Thalassarche chrysostoma, breeding at Bird Island, South Georgia in an austral summer of 1999/2000. Oceanographic conditions in that year around South Georgia were abnormal (i.e. anomalously high sea surface temperature to a relative 19-year long-term mean). The diet of grey-headed albatrosses showed high seasonal variation, shifting from cephalopods (42.9 % by mass) in late February to Antarctic krill Euphausia superba (58.3 %) in late April, and grey-headed albatrosses breeding performance was low (16.8 %). This study shows these albatrosses did not manage to find sufficient alternative prey and highlight the risk to top predators if there is an increase in the frequency or severity of food shortages in Antarctic waters.</t>
  </si>
  <si>
    <t>[Xavier, J. C.] Univ Coimbra, Inst Marine Res, Dept Life Sci, P-3001401 Coimbra, Portugal; [Xavier, J. C.; Thorpe, S. E.; Ward, P.; Hill, C.; Roberts, D.; Croxall, J. P.; Phillips, R. A.] British Antarctic Survey, NERC, Cambridge CB3 0ET, England; [Louzao, M.] CNRS UPR 1934, Ctr Etud Biol Chize, F-79369 Villiers En Bois, France; [Louzao, M.] UFZ Helmholtz Ctr Environm Res, D-04318 Leipzig, Germany</t>
  </si>
  <si>
    <t>Universidade de Coimbra; UK Research &amp; Innovation (UKRI); Natural Environment Research Council (NERC); NERC British Antarctic Survey; Centre National de la Recherche Scientifique (CNRS); Helmholtz Association; Helmholtz Center for Environmental Research (UFZ)</t>
  </si>
  <si>
    <t>Xavier, JC (corresponding author), Univ Coimbra, Inst Marine Res, Dept Life Sci, P-3001401 Coimbra, Portugal.</t>
  </si>
  <si>
    <t>JCCX@cantab.net</t>
  </si>
  <si>
    <t>Louzao, Maite/N-5379-2014; Xavier, José/KFB-6739-2024</t>
  </si>
  <si>
    <t>Thorpe, Sally/0000-0002-5193-6955; Louzao, Maite/0000-0002-9997-5144; /0000-0002-9621-6660</t>
  </si>
  <si>
    <t>Ministry of Science and Technology, Portugal (Fundacao para a Ciencia e a Tecnologia; FCT); British Antarctic Survey, UK; FCT; Marie Curie Individual Fellowship [PIEF-GA-2008-220063]; Juan de la Cierva postdoctoral programme (Ministerio de Ciencia e Innovacion) [JCI-2010-07639]; Natural Environment Research Council [bas0100025] Funding Source: researchfish; NERC [bas0100025] Funding Source: UKRI</t>
  </si>
  <si>
    <t>Ministry of Science and Technology, Portugal (Fundacao para a Ciencia e a Tecnologia; FCT); British Antarctic Survey, UK; FCT(Fundacao para a Ciencia e a Tecnologia (FCT)); Marie Curie Individual Fellowship(European Union (EU)); Juan de la Cierva postdoctoral programme (Ministerio de Ciencia e Innovacion); Natural Environment Research Council(UK Research &amp; Innovation (UKRI)Natural Environment Research Council (NERC)); NERC(UK Research &amp; Innovation (UKRI)Natural Environment Research Council (NERC))</t>
  </si>
  <si>
    <t>We thank Bird Island staff especially Simon Berrow, Richard Humpidge, Nik Aspey and Mark Jessop for help in collecting the samples, Simon Berrow and Robert Taylor for useful discussions on the field protocol, Rachael Shreeve for valuable advice on crustacean identification and Filipe Ceia, Jaime Ramos and Vitor Paiva for statistical discussions. We are particularly grateful to Paul Rodhouse and Phil Trathan for their advice through the project. This research was initially evaluated by an ethical committee, and it was supported by the Ministry of Science and Technology, Portugal (Fundacao para a Ciencia e a Tecnologia; FCT) and by the British Antarctic Survey, UK. J.X. was funded by FCT, and M. L. was funded by a Marie Curie Individual Fellowship (PIEF-GA-2008-220063) and Juan de la Cierva postdoctoral programme (JCI-2010-07639, Ministerio de Ciencia e Innovacion). The altimeter products were produced by Ssalto/Duacs and distributed by Aviso, with support from Cnes (http://www.aviso.oceanobs.com/duacs/).</t>
  </si>
  <si>
    <t>10.1007/s00227-013-2212-x</t>
  </si>
  <si>
    <t>WOS:000320791000006</t>
  </si>
  <si>
    <t>Hua, E; Zhang, ZN; Warwick, RM; Deng, K; Lin, KX; Wang, RZ; Yu, ZS</t>
  </si>
  <si>
    <t>Hua, Er; Zhang, Zhinan; Warwick, Richard M.; Deng, Ke; Lin, Kuixuan; Wang, Ruizhao; Yu, Zishan</t>
  </si>
  <si>
    <t>Pattern of benthic biomass size spectra from shallow waters in the East China Seas</t>
  </si>
  <si>
    <t>OXYGEN MINIMUM ZONE; BODY-SIZE; DISTRIBUTIONS; RESPIRATION; MEIOFAUNA; COMMUNITY; PRODUCTIVITY; ASSEMBLAGES; ORGANISMS; DIVERSITY</t>
  </si>
  <si>
    <t>Benthic biomass size spectra (BSS) and normalized biomass size spectra were constructed, and benthic secondary production was estimated by a size spectrum equation in the shallow waters in the East China Sea, ranging latitudinally from 40A degrees N to 29A degrees N. The BSS patterns were bimodal, two biomass peaks corresponding to meiofauna and macrofauna, respectively, separated by a trough of low biomass at 8-256 mu g individual dry weight which varied in position with median sediment particle size. The BSS also displayed bimodality within meiofauna size ranges, which in most stations was due to the relative proportions of nematodes and other meiofauna taxa. Re-analysis of data from sites in the UK, South Africa, and Antarctic showed a similar bimodality in the adult species body size distribution within the meiofauna size range. Macrofaunal production estimated by the size spectrum equation was very similar to the results of Brey90 empirical equation. However, these production values were much lower than those calculated by Brey01. Different individual dry-to-wet conversion ratios, temperature deviation, and macrofauna taxonomic composition might be responsible for the between-model differences. The macrofaunal P/B ratios calculated by this equation ranged from 0.3 to 3.4 which were in accordance with values from Northern Hemisphere mid-latitudes. Meiofaunal production estimates will need further empirical support.</t>
  </si>
  <si>
    <t>[Hua, Er; Zhang, Zhinan; Yu, Zishan] Ocean Univ China, Coll Marine Life Sci, Qingdao 266003, Peoples R China; [Warwick, Richard M.] Plymouth Marine Lab, Plymouth PL1 3DH, Devon, England; [Deng, Ke] Shandong Entry Exit Inspect &amp; Quarantine Burean, Shandong Testing Inst Chem, Qingdao 266555, Peoples R China; [Lin, Kuixuan] Chinese Res Inst Environm Sci, Beijing 100012, Peoples R China; [Wang, Ruizhao] Chinese Acad Sci, Inst Appl Ecol, Shenyang 110016, Peoples R China</t>
  </si>
  <si>
    <t>Ocean University of China; Plymouth Marine Laboratory; Chinese Research Academy of Environmental Sciences; Chinese Academy of Sciences; Shenyang Institute of Applied Ecology, CAS</t>
  </si>
  <si>
    <t>Zhang, ZN (corresponding author), Ocean Univ China, Coll Marine Life Sci, 5 Yushan Rd, Qingdao 266003, Peoples R China.</t>
  </si>
  <si>
    <t>huaer@ouc.edu.cn; znzhang37@163.com</t>
  </si>
  <si>
    <t>HUA, Er/AAF-3504-2020</t>
  </si>
  <si>
    <t>National Natural Science Foundation of China [40906063, 40730847]; Natural Environment Research Council [pml010004] Funding Source: researchfish; NERC [pml010004] Funding Source: UKRI</t>
  </si>
  <si>
    <t>National Natural Science Foundation of China(National Natural Science Foundation of China (NSFC)); Natural Environment Research Council(UK Research &amp; Innovation (UKRI)Natural Environment Research Council (NERC)); NERC(UK Research &amp; Innovation (UKRI)Natural Environment Research Council (NERC))</t>
  </si>
  <si>
    <t>We acknowledge all participants of the 7 cruises on the R. V. No. 2 Dongfanghong and R. V. Beidou during 2002 to 2008. RMW acknowledges his position as Research Fellow at the Plymouth Marine Laboratory. This study was supported by the National Natural Science Foundation of China (No. 40906063, 40730847). We also thank the referees for critically reading and commenting on the earlier version of this manuscript.</t>
  </si>
  <si>
    <t>10.1007/s00227-013-2224-6</t>
  </si>
  <si>
    <t>WOS:000320791000016</t>
  </si>
  <si>
    <t>Oliveira, LF; Canevari, NT; Guerra, MBB; Pereira, FMV; Schaefer, CEGR; Pereira-Filho, ER</t>
  </si>
  <si>
    <t>Oliveira, Luciana Fontes; Canevari, Natalia Tostes; Bueno Guerra, Marcelo Braga; Verbi Pereira, Fabiola Manhas; Goncalves Reynaud Schaefer, Carlos Ernesto; Pereira-Filho, Edenir Rodrigues</t>
  </si>
  <si>
    <t>Proposition of a simple method for chromium (VI) determination in soils from remote places applying digital images: A case study from Brazilian Antarctic Station</t>
  </si>
  <si>
    <t>MICROCHEMICAL JOURNAL</t>
  </si>
  <si>
    <t>16th Brazilian Meeting on Analytical Chemistry (ENQA)</t>
  </si>
  <si>
    <t>OCT 23-26, 2011</t>
  </si>
  <si>
    <t>Campos do Jordao, BRAZIL</t>
  </si>
  <si>
    <t>Hexavalent chromium; Digital images; Antarctica; Soil; Partial Least Squares</t>
  </si>
  <si>
    <t>CCD-CAMERA; MULTIVARIATE CALIBRATION; METAL CONTAMINATION; SPOT-TESTS; SPECIATION; QUANTIFICATION; SAMPLES; SPECTROMETRY; SEDIMENTS; QUALITY</t>
  </si>
  <si>
    <t>In this study, we proposed a straightforward approach that could be used for Cr redox speciation in soil samples from remote places. For this aim, soil samples under strong anthropogenic impact, from the vicinity of the Brazilian Antarctic Station were studied. Control samples with no direct impact, were also collected further (4 km) from the station. A preliminary laboratory evaluation for Cr (VI) presence was performed using X-ray absorption spectroscopy. The proposed method was based on a hot alkaline extraction to promote the quantitative extraction of Cr (VI) from soil samples. The colorimetric reagent 1,5-diphenylcarbazide (DPC) was added to the extracts to form a violet complex with Cr (VI). A simple and inexpensive commercial scanner was used to acquire the digital images of the formed complex. Partial Least Squares models were constructed with the following average color descriptors: red (R), green (G), blue (B), hue (H), saturation (S), value (V), relative color descriptors Cr, g and b) and luminosity (L). The results obtained with this scanner approach were consistent with the official method that uses a spectrophotometer at 540 nm. Besides that, this is the first study that reports Cr redox speciation in soils from Antarctica, which is regarded as the less polluted place on the Earth. (C) 2012 Elsevier B.V. All rights reserved.</t>
  </si>
  <si>
    <t>[Oliveira, Luciana Fontes; Canevari, Natalia Tostes; Bueno Guerra, Marcelo Braga; Pereira-Filho, Edenir Rodrigues] Univ Fed Sao Carlos, Dept Chem, Grp Appl Instrumental Anal, BR-13565905 Sao Carlos, SP, Brazil; [Verbi Pereira, Fabiola Manhas] Embrapa Instrumentat, BR-13561206 Sao Carlos, SP, Brazil; [Goncalves Reynaud Schaefer, Carlos Ernesto] Univ Fed Vicosa, Dept Soil Sci, BR-36571000 Vicosa, MG, Brazil</t>
  </si>
  <si>
    <t>Universidade Federal de Sao Carlos; Empresa Brasileira de Pesquisa Agropecuaria (EMBRAPA); Universidade Federal de Vicosa</t>
  </si>
  <si>
    <t>Pereira-Filho, ER (corresponding author), Univ Fed Sao Carlos, Dept Chem, Grp Appl Instrumental Anal, POB 676, BR-13565905 Sao Carlos, SP, Brazil.</t>
  </si>
  <si>
    <t>erpf@ufscar.br</t>
  </si>
  <si>
    <t>Schaefer, Carlos Ernesto/AAY-4977-2020; Pereira, Fabiola M V/F-5785-2010; Pereira-Filho, Edenir/F-5789-2010; Guerra, Marcelo B. B./D-3294-2015; Pereira Filho, Edenir/E-2283-2012</t>
  </si>
  <si>
    <t>Pereira, Fabiola M V/0000-0002-8117-2108; Ernesto Goncalves Reynaud Schaefer, Carlos/0000-0001-5735-3227; Fontes de Oliveira, Luciana/0000-0002-3293-425X; Pereira Filho, Edenir/0000-0003-0608-0278; Ernesto Goncalves Reynaud Schaefer, Carlos/0000-0001-7060-1598; Braga Bueno Guerra, Marcelo/0000-0002-0058-2640</t>
  </si>
  <si>
    <t>0026-265X</t>
  </si>
  <si>
    <t>1095-9149</t>
  </si>
  <si>
    <t>MICROCHEM J</t>
  </si>
  <si>
    <t>Microchem J.</t>
  </si>
  <si>
    <t>10.1016/j.microc.2012.03.007</t>
  </si>
  <si>
    <t>140OR</t>
  </si>
  <si>
    <t>WOS:000318665300028</t>
  </si>
  <si>
    <t>Deagle, BE; Thomas, AC; Shaffer, AK; Trites, AW; Jarman, SN</t>
  </si>
  <si>
    <t>Deagle, Bruce E.; Thomas, Austen C.; Shaffer, Amanda K.; Trites, Andrew W.; Jarman, Simon N.</t>
  </si>
  <si>
    <t>Quantifying sequence proportions in a DNA-based diet study using Ion Torrent amplicon sequencing: which counts count?</t>
  </si>
  <si>
    <t>MOLECULAR ECOLOGY RESOURCES</t>
  </si>
  <si>
    <t>DNA barcoding; Ion Torrent; metabarcoding; next-generation sequencing; pinniped diet</t>
  </si>
  <si>
    <t>PREY DNA; MICROBIAL COMMUNITIES; FECES; BIAS; PCR; BIODIVERSITY; DIVERSITY; SEA</t>
  </si>
  <si>
    <t>A goal of many environmental DNA barcoding studies is to infer quantitative information about relative abundances of different taxa based on sequence read proportions generated by high-throughput sequencing. However, potential biases associated with this approach are only beginning to be examined. We sequenced DNA amplified from faeces (scats) of captive harbour seals (Phoca vitulina) to investigate whether sequence counts could be used to quantify the seals' diet. Seals were fed fish in fixed proportions, a chordate-specific mitochondrial 16S marker was amplified from scat DNA and amplicons sequenced using an Ion Torrent PGM. For a given set of bioinformatic parameters, there was generally low variability between scat samples in proportions of prey species sequences recovered. However, proportions varied substantially depending on sequencing direction, level of quality filtering (due to differences in sequence quality between species) and minimum read length considered. Short primer tags used to identify individual samples also influenced species proportions. In addition, there were complex interactions between factors; for example, the effect of quality filtering was influenced by the primer tag and sequencing direction. Resequencing of a subset of samples revealed some, but not all, biases were consistent between runs. Less stringent data filtering (based on quality scores or read length) generally produced more consistent proportional data, but overall proportions of sequences were very different than dietary mass proportions, indicating additional technical or biological biases are present. Our findings highlight that quantitative interpretations of sequence proportions generated via high-throughput sequencing will require careful experimental design and thoughtful data analysis.</t>
  </si>
  <si>
    <t>[Deagle, Bruce E.; Jarman, Simon N.] Australian Antarctic Div, Kingston, Tas 7050, Australia; [Thomas, Austen C.; Trites, Andrew W.] Univ British Columbia, Fisheries Ctr, Marine Mammal Res Unit, Vancouver, BC V6T 1Z4, Canada; [Shaffer, Amanda K.] Point Defiance Zoo &amp; Aquarium, Tacoma, WA 98407 USA</t>
  </si>
  <si>
    <t>Australian Antarctic Division; University of British Columbia</t>
  </si>
  <si>
    <t>Deagle, BE (corresponding author), Australian Antarctic Div, Channel Highway, Kingston, Tas 7050, Australia.</t>
  </si>
  <si>
    <t>bruce.deagle@aad.gov.au</t>
  </si>
  <si>
    <t>Trites, Andrew/K-5648-2012; Deagle, Bruce E/R-2999-2019; Jarman, Simon/H-9265-2016</t>
  </si>
  <si>
    <t>Deagle, Bruce E/0000-0001-7651-3687; Trites, Andrew/0000-0003-0342-5322; Jarman, Simon/0000-0002-0792-9686</t>
  </si>
  <si>
    <t>Pacific Salmon Foundation; Australian Antarctic Science Program [4014]</t>
  </si>
  <si>
    <t>Pacific Salmon Foundation; Australian Antarctic Science Program</t>
  </si>
  <si>
    <t>We thank the Point Defiance Zoo and Aquarium and their staff (Lisa Triggs, Chris Harris, Cindy Roberts and Amanda Chomos) and volunteers for conducting feeding trials. We also thank Andrea Polanowski and Cassy Faux for helpful laboratory guidance. Funding was provided by the Pacific Salmon Foundation and Australian Antarctic Science Program (Project 4014). All animal-related activities were undertaken in accordance with UBC Animal Care Committee guidelines. Thanks to four incredibly thorough reviewers and the handling editor for thoughtful comments.</t>
  </si>
  <si>
    <t>1755-098X</t>
  </si>
  <si>
    <t>1755-0998</t>
  </si>
  <si>
    <t>MOL ECOL RESOUR</t>
  </si>
  <si>
    <t>Mol. Ecol. Resour.</t>
  </si>
  <si>
    <t>10.1111/1755-0998.12103</t>
  </si>
  <si>
    <t>164GE</t>
  </si>
  <si>
    <t>WOS:000320396300007</t>
  </si>
  <si>
    <t>Zhang, JX; Maddison, WP</t>
  </si>
  <si>
    <t>Zhang, Jun-Xia; Maddison, Wayne P.</t>
  </si>
  <si>
    <t>Molecular phylogeny, divergence times and biogeography of spiders of the subfamily Euophryinae (Araneae: Salticidae)</t>
  </si>
  <si>
    <t>MOLECULAR PHYLOGENETICS AND EVOLUTION</t>
  </si>
  <si>
    <t>Phylogeny; Temporal divergence; Biogeography; Intercontinental dispersal; Euophryinae; Diolenius</t>
  </si>
  <si>
    <t>PREY-CAPTURE TECHNIQUES; HISTORICAL BIOGEOGRAPHY; DIVERSIFICATION; PREFERENCES; EVOLUTION; PATTERNS; SEQUENCE; MODEL; GENE</t>
  </si>
  <si>
    <t>We investigate phylogenetic relationships of the jumping spider subfamily Euophryinae, diverse in species and genera in both the Old World and New World. DNA sequence data of four gene regions (nuclear: 28S, Actin 5C; mitochondria]: 16S-ND1, COI) were collected from 263 jumping spider species. The molecular phylogeny obtained by Bayesian, likelihood and parsimony methods strongly supports the monophyly of a Euophryinae re-delimited to include 85 genera. Diolenius and its relatives are shown to be euophryines. Euophryines from different continental regions generally form separate clades on the phylogeny, with few cases of mixture. Known fossils of jumping spiders were used to calibrate a divergence time analysis, which suggests most divergences of euophryines were after the Eocene. Given the divergence times, several intercontinental dispersal events are required to explain the distribution of euophryines. Early transitions of continental distribution between the Old and New World may have been facilitated by the Antarctic land bridge, which euophryines may have been uniquely able to exploit because of their apparent cold tolerance. Two hot-spots of diversity of euophryines are discovered: New Guinea and the Caribbean Islands. Implications of the molecular phylogeny on the taxonomy of euophryines, and on the evolution of unusual genitalic forms and myrmecophagy, are also briefly discussed. (C) 2013 Elsevier Inc. All rights reserved.</t>
  </si>
  <si>
    <t>[Zhang, Jun-Xia; Maddison, Wayne P.] Univ British Columbia, Dept Zool, Vancouver, BC V6T 1Z4, Canada; [Maddison, Wayne P.] Univ British Columbia, Dept Bot, Vancouver, BC V6T 1Z4, Canada; [Maddison, Wayne P.] Univ British Columbia, Beaty Biodivers Museum, Vancouver, BC V6T 1Z4, Canada</t>
  </si>
  <si>
    <t>University of British Columbia; University of British Columbia; University of British Columbia</t>
  </si>
  <si>
    <t>Zhang, JX (corresponding author), Univ British Columbia, Dept Zool, 6270 Univ Blvd, Vancouver, BC V6T 1Z4, Canada.</t>
  </si>
  <si>
    <t>jxzhang1976@gmail.com</t>
  </si>
  <si>
    <t>Zhang, Junxia/N-8409-2015</t>
  </si>
  <si>
    <t>Zhang, Junxia/0000-0002-7937-1474</t>
  </si>
  <si>
    <t>NSERC Canada</t>
  </si>
  <si>
    <t>NSERC Canada(Natural Sciences and Engineering Research Council of Canada (NSERC))</t>
  </si>
  <si>
    <t>This work was funded by an NSERC Canada Discovery Grant to W.P.M. We would like to thank people who generously loaned us specimens in museums or private collections for molecular studies, without which this study would have been impossible: Dr. Charles Griswold, Dr. G.B. Edwards, Dr. Gustavo R.S. Ruiz, Dr. Alexander Riedel, Dr. Marek Zakba, Dr. Rosemary G. Gillespie, Dr. Damian O. Elias, Mr. Ken Schneider. Acknowledgements are due to Dr. Stephen Richards, Mr. J. Brocca, Dr. Ingi Agnarsson, Dr. D. Li, Prof. Mingsheng Zhu, Dr. Michael L. Draney and Dr. Petra Sierwald for their effort in organizing field trips during which some specimens used in this study were collected. Additional assistance in the field was also provided by N. Corona, J. Brocca, G.B. Edwards, Gustavo R.S. Ruiz, Bruce Beehler, Modi Pontio, Victoria Niesi, William H. Thomas, Max Kuduk, Muse Opiang, Banak Gamui, Jim Robins, Ingi Agnarsson, Jeremy Woon, W.G. Lian and H.Q. Ma. We also would like to express our gratitude to Dr. Charles Griswold for constructive feedback on this work; to Dr. Marshal C. Hedin for suggestions on divergence time analyses; and to Melissa R. Bodner for her assistance in some molecular work.</t>
  </si>
  <si>
    <t>1055-7903</t>
  </si>
  <si>
    <t>1095-9513</t>
  </si>
  <si>
    <t>MOL PHYLOGENET EVOL</t>
  </si>
  <si>
    <t>Mol. Phylogenet. Evol.</t>
  </si>
  <si>
    <t>10.1016/j.ympev.2013.03.017</t>
  </si>
  <si>
    <t>Biochemistry &amp; Molecular Biology; Evolutionary Biology; Genetics &amp; Heredity</t>
  </si>
  <si>
    <t>136QF</t>
  </si>
  <si>
    <t>WOS:000318377800008</t>
  </si>
  <si>
    <t>Little, CM; Oppenheimer, M; Urban, NM</t>
  </si>
  <si>
    <t>Little, Christopher M.; Oppenheimer, Michael; Urban, Nathan M.</t>
  </si>
  <si>
    <t>Upper bounds on twenty-first-century Antarctic ice loss assessed using a probabilistic framework</t>
  </si>
  <si>
    <t>NATURE CLIMATE CHANGE</t>
  </si>
  <si>
    <t>PINE ISLAND GLACIER; SHEET</t>
  </si>
  <si>
    <t>Climate adaptation and flood risk assessments(1,2) have incorporated sea-level rise (SLR) projections developed using semi-empirical methods(3-5) (SEMs) and expert-informed mass-balance scenarios(2,6). These techniques, which do not explicitly model ice dynamics, generate upper bounds on twenty-first century SLR that are up to three times higher than Intergovernmental Panel on Climate Change estimates(7). However, the physical basis underlying these projections, and their likelihood of occurrence, remain unclear(8-10). Here, we develop mass-balance projections for the Antarctic ice sheet within a Bayesian probabilistic framework(10), integrating numerical model output(11) and updating projections with an observational synthesis(12). Without abrupt, sustained, changes in ice discharge (collapse), we project a 95th percentile mass loss equivalent to similar to 13 cm SLR by 2100, lower than previous upper-bound projections. Substantially higher mass loss requires regional collapse, invoking dynamics that are likely to be inconsistent with the underlying assumptions of SEMs. In this probabilistic framework, the pronounced sensitivity of upper-bound SLR projections to the poorly known likelihood of collapse is lessened with constraints on the persistence and magnitude of subsequent discharge. More realistic, fully probabilistic, estimates of the ice-sheet contribution to SLR may thus be obtained by assimilating additional observations and numerical models(11,13).</t>
  </si>
  <si>
    <t>[Little, Christopher M.; Oppenheimer, Michael; Urban, Nathan M.] Princeton Univ, Woodrow Wilson Sch Publ &amp; Int Affairs, Princeton, NJ 08544 USA; [Oppenheimer, Michael] Princeton Univ, Dept Geosci, Princeton, NJ 08544 USA; [Urban, Nathan M.] Los Alamos Natl Lab, Computat Phys &amp; Methods CCS 2, Los Alamos, NM 87544 USA</t>
  </si>
  <si>
    <t>Princeton University; Princeton University; United States Department of Energy (DOE); Los Alamos National Laboratory</t>
  </si>
  <si>
    <t>Little, CM (corresponding author), Princeton Univ, Woodrow Wilson Sch Publ &amp; Int Affairs, Princeton, NJ 08544 USA.</t>
  </si>
  <si>
    <t>cmlittle@princeton.edu</t>
  </si>
  <si>
    <t>Urban, Nathan M/C-1455-2008</t>
  </si>
  <si>
    <t>Urban, Nathan/0000-0002-2264-3512; Oppenheimer, Michael/0000-0002-9708-5914</t>
  </si>
  <si>
    <t>Science, Technology and Environmental Policy programme in the Woodrow Wilson School of Public and International Affairs at Princeton University; Carbon Mitigation Initiative in the Princeton Environmental Institute</t>
  </si>
  <si>
    <t>C.M.L. is grateful for financial support from the Science, Technology and Environmental Policy programme in the Woodrow Wilson School of Public and International Affairs at Princeton University and the Carbon Mitigation Initiative in the Princeton Environmental Institute. The authors thank K. Keller, O. Sergienko and Y.Liu for many helpful suggestions. We also thank A. Shepherd and the Ice Sheet Mass Balance Exercise team for promptly providing data.</t>
  </si>
  <si>
    <t>1758-678X</t>
  </si>
  <si>
    <t>1758-6798</t>
  </si>
  <si>
    <t>NAT CLIM CHANGE</t>
  </si>
  <si>
    <t>Nat. Clim. Chang.</t>
  </si>
  <si>
    <t>10.1038/NCLIMATE1845</t>
  </si>
  <si>
    <t>Environmental Sciences; Environmental Studies; Meteorology &amp; Atmospheric Sciences</t>
  </si>
  <si>
    <t>219DR</t>
  </si>
  <si>
    <t>WOS:000324486300021</t>
  </si>
  <si>
    <t>Varvakis, G; Dias, MAH; Nakayama, MK</t>
  </si>
  <si>
    <t>Varvakis, Gregorio; Harms Dias, Marco Antonio; Nakayama, Marina Keiko</t>
  </si>
  <si>
    <t>INTELLECTUAL CAPITAL IN GOVERNMENT PROGRAMS: PERCEPTIONS OF PROANTAR</t>
  </si>
  <si>
    <t>NAVUS-REVISTA DE GESTAO E TECNOLOGIA</t>
  </si>
  <si>
    <t>Portuguese</t>
  </si>
  <si>
    <t>PROANTAR; Perception; Intellectual Capital; Public Management</t>
  </si>
  <si>
    <t>The Brazilian Antarctic Program - PROANTAR, created decades ago, institutionalizes the organizational system of the interaction between Brazil and the Antarctic continent, aiming at different goals and developing knowledge on the basis of a relationship with a number of actors of a specific public policy. On the other hand the management of this program is an interaction of ministerial interests, among other stakeholders, and can be seen as a process within a logic of knowledge management, promoting knowledge assets or intellectual capital. Assuming that the question of what is the efficiency of PROANTAR in intellectual capital management , we used a qualitative methodology , aiming to uncover subjective reality, with a data collection by interviews. It was noticed that there is a promotion of the constituent elements of intellectual capital, including the capital, but with lack of a systemic management and integrator in order to achieve institutional goals fully and promotion of knowledge developed.</t>
  </si>
  <si>
    <t>[Varvakis, Gregorio; Nakayama, Marina Keiko] Univ Fed Santa Catarina, Florianopolis, SC, Brazil; [Harms Dias, Marco Antonio] Univ Fed Santa Catarina, Engn &amp; Gestao Conhecimento, Florianopolis, SC, Brazil</t>
  </si>
  <si>
    <t>Universidade Federal de Santa Catarina (UFSC); Universidade Federal de Santa Catarina (UFSC)</t>
  </si>
  <si>
    <t>Varvakis, G (corresponding author), Univ Fed Santa Catarina, Florianopolis, SC, Brazil.</t>
  </si>
  <si>
    <t>varvakis, gregorio/AAN-8248-2020</t>
  </si>
  <si>
    <t>varvakis, gregorio/0000-0003-2576-4835</t>
  </si>
  <si>
    <t>CENTRO UNIV SENAC</t>
  </si>
  <si>
    <t>FLORIANOPOLIS</t>
  </si>
  <si>
    <t>RUA FELIPE SCHMIDT 785, CENTRO, FLORIANOPOLIS, SC 88010-002, BRAZIL</t>
  </si>
  <si>
    <t>2237-4558</t>
  </si>
  <si>
    <t>NAVUS-REV GEST TECNO</t>
  </si>
  <si>
    <t>Navus-Rev. Gest. Tecnol.</t>
  </si>
  <si>
    <t>JUL-DEC</t>
  </si>
  <si>
    <t>Management</t>
  </si>
  <si>
    <t>Business &amp; Economics</t>
  </si>
  <si>
    <t>V34XS</t>
  </si>
  <si>
    <t>WOS:000215866300014</t>
  </si>
  <si>
    <t>Kimura, S; Candy, AS; Holland, PR; Piggott, MD; Jenkins, A</t>
  </si>
  <si>
    <t>Kimura, Satoshi; Candy, Adam S.; Holland, Paul R.; Piggott, Matthew D.; Jenkins, Adrian</t>
  </si>
  <si>
    <t>Adaptation of an unstructured-mesh, finite-element ocean model to the simulation of ocean circulation beneath ice shelves</t>
  </si>
  <si>
    <t>Ice shelf; Ice-ocean interaction; Unstructured mesh; Fluidity-ICOM</t>
  </si>
  <si>
    <t>PINE ISLAND GLACIER; THERMOHALINE CIRCULATION; WATER; SEA; COORDINATE; ANTARCTICA; TEMPERATURE; TOPOGRAPHY; STABILITY; GREENLAND</t>
  </si>
  <si>
    <t>Several different classes of ocean model are capable of representing floating glacial ice shelves. We describe the incorporation of ice shelves into Fluidity-ICOM, a nonhydrostatic finite-element ocean model with the capacity to utilize meshes that are unstructured and adaptive in three dimensions. This geometric flexibility offers several advantages over previous approaches. The model represents melting and freezing on all ice-shelf surfaces including vertical faces, treats the ice shelf topography as continuous rather than stepped, and does not require any smoothing of the ice topography or any of the additional parameterisations of the ocean mixed layer used in isopycnal or z-coordinate models. The model can also represent a water column that decreases to zero thickness at the 'grounding line', where the floating ice shelf is joined to its tributary ice streams. The model is applied to idealised ice-shelf geometries in order to demonstrate these capabilities. In these simple experiments, arbitrarily coarsening the mesh outside the ice-shelf cavity has little effect on the ice-shelf melt rate, while the mesh resolution within the cavity is found to be highly influential. Smoothing the vertical ice front results in faster flow along the smoothed ice front, allowing greater exchange with the ocean than in simulations with a realistic ice front. A vanishing water-column thickness at the grounding line has little effect in the simulations studied. We also investigate the response of ice shelf basal melting to variations in deep water temperature in the presence of salt stratification. (C) 2013 Elsevier Ltd. All rights reserved.</t>
  </si>
  <si>
    <t>[Kimura, Satoshi; Holland, Paul R.; Jenkins, Adrian] British Antarctic Survey, Cambridge CB3 0ET, England; [Kimura, Satoshi; Candy, Adam S.; Piggott, Matthew D.] Univ London Imperial Coll Sci Technol &amp; Med, Dept Earth Sci &amp; Engn, Appl Modelling &amp; Computat Grp, London SW7 2AZ, England; [Piggott, Matthew D.] Univ London Imperial Coll Sci Technol &amp; Med, Grantham Inst Climate Change, London SW7 2AZ, England</t>
  </si>
  <si>
    <t>UK Research &amp; Innovation (UKRI); Natural Environment Research Council (NERC); NERC British Antarctic Survey; Imperial College London; Imperial College London</t>
  </si>
  <si>
    <t>Kimura, S (corresponding author), British Antarctic Survey, High Cross Madingley Rd, Cambridge CB3 0ET, England.</t>
  </si>
  <si>
    <t>satmur65@bas.ac.uk</t>
  </si>
  <si>
    <t>Jenkins, Adrian/IUN-2406-2023; Holland, Paul R/G-2796-2012; Kimura, Satoshi/AAT-3036-2021</t>
  </si>
  <si>
    <t>Kimura, Satoshi/0000-0003-1689-1605; Candy, Adam/0000-0002-0132-6833; Jenkins, Adrian/0000-0002-9117-0616</t>
  </si>
  <si>
    <t>UK Natural Environment Research Council [NE/G018391/1, NE/G018146/1]; NERC [NE/G018391/1, bas0100028, NE/G018146/1] Funding Source: UKRI; Natural Environment Research Council [NE/G018146/1, bas0100028, NE/G018391/1]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</si>
  <si>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</si>
  <si>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Comments from one anonymous reviewer and Xylar Asay-Davis improved the manuscript. The work was supported by the UK Natural Environment Research Council under grants NE/G018391/1 and NE/G018146/1.</t>
  </si>
  <si>
    <t>10.1016/j.ocemod.2013.03.004</t>
  </si>
  <si>
    <t>165IM</t>
  </si>
  <si>
    <t>WOS:000320477100004</t>
  </si>
  <si>
    <t>Biskaborn, BK; Herzschuh, U; Bolshiyanov, DY; Schwamborn, G; Diekmann, B</t>
  </si>
  <si>
    <t>Biskaborn, Boris K.; Herzschuh, Ulrike; Bolshiyanov, Dmitry Y.; Schwamborn, Georg; Diekmann, Bernhard</t>
  </si>
  <si>
    <t>Thermokarst Processes and Depositional Events in a Tundra Lake, Northeastern Siberia</t>
  </si>
  <si>
    <t>PERMAFROST AND PERIGLACIAL PROCESSES</t>
  </si>
  <si>
    <t>arctic paleolimnology; holocene sediment core; shoreline thermoerosion; X-Ray fluorescence (XRF); grain-size variability</t>
  </si>
  <si>
    <t>TUKTOYAKTUK COASTLANDS; PERMAFROST; SEDIMENTS; DELTA; PRECIPITATION; TEMPERATURE; CALIBRATION; DRAINAGE; DIATOMS; RECORD</t>
  </si>
  <si>
    <t>The relationships between thermokarst activity, limnogeological processes and climate change in the Siberian Arctic are not well understood. The objective of this paper is to identify the factors controlling the patterns of deposition, using grain size distribution, organic content, elemental composition and mineralogical composition of a 137-cm long sediment core with a maximum age of similar to 10.9 cal. kyr BP from Lake El'gene-Kyuele in the tundra of northeastern Siberia. Eight fine sand layers are attributed to depositional events associated with thaw slump activity acting upon orthogonally oriented patterns of ice-wedge networks in the ice-rich permafrost on the NW margin of the lake catchment. Sr/Rb ratios, which correspond to the total feldspar and illite content, serve as high-resolution grain size proxies. The Br content relates to the total organic carbon content, and the Fe/Mn ratio reflects the degree of oxidisation. Our results indicate a relationship between repeated phases of fine sand input and retrogressive thaw slumping dependent on hydroclimate variability and orthogonally oriented ice-wedge networks within the catchment. Copyright (c) 2013 John Wiley &amp; Sons, Ltd.</t>
  </si>
  <si>
    <t>[Biskaborn, Boris K.; Herzschuh, Ulrike; Schwamborn, Georg; Diekmann, Bernhard] Alfred Wegener Inst Helmholtz Zentrum Polar &amp; Mee, Potsdam, Germany; [Bolshiyanov, Dmitry Y.] Arctic &amp; Antarctic Res Inst, St Petersburg 199226, Russia</t>
  </si>
  <si>
    <t>Helmholtz Association; Alfred Wegener Institute, Helmholtz Centre for Polar &amp; Marine Research; Arctic &amp; Antarctic Research Institute</t>
  </si>
  <si>
    <t>Biskaborn, BK (corresponding author), Alfred Wegener Inst Polar &amp; Marine Res, Telegrafenberg A43, D-14473 Potsdam, Germany.</t>
  </si>
  <si>
    <t>boris.biskaborn@awi.de</t>
  </si>
  <si>
    <t>Schwamborn, Georg Johannes/ABC-9636-2020; Biskaborn, Boris K./D-2419-2011</t>
  </si>
  <si>
    <t>Schwamborn, Georg Johannes/0000-0001-9635-0539; Biskaborn, Boris K./0000-0003-2378-0348; Diekmann, Bernhard/0000-0001-5129-3649; Herzschuh, Ulrike/0000-0003-0999-1261</t>
  </si>
  <si>
    <t>AWI; Helmholtz Graduate School for Polar and Marine Research (POLMAR) Graduate School</t>
  </si>
  <si>
    <t>AWI(Helmholtz Association); Helmholtz Graduate School for Polar and Marine Research (POLMAR) Graduate School</t>
  </si>
  <si>
    <t>This study was financed by the AWI and the Helmholtz Graduate School for Polar and Marine Research (POLMAR) Graduate School. We acknowledge the use of the laboratories at GFZ in Potsdam and at the University of Potsdam. We would like to thank Christiane Funk for her help with the laboratory analyses, Elisabeth Dietze for her assistance with the end-member modelling, and Lilian Pollozek and Frank Gunther for their help with the satellite data and software-related assistance. Finally, we are grateful for the helpful comments of two anonymous reviewers on an earlier version of the manuscript.</t>
  </si>
  <si>
    <t>1045-6740</t>
  </si>
  <si>
    <t>1099-1530</t>
  </si>
  <si>
    <t>PERMAFROST PERIGLAC</t>
  </si>
  <si>
    <t>Permafrost Periglacial Process.</t>
  </si>
  <si>
    <t>10.1002/ppp.1769</t>
  </si>
  <si>
    <t>Geography, Physical; Geology</t>
  </si>
  <si>
    <t>210OO</t>
  </si>
  <si>
    <t>WOS:000323843700002</t>
  </si>
  <si>
    <t>Cook, SS; Jones, RC; Vaillancourt, RE; Hallegraeff, GM</t>
  </si>
  <si>
    <t>Cook, Suellen S.; Jones, Rebecca C.; Vaillancourt, Rene E.; Hallegraeff, Gustaaf M.</t>
  </si>
  <si>
    <t>Genetic differentiation among Australian and Southern Ocean populations of the ubiquitous coccolithophore Emiliania huxleyi (Haptophyta)</t>
  </si>
  <si>
    <t>Divergence; Microsatellite; Plankton; Variability</t>
  </si>
  <si>
    <t>NITZSCHIA-PUNGENS BACILLARIOPHYCEAE; MICROSATELLITE NULL ALLELES; ANTARCTIC POLAR FRONT; MARINE-PHYTOPLANKTON; SPECIES BOUNDARIES; DIVERSITY; PRYMNESIOPHYCEAE; MORPHOTYPES; SPECIATION; PHYLOGENY</t>
  </si>
  <si>
    <t>Phytoplankton species with a cosmopolitan distribution are traditionally expected to show little genetic differentiation given the lack of geographical barriers in the ocean. To gain an understanding of the genetic variability within southern hemisphere populations of the coccolithophore Emiliania huxleyi, we used eight microsatellite markers to conduct a population genetic analysis on 273 clonal cultures collected from 11 sites in five ocean current systems south of Australia (Leeuwin, Zeehan, East Australian Currents) and in the Southern Ocean, including within the Antarctic Polar Front. Two of the five currently recognised morphotypes were represented, E. huxleyi var. huxleyi and E. huxleyi var. aurorae. Clonality was absent within sampled populations, suggesting the importance of sexual reproduction in the life cycle of this coccolithophore. Significant genetic differentiation (pairwise population F-ST range=0.01-0.09) was apparent among E. huxleyi var. huxleyi populations, much higher than for other cosmopolitan plankton species; thus, gene flow between populations must be low. There was evidence of marked differentiation between Southern Ocean populations of E. huxleyi var. aurorae and E. huxleyi var. huxleyi (pairwise F-ST range = 0.12-0.16), suggesting the existence of a reproductive, environmental and/or biogeographical barrier between these two varieties.</t>
  </si>
  <si>
    <t>[Cook, Suellen S.; Jones, Rebecca C.; Vaillancourt, Rene E.] Univ Tasmania, Sch Plant Sci, Hobart, Tas 7001, Australia; [Cook, Suellen S.; Hallegraeff, Gustaaf M.] Univ Tasmania, Inst Marine &amp; Antarctic Studies, Hobart, Tas 7001, Australia</t>
  </si>
  <si>
    <t>Cook, SS (corresponding author), Univ Tasmania, Sch Plant Sci, Private Bag 55, Hobart, Tas 7001, Australia.</t>
  </si>
  <si>
    <t>ssorinoco@gmail.com</t>
  </si>
  <si>
    <t>Vaillancourt, Rene E/C-6123-2013; Vaillancourt, Rene/J-7456-2014; Hallegraeff, Gustaaf/C-8351-2013; Jones, Rebecca/J-7901-2014</t>
  </si>
  <si>
    <t>Vaillancourt, Rene/0000-0002-1159-9149; Hallegraeff, Gustaaf/0000-0001-8464-7343; Jones, Rebecca/0000-0002-6491-1423</t>
  </si>
  <si>
    <t>2330-2968</t>
  </si>
  <si>
    <t>10.2216/12-111.1</t>
  </si>
  <si>
    <t>238RD</t>
  </si>
  <si>
    <t>WOS:000325964600007</t>
  </si>
  <si>
    <t>A detailed view of Antarctic topography</t>
  </si>
  <si>
    <t>PHYSICS TODAY</t>
  </si>
  <si>
    <t>AMER INST PHYSICS</t>
  </si>
  <si>
    <t>MELVILLE</t>
  </si>
  <si>
    <t>CIRCULATION &amp; FULFILLMENT DIV, 2 HUNTINGTON QUADRANGLE, STE 1 N O 1, MELVILLE, NY 11747-4501 USA</t>
  </si>
  <si>
    <t>0031-9228</t>
  </si>
  <si>
    <t>1945-0699</t>
  </si>
  <si>
    <t>PHYS TODAY</t>
  </si>
  <si>
    <t>Phys. Today</t>
  </si>
  <si>
    <t>Physics, Multidisciplinary</t>
  </si>
  <si>
    <t>252RP</t>
  </si>
  <si>
    <t>WOS:000327027700024</t>
  </si>
  <si>
    <t>Kopalová, K; Nedbalová, L; Nyvlt, D; Elster, J; Van de Vijver, B</t>
  </si>
  <si>
    <t>Kopalova, Katerina; Nedbalova, Linda; Nyvlt, Daniel; Elster, Josef; Van de Vijver, Bart</t>
  </si>
  <si>
    <t>Diversity, ecology and biogeography of the freshwater diatom communities from Ulu Peninsula (James Ross Island, NE Antarctic Peninsula)</t>
  </si>
  <si>
    <t>Diatoms; Lakes; Seepages; Streams; Ulu Peninsula; James Ross Island; Community analysis; Antarctic Peninsula</t>
  </si>
  <si>
    <t>SOUTH SHETLAND ISLANDS; WEIGHTED-AVERAGING REGRESSION; POSSESSION CROZET ARCHIPELAGO; LIVINGSTON ISLAND; WEDDELL SEA; SALINE LAKES; CALIBRATION MODEL; DECEPTION ISLAND; EAST ANTARCTICA; BYERS PENINSULA</t>
  </si>
  <si>
    <t>The diversity, ecology and biogeography of diatoms in lakes, seepage areas and streams on the Ulu Peninsula, a large ice-free area in the northern part of James Ross Island (Weddell Sea), were studied. A diverse diatom flora of 123 taxa was observed, dominated by several Nitzschia taxa, Psammothidium papilio, Eolimna jamesrossensis, Fragilaria capucina and Fistulifera saprophila. The results from the similarity and diversity analysis suggest James Ross Island to be biogeographically positioned within the Maritime Antarctic region, yet with some affinities with the flora of Continental Antarctica, as shown by the presence of Luticola gaussii and Achnanthes taylorensis. Based on our data, James Ross Island can thus be located close to the boundary of the two main Antarctic biogeographical regions. Diatom communities present in streams and seepage areas could be clearly distinguished from those in lakes, the latter being much more species rich. Based on the multivariate analysis, conductivity and nutrients were selected as the two main environmental factors determining the diatom composition in the Ulu Peninsula lakes. The revised taxonomy of the Antarctic diatom flora induced the construction of a transfer function for water conductivity in the studied lakes that can be applied in further palaeoecological studies.</t>
  </si>
  <si>
    <t>[Kopalova, Katerina; Nedbalova, Linda] Charles Univ Prague, Fac Sci, Dept Ecol, CR-12844 Prague 2, Czech Republic; [Kopalova, Katerina; Nedbalova, Linda; Elster, Josef] Acad Sci Czech Republic, Inst Bot, Sect Plant Ecol, CS-37982 Trebon, Czech Republic; [Nyvlt, Daniel] Czech Geol Survey, Brno Branch, Brno 65869, Czech Republic</t>
  </si>
  <si>
    <t>Charles University Prague; Czech Academy of Sciences; Institute of Botany of the Czech Academy of Sciences; Czech Geological Survey</t>
  </si>
  <si>
    <t>Kopalová, K (corresponding author), Charles Univ Prague, Fac Sci, Dept Ecol, Vinicna 7, CR-12844 Prague 2, Czech Republic.</t>
  </si>
  <si>
    <t>k.kopalova@hotmail.com</t>
  </si>
  <si>
    <t>Nedbalová, Linda/AAF-1001-2022; Elster, Josef/B-1031-2008; Kopalová, Kateřina/H-1598-2014; Nedbalová, Linda/AFF-8321-2022; Nyvlt, Daniel/J-6504-2019; Kopalova, Katerina/M-6207-2017</t>
  </si>
  <si>
    <t>Nedbalová, Linda/0000-0003-1800-714X; Nedbalová, Linda/0000-0003-1800-714X; Nyvlt, Daniel/0000-0002-6876-490X; Elster, Josef/0000-0002-4535-5636; Kopalova, Katerina/0000-0002-7905-4268</t>
  </si>
  <si>
    <t>Ministry of EducationYouth and Sports of the Czech Republic [CzechPolar LM2010009]; FWO [G.0533.07]; Erasmus grant; GA UK [394211]; Czech Geological Survey [335200]; [RVO 67985939]; [MSMT KONTAKT ME 945]; [ME 934]</t>
  </si>
  <si>
    <t>Ministry of EducationYouth and Sports of the Czech Republic(Ministry of Education, Youth &amp; Sports - Czech Republic); FWO(FWO); Erasmus grant(Erasmus+); GA UK; Czech Geological Survey; ; ;</t>
  </si>
  <si>
    <t>This study has been supported by a long-term research development project no. RVO 67985939 and the Ministry of EducationYouth and Sports of the Czech Republic project CzechPolar LM2010009. Part of the research was funded by the following projects: MSMT KONTAKT ME 945 and ME 934. Additional funding was provided by the FWO project G.0533.07. The authors would also like to thank to the scientific infrastructure of the Czech J.G. Mendel Antarctic Station and its crew for their support and help in the field. Mrs. K. Kopalova benefited from an Erasmus grant during her stay in Belgium and GA UK grant nr. 394211. Daniel Nyvlt's work on this paper was undertaken within the Czech Geological Survey project 335200: Holocene palaeoclimatic and palaeoenvironmental changes of the Northern Antarctic Peninsula and High Arctic regions based on multi-proxy records of lake sediments. Three anonymous referees are thanked for their valuable comments that greatly improved this manuscript.</t>
  </si>
  <si>
    <t>10.1007/s00300-013-1317-5</t>
  </si>
  <si>
    <t>WOS:000321974900002</t>
  </si>
  <si>
    <t>Belchier, M; Lawson, J</t>
  </si>
  <si>
    <t>Belchier, Mark; Lawson, Jennifer</t>
  </si>
  <si>
    <t>An analysis of temporal variability in abundance, diversity and growth rates within the coastal ichthyoplankton assemblage of South Georgia (sub-Antarctic)</t>
  </si>
  <si>
    <t>Ichthyoplankton; Sub-Antarctic; Notothenioidei; South Georgia; Larval growth; Fisheries</t>
  </si>
  <si>
    <t>ICEFISH CHAMPSOCEPHALUS-GUNNARI; LIFE-HISTORY STRATEGIES; SCOTIA SEA ECOSYSTEM; MACKEREL ICEFISH; FISH LARVAE; SHAG-ROCKS; GOBIONOTOTHEN-GIBBERIFRONS; COMMUNITY STRUCTURE; RELATIVE ABUNDANCE; ROSS SEA</t>
  </si>
  <si>
    <t>The study of spatial and temporal distribution and diversity of ichthyoplankton (fish eggs and larvae) can provide fisheries-independent information on the population dynamics and recruitment processes of marine fish species. Ichthyoplankton studies in the Southern Ocean have to date been largely constrained to the summer months. We analysed ichthyoplankton data collected from a year round, long term (2002-2008), plankton trawl sampling programme in a large fjord system (Cumberland Bay) at South Georgia, sub-Antarctic (54.25 degrees S, 36.5 degrees W) to assess temporal changes in larval fish diversity and abundance. Larvae of 22 species, representing nine families, were identified although three, Krefftichthys anderssoni (Myctophidae), Lepidonotothen nudifrons/Trematomus hansoni (Nototheniidae) and Champsocephalus gunnari (Channichthyidae), dominated abundance in all years. Significant seasonal and interannual differences in the larval fish assemblage were revealed by multivariate analyses. Estimates of larval growth are provided for five abundant species. Considerable inter-specific differences in relative larval growth rate were recorded but interannual variability within species was small. However, in the commercially important C. gunnari, multiple larval cohorts, representing a protracted spawning season, were observed to grow at different rates, and this may be related to temperature and/or food availability. A comparison with historical growth data from South Georgia suggests there has been little change in growth rate for the main species over the last three decades.</t>
  </si>
  <si>
    <t>[Belchier, Mark; Lawson, Jennifer] British Antarctic Survey, Nat Environm Res Council, Cambridge CB3 0ET, England</t>
  </si>
  <si>
    <t>Belchier, M (corresponding author), British Antarctic Survey, Nat Environm Res Council, Madingley Rd, Cambridge CB3 0ET, England.</t>
  </si>
  <si>
    <t>markb@bas.ac.uk</t>
  </si>
  <si>
    <t>Government of South Georgia; South Sandwich Islands; NERC [bas0100025] Funding Source: UKRI; Natural Environment Research Council [bas0100025] Funding Source: researchfish</t>
  </si>
  <si>
    <t>Government of South Georgia; South Sandwich Islands; NERC(UK Research &amp; Innovation (UKRI)Natural Environment Research Council (NERC)); Natural Environment Research Council(UK Research &amp; Innovation (UKRI)Natural Environment Research Council (NERC))</t>
  </si>
  <si>
    <t>The authors would like to acknowledge our many BAS colleagues who have worked tirelessly at King Edward Point Research Station, South Georgia, to assist with the collection and identification of fish larvae. We also thank Jenny Rock (University of Otago) for input concerning the DNA barcoding of larval fish samples. The work was funded by the Government of South Georgia and the South Sandwich Islands.</t>
  </si>
  <si>
    <t>10.1007/s00300-013-1321-9</t>
  </si>
  <si>
    <t>WOS:000321974900005</t>
  </si>
  <si>
    <t>Baylis, AMM; Wolfaardt, AC; Crofts, S; Pistorius, PA; Ratcliffe, N</t>
  </si>
  <si>
    <t>Baylis, A. M. M.; Wolfaardt, A. C.; Crofts, S.; Pistorius, P. A.; Ratcliffe, N.</t>
  </si>
  <si>
    <t>Increasing trend in the number of Southern Rockhopper Penguins (Eudyptes c. chrysocome) breeding at the Falkland Islands</t>
  </si>
  <si>
    <t>South Atlantic; Seabirds; Population census; Long-term monitoring; Breeding success; GAMs</t>
  </si>
  <si>
    <t>POPULATION TRENDS; MARION ISLAND; PYGOSCELIS-PAPUA; STATEN-ISLAND; SUCCESS; CLIMATE; GENTOO; BIOLOGY; VARIABILITY; ILDEFONSO</t>
  </si>
  <si>
    <t>The Falkland Islands currently supports one of the largest Southern Rockhopper Penguin (Eudyptes c. chrysocome) populations. Archipelago-wide censuses conducted in 2000 and 2005 revealed that the number of breeding pairs had declined by 30 % during this period. To establish whether the breeding population continued to decline, an archipelago-wide census was conducted in 2010. We report a conservative estimate of 319,163 +/- SD 24,820 pairs breeding at the Falkland Islands in 2010. This represents a 51 % increase when compared with the number counted in 2005. A simple stochastic population model was developed to investigate the extent to which changes in demographic parameters between 2005 and 2010 could account for the increase in breeding pairs. The population model predicted a 38 % increase in the number of breeding pairs over a 5-year period (289,431 +/- SD 24,615). The increase in the number of breeding pairs was therefore probably attributed to improved vital rates in the period between the 2005 and 2010 archipelago-wide censuses in combination with other factors such as a reduction in the proportion of adult birds that abstained from breeding. Based on the 2010 Falkland Islands estimate, the global population of the subspecies E. c. chrysocome is now closer to 870,000 breeding pairs of which the Falkland Islands accounts for approximately 36 %, the second largest proportion after Chile. We conclude that despite fluctuations, the number of Southern Rockhopper Penguins breeding at the Falkland Islands has increased over the last 15 years and suggest that the 'Vulnerable' conservation status of the species be re-assessed.</t>
  </si>
  <si>
    <t>[Baylis, A. M. M.] Deakin Univ, Sch Life &amp; Environm Sci, Warrnambool, Vic 3280, Australia; [Wolfaardt, A. C.] Joint Nat Conservat Comm, Stanley FIQQ 1ZZ, Falkland Island, Denmark; [Pistorius, P. A.] Nelson Mandela Metropolitan Univ, Dept Zool, DST NRF Ctr Excellence, Percy Fitzpatrick Inst African Ornithol, ZA-6031 Port Elizabeth, South Africa; [Ratcliffe, N.] British Antarctic Survey, NERC, Cambridge CB3 0ET, England</t>
  </si>
  <si>
    <t>Deakin University; National Research Foundation - South Africa; Nelson Mandela University; UK Research &amp; Innovation (UKRI); Natural Environment Research Council (NERC); NERC British Antarctic Survey</t>
  </si>
  <si>
    <t>Baylis, AMM (corresponding author), Deakin Univ, Sch Life &amp; Environm Sci, POB 423, Warrnambool, Vic 3280, Australia.</t>
  </si>
  <si>
    <t>al_baylis@yahoo.com.au</t>
  </si>
  <si>
    <t>Baylis, Alastair/H-9471-2019</t>
  </si>
  <si>
    <t>Baylis, Alastair/0000-0002-5167-0472; Pistorius, Pierre/0000-0001-6561-7069</t>
  </si>
  <si>
    <t>10.1007/s00300-013-1324-6</t>
  </si>
  <si>
    <t>WOS:000321974900008</t>
  </si>
  <si>
    <t>Jayasundara, N; Healy, TM; Somero, GN</t>
  </si>
  <si>
    <t>Jayasundara, Nishad; Healy, Timothy M.; Somero, George N.</t>
  </si>
  <si>
    <t>Effects of temperature acclimation on cardiorespiratory performance of the Antarctic notothenioid Trematomus bernacchii</t>
  </si>
  <si>
    <t>Cardiac function; Notothenioids; Respirometry; Thermal tolerance; Temperature acclimation; Trematomus bernacchii</t>
  </si>
  <si>
    <t>CLIMATE-CHANGE; THERMAL TOLERANCE; COLD ADAPTATION; ENZYMATIC-ACTIVITIES; FISH; HEAT; EXPRESSION; MITOCHONDRIAL; METABOLISM; ANTIFREEZE</t>
  </si>
  <si>
    <t>Notothenioid fishes of the Southern Ocean have evolved under cold and stable temperatures for millions of years. Due to rising temperatures in the Southern Ocean, investigating thermal limits and the capacities for inducing a temperature acclimation response in notothenioids has become of increasing interest. Here, we investigated effects of temperature acclimation on cardiorespiratory responses and cardiac and skeletal muscle energy metabolism in a benthic Antarctic notothenioid, Trematomus bernacchii. We acclimated specimens to -1, 2 and 4.5 degrees C for 14 days and quantified heart rates and ventilation rates during an acute increase in temperature. Ventilation rates showed an effect of acclimation both at initial steady-state acclimation conditions and during an acute temperature increase, suggesting a partial thermal compensatory response. However, acclimation did not affect heart rates at steady-state acclimation conditions and the temperatures at which onset of cardiac arrhythmia occurred, suggesting lack of inducible thermal tolerance in cardiac performance. Citrate synthase (CS), lactate dehydrogenase (LDH) and 3-hydroxyacyl dehydrogenase activities in skeletal muscle tissues suggested acclimation-induced shifts in metabolic fuel preferences, and a marked increase in LDH activity with acclimation to 4.5 degrees C showed an increase in anaerobic metabolism. In heart tissue, CS and LDH activities decreased with acclimation to 4.5 degrees C, suggesting reduced cardiac ATP production. Overall, the data suggest a partial acclimatory response to temperature by T. bernacchii and support the hypothesis that reduced cardiac acclimatory capacity may play a role in limiting the thermal plasticity of T. bernacchii.</t>
  </si>
  <si>
    <t>[Jayasundara, Nishad; Somero, George N.] Stanford Univ, Hopkins Marine Stn, Pacific Grove, CA 93950 USA; [Jayasundara, Nishad] Duke Univ, Nicholas Sch Environm, Durham, NC 27708 USA; [Healy, Timothy M.] Univ British Columbia, Dept Zool, Vancouver, BC V6T 1Z4, Canada</t>
  </si>
  <si>
    <t>Stanford University; Duke University; University of British Columbia</t>
  </si>
  <si>
    <t>Jayasundara, N (corresponding author), Duke Univ, Nicholas Sch Environm, Box 90328, Durham, NC 27708 USA.</t>
  </si>
  <si>
    <t>nishad.jayasundara@duke.edu</t>
  </si>
  <si>
    <t>Jayasundara, Nishad/AAR-7871-2021; Somero, George/AAC-3321-2019</t>
  </si>
  <si>
    <t>Jayasundara, Nishad/0000-0003-2485-6893; Somero, George/0000-0003-1431-6455</t>
  </si>
  <si>
    <t>National Science Foundation [OPP05-04072]</t>
  </si>
  <si>
    <t>National Science Foundation(National Science Foundation (NSF))</t>
  </si>
  <si>
    <t>This work was supported by National Science Foundation grant OPP05-04072 to Dr. Donal Manahan (University of Southern California) in support of the Antarctic Marine Biology course at McMurdo Station. The authors would like to thank Dr. Wesley Dowd and Dr. Johanne Lewis for their assistance in collecting tissues and Ms. Laurie Kost for assistance in enzyme assay experiments. We specially appreciate the support of Crary Lab staff at McMurdo Station in maintaining fish and conducting experiments. We also thank Dr. William Gilly for providing some of the necessary equipment and Dr. Timothy Clarke (University of British Columbia) for sharing his expertise in fish heart rate measurements.</t>
  </si>
  <si>
    <t>10.1007/s00300-013-1327-3</t>
  </si>
  <si>
    <t>WOS:000321974900011</t>
  </si>
  <si>
    <t>Sponge assemblages of the deep Weddell Sea: ecological and zoogeographic results of ANDEEP I-III and SYSTCO I expeditions</t>
  </si>
  <si>
    <t>Diversity; Assemblages; Distribution patterns; Zoogeography; Deep-sea; Porifera; Weddell Sea; Antarctica</t>
  </si>
  <si>
    <t>HEXACTINELLIDA PORIFERA; POLYMASTIIDAE; DEMOSPONGIAE; HADROMERIDA; TRAITS; GENUS</t>
  </si>
  <si>
    <t>The aim of this study is to analyze the community structure, ecology and distribution of deep Weddell Sea sponge faunas. Analysis was performed on the basis of sponges sampled during ANDEEP I-III and SYSTCO I expeditions (2002-2008) by RV Polarstern. The material obtained comprises about 800 sponge specimens, representing 129 species, within these are 95 species of demosponges (including 15 new to science), 25 hexactinellid species (7 new) and 9 calcarean species (5 new). Sponges were sampled at 51 stations in depths between 500 and 5,500 m. At most stations, sponge densities were very low, and many species are represented by one or two specimens only. Community structure by Bray-Curtis similarity was analyzed as well as depth range and spatial distribution of the most common species. Zoogeographic affinities of sampled faunas are analyzed. Three associations of sponges are found in the deep Weddell Sea: (1) The Polymastia/Tentorium community, (including Rossella associations) distributed on the lower shelf and continental slope. (2) The Bathydorus community, distributed on the continental slope and upper abyssal. (3) The Caulophacus community, associated with Cladorhizidae, is characteristic for the abyssal plains. The associations follow each other successively both bathymetrically and geographically, from shallow to deep, from shelf and ridge structures into the open abyssal. A distinct faunistic boundary between shelf and deep sea is not present. In general, the sponge fauna of the deep Weddell Sea is regionally restricted and shows stronger affinities only to the sponge fauna of the subantarctic islands.</t>
  </si>
  <si>
    <t>[Goecke, Christian; Janussen, Dorte] Forschungsinst, D-60325 Frankfurt, Germany; [Goecke, Christian; Janussen, Dorte] Nat Museum Senckenberg, D-60325 Frankfurt, Germany</t>
  </si>
  <si>
    <t>Göcke, C (corresponding author), Forschungsinst, Senckenberganlage 25, D-60325 Frankfurt, Germany.</t>
  </si>
  <si>
    <t>Deutsche Forschungsgemeinschaft (DFG) [JA 1063/14-1.2]; SYNTHESYS [GB-TAF 885, NL-TAF 11, ES-TAF 1705, AT-TAF-2600]</t>
  </si>
  <si>
    <t>We acknowledge the Deutsche Forschungsgemeinschaft (DFG-Project JA 1063/14-1.2), as well as SYNTHESYS (projects, GB-TAF 885, NL-TAF 11, ES-TAF 1705, AT-TAF-2600) for financial support to our research on Antarctic Porifera and for financing visits to important Porifera collections. We are especially indebted to Angelika Brandt and the ANDEEP/SYSTCO team and also to the captain and crew of RC Polarstern for good cooperation, excellent handling on board and kindness during the ANDEEP I-III and SYSTCO I cruises. We furthermore wish to thank those colleagues who supported and discussed with the identification and revision of our sponge taxa (in alphabetical order): Eduardo Hajdu, Alexander Plotkin, Hans Tore Rapp, Henry M. Reiswig, Konstantin Tabachnick, Ole Tendal. We are indebted to Henry M. Reiswig for critical reading and correction, especially of the English language, and to three anonymous reviewers for their helpful critical comments to the manuscript. This is ANDEEP publication number 172.</t>
  </si>
  <si>
    <t>10.1007/s00300-013-1329-1</t>
  </si>
  <si>
    <t>WOS:000321974900012</t>
  </si>
  <si>
    <t>Volonterio, O; de León, RP; Convey, P; Krzeminska, E</t>
  </si>
  <si>
    <t>Volonterio, Odile; de Leon, Rodrigo Ponce; Convey, Peter; Krzeminska, Ewa</t>
  </si>
  <si>
    <t>First record of Trichoceridae (Diptera) in the maritime Antarctic</t>
  </si>
  <si>
    <t>Trichocera; Non-indigenous species; Anthropogenic introduction; King George Island</t>
  </si>
  <si>
    <t>TERRESTRIAL; IMPACTS; RISK</t>
  </si>
  <si>
    <t>During the austral summer of 2006-07, abundant Diptera were found in the sewage system of the Base Cientifica Antartica Artigas on King George Island. These are here identified as Trichocera (Saltrichocera) maculipennis (Diptera: Trichoceridae), a Holarctic species widely distributed in the Northern Hemisphere which has been introduced to some sub-Antarctic islands, but never been recorded in the maritime Antarctic. The distribution of the fly on King George Island indicates that it has been introduced by human agency. Although its origin is unclear, adult specimens have distinctive morphological features rarely represented in autochthonous populations in Europe. To date, larvae have been found only in the Artigas Base sewage system, but adults have been observed around the buildings and more widely in the vicinity. Given the species' natural northern range, habitats and feeding preferences, it is likely to have good preadaptation permitting survival in the natural terrestrial ecosystems of the maritime Antarctic. We recommend that urgent eradication efforts are made.</t>
  </si>
  <si>
    <t>[Volonterio, Odile; de Leon, Rodrigo Ponce] Univ Republica, Secc Zool Invertebrados, Fac Ciencias, Montevideo 11400, Uruguay; [Convey, Peter] British Antarctic Survey, Cambridge CB3 0ET, England; [Krzeminska, Ewa] Polish Acad Sci, Inst Systemat &amp; Evolut Anim, PL-31016 Krakow, Poland</t>
  </si>
  <si>
    <t>Universidad de la Republica, Uruguay; UK Research &amp; Innovation (UKRI); Natural Environment Research Council (NERC); NERC British Antarctic Survey; Polish Academy of Sciences; Institute of Systematics &amp; Evolution of Animals of the Polish Academy of Sciences</t>
  </si>
  <si>
    <t>Volonterio, O (corresponding author), Univ Republica, Secc Zool Invertebrados, Fac Ciencias, Igua 4225, Montevideo 11400, Uruguay.</t>
  </si>
  <si>
    <t>o.volonterio@outlook.com; eumeswill@yahoo.com; pcon@bas.ac.uk; krzeminska@isez.pan.krakow.pl</t>
  </si>
  <si>
    <t>Convey, Peter/AAV-5728-2020; Krzemińska, Ewa/AAD-6661-2021; Volonterio, Odile/GOK-2869-2022</t>
  </si>
  <si>
    <t>Convey, Peter/0000-0001-8497-9903; Krzemińska, Ewa/0000-0002-3431-9963;</t>
  </si>
  <si>
    <t>Uruguayan Antarctic Institute; SCAR; Polish Ministry for Science and Higher Education [NN303 803 940]; British Antarctic Survey; NERC [bas0100025] Funding Source: UKRI; Natural Environment Research Council [bas0100025] Funding Source: researchfish</t>
  </si>
  <si>
    <t>Uruguayan Antarctic Institute; SCAR; Polish Ministry for Science and Higher Education(Ministry of Science and Higher Education, Poland); British Antarctic Survey; NERC(UK Research &amp; Innovation (UKRI)Natural Environment Research Council (NERC)); Natural Environment Research Council(UK Research &amp; Innovation (UKRI)Natural Environment Research Council (NERC))</t>
  </si>
  <si>
    <t>The authors wish to thank the Uruguayan Antarctic Institute for supporting this study. O.V. gratefully acknowledges receiving a SCAR Fellowship facilitating collaborative research with the British Antarctic Survey. The paper also contributes to the British Antarctic Survey 'Ecosystems' and SCAR 'Evolution and Biodiversity in Antarctica' programmes. The contribution of E. Krzeminska was partially supported by the grant of the Polish Ministry for Science and Higher Education No. NN303 803 940. Christophe Dufour and Jean-Paul Haenni (MNHN) are gratefully thanked for a loan of specimens from Switzerland. Dr. K. Hughes and two anonymous reviewers are thanked for helpful comments.</t>
  </si>
  <si>
    <t>10.1007/s00300-013-1334-4</t>
  </si>
  <si>
    <t>WOS:000321975200005</t>
  </si>
  <si>
    <t>Tickell, WLN</t>
  </si>
  <si>
    <t>Tickell, W. L. N.</t>
  </si>
  <si>
    <t>Sir Raymond Priestley and the Falkland Islands Dependencies Survey 1955-1958</t>
  </si>
  <si>
    <t>Sir Raymond Priestley served with Shackleton (1907-1909) and Scott (1910-1913), then after the First World War had a distinguished career in university administration. During retirement he spent three years in charge of the Falkland Islands Dependencies Survey (later the British Antarctic Survey). This note seeks to remove an unsubstantiated blemish from that otherwise exemplary record.</t>
  </si>
  <si>
    <t>Tickell, WLN (corresponding author), 17 Knoll Court,Knoll Hill, Bristol BS9 1QX, Avon, England.</t>
  </si>
  <si>
    <t>lance.tickell@virgin.net</t>
  </si>
  <si>
    <t>10.1017/S0032247412000514</t>
  </si>
  <si>
    <t>WOS:000321684800015</t>
  </si>
  <si>
    <t>Steinhoff, DF; Bromwich, DH; Monaghan, A</t>
  </si>
  <si>
    <t>Steinhoff, Daniel F.; Bromwich, David H.; Monaghan, Andrew</t>
  </si>
  <si>
    <t>Dynamics of the Foehn Mechanism in the McMurdo Dry Valleys of Antarctica from Polar WRF</t>
  </si>
  <si>
    <t>QUARTERLY JOURNAL OF THE ROYAL METEOROLOGICAL SOCIETY</t>
  </si>
  <si>
    <t>channelling; gap flow; mountain waves</t>
  </si>
  <si>
    <t>ANOMALOUS ATMOSPHERIC CIRCULATION; WASHINGTON CASCADE MOUNTAINS; SOUTHERN VICTORIA LAND; YAMADA LEVEL-3 MODEL; SURFACE WIND; PART I; NUMERICAL SIMULATIONS; WAVE BREAKING; GAP FLOWS; IDEALIZED TOPOGRAPHY</t>
  </si>
  <si>
    <t>Abstract Foehn events over the McMurdo Dry Valleys (MDVs), the largest ice-free region of Antarctica, promote glacial melt that supports biological activity in the lakes, streams, rocks and soils. Although MDVs foehn events are known to depend upon the synoptic-scale circulation, the physical processes responsible for foehn events are unknown. A polar-optimized version of the Weather Research and Forecasting model (Polar WRF) is used for a case study of a representative summer foehn event from 29 December 2006 to 1 January 2007 in order to identify and explain the MDVs foehn mechanism. Pressure differences across an elevated mountain gap upstream of the MDVs provide forcing for southerly flow into the western, upvalley entrance of the MDVs. Complex terrain over the elevated gap and the MDVs leads to mountain wave effects such as leeside acceleration, hydraulic jumps, wave breaking and critical layers. These mountain wave effects depend on the ambient (geostrophic) wind direction. Pressure-driven channelling then brings the warm, dry foehn air downvalley to eastern MDV sites. Brief easterly intrusions of maritime air into the eastern MDVs during foehn events previously have been attributed to either a sea-breeze effect in summer or local cold-pooling effects in winter. In this particular case, the easterly intrusions result from blocking effects of nearby Ross Island and the adjacent Antarctic coast. Temperature variability during the summer foehn event, which is important for meltwater production and biological activity when it exceeds 0 degrees C, primarily depends on the source airmass rather than differences in foehn dynamics.</t>
  </si>
  <si>
    <t>[Steinhoff, Daniel F.; Bromwich, David H.] Ohio State Univ, Byrd Polar Res Ctr, Polar Meteorol Grp, Columbus, OH 43210 USA; [Steinhoff, Daniel F.; Bromwich, David H.] Ohio State Univ, Dept Geog, Atmospher Sci Program, Columbus, OH 43210 USA; [Steinhoff, Daniel F.; Monaghan, Andrew] Natl Ctr Atmospher Res, Res Applicat Lab, Boulder, CO 80307 USA</t>
  </si>
  <si>
    <t>University System of Ohio; Ohio State University; University System of Ohio; Ohio State University; National Center Atmospheric Research (NCAR) - USA</t>
  </si>
  <si>
    <t>Steinhoff, DF (corresponding author), Natl Ctr Atmospher Res, Res Applicat Lab, POB 3000, Boulder, CO 80307 USA.</t>
  </si>
  <si>
    <t>steinhof@ucar.edu</t>
  </si>
  <si>
    <t>Bromwich, David H/C-9225-2016</t>
  </si>
  <si>
    <t>Monaghan, Andrew/0000-0002-8170-2359; Steinhoff, Daniel/0000-0002-4233-8750</t>
  </si>
  <si>
    <t>National Science Foundation [ANT-0636523]; Ohio Supercomputing Center; Office of Polar Programs (OPP); Directorate For Geosciences [1135171] Funding Source: National Science Foundation</t>
  </si>
  <si>
    <t>National Science Foundation(National Science Foundation (NSF)); Ohio Supercomputing Center; Office of Polar Programs (OPP); Directorate For Geosciences(National Science Foundation (NSF)NSF - Directorate for Geosciences (GEO))</t>
  </si>
  <si>
    <t>This research is supported by the National Science Foundation via NSF Grant ANT-0636523. High-performance computing support is provided by NCAR's Computational and Information Systems Laboratory, sponsored by the National Science Foundation, and the Ohio Supercomputing Center. The McMurdo Dry Valleys LTER Program provided automatic weather station data. Kevin Manning provided the bare-ground land-use data for the MDVs. Comments by two anonymous reviewers improved the manuscript. NCAR is sponsored by the National Science Foundation and other agencies</t>
  </si>
  <si>
    <t>0035-9009</t>
  </si>
  <si>
    <t>1477-870X</t>
  </si>
  <si>
    <t>Q J ROY METEOR SOC</t>
  </si>
  <si>
    <t>Q. J. R. Meteorol. Soc.</t>
  </si>
  <si>
    <t>B</t>
  </si>
  <si>
    <t>10.1002/qj.2038</t>
  </si>
  <si>
    <t>217VJ</t>
  </si>
  <si>
    <t>WOS:000324390000016</t>
  </si>
  <si>
    <t>Hahn, A; Kliem, P; Ohlendorf, C; Zolitschka, B; Rosén, P</t>
  </si>
  <si>
    <t>Hahn, A.; Kliem, P.; Ohlendorf, C.; Zolitschka, B.; Rosen, P.</t>
  </si>
  <si>
    <t>PASADO Sci Team</t>
  </si>
  <si>
    <t>Climate induced changes as registered in inorganic and organic sediment components from Laguna Potrok Aike (Argentina) during the past 51 ka</t>
  </si>
  <si>
    <t>QUATERNARY SCIENCE REVIEWS</t>
  </si>
  <si>
    <t>Carbonates; Organic matter; Biogenic silica; Diffuse Reflectance Fourier Transform; Infrared Spectrometry (DRIFTS); Lake level; Primary productivity; Patagonia; Argentina; ICDP project PASADO</t>
  </si>
  <si>
    <t>SOUTHERNMOST SOUTH-AMERICA; AMORPHOUS SILICA SOLUBILITIES; LATE QUATERNARY; ENVIRONMENTAL-CHANGES; HOLOCENE CLIMATE; LATE PLEISTOCENE; SANTA-CRUZ; HEMISPHERE WESTERLIES; YOUNGER-DRYAS; LOS ESTADOS</t>
  </si>
  <si>
    <t>Total organic carbon, total inorganic carbon, biogenic silica content and total organic carbon/total nitrogen ratios of the Laguna Potrok Aike lacustrine sediment record are used to reconstruct the environmental history of south-east Patagonia during the past 51 ka in high resolution. High lake level conditions are assumed to have prevailed during the Last Glacial, as sediments are carbonate-free. Increased runoff linked to permafrost and reduced evaporation due to colder temperatures and reduced influence of Southern Hemispheric Westerlies (SHIN) may have caused these high lake levels with lake productivity being low and organic matter mainly of algal or cyanobacterial origin. Aquatic moss growth and diatom blooms occurred synchronously with southern hemispheric glacial warming events such as the Antarctic A-events, the postglacial warming following the LGM and the Younger Dryas chronozone. During these times, a combination of warmer climatic conditions with related thawing permafrost could have increased the allochthonous input of nutrients and in combination with warmer surface waters increased aquatic moss growth and diatom production. The SHW were not observed to affect southern Patagonia during the Last Glacial. The Holocene presents a completely different lacustrine system because (a) permafrost no longer inhibits infiltration nor emits meltwater pulses and (b) the positioning of the SHW over the investigated area gives rise to strong and dry winds. Under these conditions total organic carbon, total organic carbon/total nitrogen ratios and biogenic silica cease to be first order productivity indicators. On the one hand, the biogenic silica is influenced by dissolution of diatoms due to higher salinity and pH of the lake water under evaporative stress characterizing low lake levels. On the other hand, total organic carbon and total organic carbon/total nitrogen profiles are influenced by reworked macrophytes from freshly exposed lake level terraces during lowstands. Total inorganic carbon remains the most reliable proxy for climatic variations during the Holocene as high precipitation of carbonates can be linked to low lake levels and high autochthonous production. The onset of inorganic carbon precipitation has been associated with the southward shift of the SHW over the latitudes of Laguna Potrok Aike. The refined age-depth model of this record suggests that this shift occurred around 9.4 cal. ka BP. (c) 2012 Elsevier Ltd. All rights reserved.</t>
  </si>
  <si>
    <t>[Hahn, A.; Kliem, P.; Ohlendorf, C.; Zolitschka, B.] Univ Bremen, Inst Geog, Geomorphol &amp; Polar Res GEOPOLAR, D-28359 Bremen, Germany; [Rosen, P.] Umea Univ, Climate Impacts Res Ctr, SE-98107 Abisko, Sweden</t>
  </si>
  <si>
    <t>University of Bremen; Umea University</t>
  </si>
  <si>
    <t>Hahn, A (corresponding author), Univ Bremen, Inst Geog, Geomorphol &amp; Polar Res GEOPOLAR, Celsiusstr FVG M, D-28359 Bremen, Germany.</t>
  </si>
  <si>
    <t>anhahn@uni-bremen.de</t>
  </si>
  <si>
    <t>Zolitschka, Bernd/P-1487-2019</t>
  </si>
  <si>
    <t>Zolitschka, Bernd/0000-0001-8256-0420; Ohlendorf, Christian/0000-0003-3794-7313</t>
  </si>
  <si>
    <t>International Continental Scientific Drilling Program (ICDP); German Science Foundation (DFG); Swiss National Funds (SNF); Natural Sciences and Engineering Research Council of Canada (NSERC); Swedish Vetenskapsradet (VR); Swedish Research Council for Environment, Agricultural Sciences and Spatial Planning (FORMAS); Kempe Foundation; Climate Impacts Research Centre (CIRC); University of Umea; University of Bremen</t>
  </si>
  <si>
    <t>International Continental Scientific Drilling Program (ICDP); German Science Foundation (DFG)(German Research Foundation (DFG)); Swiss National Funds (SNF)(Swiss National Science Foundation (SNSF)); Natural Sciences and Engineering Research Council of Canada (NSERC)(Natural Sciences and Engineering Research Council of Canada (NSERC)); Swedish Vetenskapsradet (VR)(Swedish Research Council); Swedish Research Council for Environment, Agricultural Sciences and Spatial Planning (FORMAS)(Swedish Research Council Formas); Kempe Foundation; Climate Impacts Research Centre (CIRC); University of Umea; University of Bremen</t>
  </si>
  <si>
    <t>This research is supported by the International Continental Scientific Drilling Program (ICDP) in the framework of the Potrok Aike Maar Lake Sediment Archive Drilling Project (PASADO). Funding for drilling and analyses were provided by the International Continental scientific Drilling Program (ICDP), the German Science Foundation (DFG), the Swiss National Funds (SNF), the Natural Sciences and Engineering Research Council of Canada (NSERC), the Swedish Vetenskapsradet (VR), Swedish Research Council for Environment, Agricultural Sciences and Spatial Planning (FORMAS), the Kempe Foundation, the Climate Impacts Research Centre (CIRC) and the Universities of Umea and Bremen. We are much obliged to Carsten Meyer-Jacob, Annika Holmgren, Carin Olofsson and Sabine Stahl for laboratory assistance. This manuscript benefited from the constructive comments of Pierre Francus and two anonymous reviewers. We would also like to thank the Chemistry Department at Umea University for allowing us to use their spectrometers. For their invaluable help in field logistics and drilling we thank the staff of INTA Santa Cruz and Rio Dulce Catering as well as the Moreteau family and the DOSECC crew.</t>
  </si>
  <si>
    <t>0277-3791</t>
  </si>
  <si>
    <t>QUATERNARY SCI REV</t>
  </si>
  <si>
    <t>Quat. Sci. Rev.</t>
  </si>
  <si>
    <t>10.1016/j.quascirev.2012.09.015</t>
  </si>
  <si>
    <t>174TO</t>
  </si>
  <si>
    <t>WOS:000321178500013</t>
  </si>
  <si>
    <t>Massaferro, J; Recasens, C; Larocque-Tobler, I; Zolitschka, B; Maidana, NI</t>
  </si>
  <si>
    <t>Massaferro, J.; Recasens, C.; Larocque-Tobler, I.; Zolitschka, B.; Maidana, N. I.</t>
  </si>
  <si>
    <t>Major lake level fluctuations and climate changes for the past 16,000 years as reflected by diatoms and chironomids preserved in the sediment of Laguna Potrok Aike, southern Patagonia</t>
  </si>
  <si>
    <t>Diatoms; Chironomids; Paleoclimatic reconstruction; Lateglacial; Holocene</t>
  </si>
  <si>
    <t>LATE QUATERNARY; SANTA-CRUZ; PALEOENVIRONMENTAL CHANGES; ENVIRONMENTAL HISTORY; LACUSTRINE RECORD; POLLEN EVIDENCE; STEPPE ECOTONE; LAGO-CARDIEL; HOLOCENE; ASSEMBLAGES</t>
  </si>
  <si>
    <t>Laguna Potrok Aike is a maar lake located in southernmost Argentina and is one of the few permanent lakes preserving a continuous climatic record from the semiarid Patagonian steppe. Furthermore, its location close to Antarctica provides a unique opportunity to compare paleoclimate from continental South America with the polar records. The analysis of subfossil chironomids and diatoms throughout a 16-m sedimentary record retrieved from this lake, combined with a well-constrained chronology of the last ca 16 ka BP, provided a high resolution paleoenvironmental reconstruction of the limnology of the lake and regional climate conditions. The combination of both bioproxies showed humid conditions during the Lateglacial, followed by drier conditions during the Holocene, resulting in large variations in lake level. Despite not showing a clear evidence of a cold reversal similar to the Antarctic Cold Reversal and/or the Younger Dryas, both records suggest high water levels and oligotrophic conditions between 16.4 and 11.5 cal. ka BP. The lake level drop that occurred at ca 8.7 ka BP is well documented by both bioproxies. (c) 2012 Elsevier Ltd. All rights reserved.</t>
  </si>
  <si>
    <t>[Massaferro, J.] Consejo Nacl Invest Cient &amp; Tecn, CENAC, APN, San Carlos De Bariloche, Rio Negro, Argentina; [Recasens, C.] Univ Geneva, Dept Geol &amp; Paleontol, CH-1211 Geneva, Switzerland; [Larocque-Tobler, I.] LimnoPaleoServ, Lyss, Switzerland; [Maidana, N. I.] Univ Buenos Aires, CONICET, DBBE FCEN, Buenos Aires, DF, Argentina; [Zolitschka, B.] Univ Bremen, Inst Geog, GEOPOLAR, D-28359 Bremen, Germany</t>
  </si>
  <si>
    <t>Consejo Nacional de Investigaciones Cientificas y Tecnicas (CONICET); University of Geneva; Consejo Nacional de Investigaciones Cientificas y Tecnicas (CONICET); University of Buenos Aires; University of Bremen</t>
  </si>
  <si>
    <t>Massaferro, J (corresponding author), Consejo Nacl Invest Cient &amp; Tecn, CENAC, APN, San Carlos De Bariloche, Rio Negro, Argentina.</t>
  </si>
  <si>
    <t>julimassaferro@hotmail.com</t>
  </si>
  <si>
    <t>Zolitschka, Bernd/0000-0001-8256-0420; Maidana, Nora/0000-0002-1429-4834</t>
  </si>
  <si>
    <t>MINCYT Agencia [PICT 02338]; German Climate Research Program DEKLIM [01 LD 0034, 0035]</t>
  </si>
  <si>
    <t>MINCYT Agencia; German Climate Research Program DEKLIM</t>
  </si>
  <si>
    <t>The authors would like to thank all SALSA and PASADO research team members for their help with fieldwork and scientific input during discussions. This is a contribution to the German Climate Research Program DEKLIM (01 LD 0034 and 0035) which funds were obtained for the South Argentinean Lake Sediment Archives and modelling (SALSA) project. We would like to thank the MINCYT Agencia PICT 02338 for their financial support. JM thanks Juan Jose Scagliotti and M. Colombres for chironomid analysis.</t>
  </si>
  <si>
    <t>10.1016/j.quascirev.2012.07.026</t>
  </si>
  <si>
    <t>WOS:000321178500014</t>
  </si>
  <si>
    <t>Jouve, G; Francus, P; Lamoureux, S; Provencher-Nolet, L; Hahn, A; Haberzettl, T; Fortin, D; Nuttin, L</t>
  </si>
  <si>
    <t>Jouve, Guillaume; Francus, Pierre; Lamoureux, Scott; Provencher-Nolet, Laurence; Hahn, Annette; Haberzettl, Torsten; Fortin, David; Nuttin, Laurence</t>
  </si>
  <si>
    <t>Microsedimentological characterization using image analysis and μ-XRF as indicators of sedimentary processes and climate changes during Lateglacial at Laguna Potrok Aike, Santa Cruz, Argentina</t>
  </si>
  <si>
    <t>Sedimentary processes; XRF; Image analysis; Granulometry; Micropumices; Paleoclimate</t>
  </si>
  <si>
    <t>SOUTHERN PATAGONIA; LAGO-CARDIEL; THIN-SECTIONS; ENVIRONMENTAL-CHANGES; LACUSTRINE RECORD; LATE PLEISTOCENE; LAKE-SEDIMENTS; VOLCANIC FIELD; DOME-C; IKAITE</t>
  </si>
  <si>
    <t>Palaeoclimatic and paleoenvironmental high latitude records in the Southern Hemisphere are scarce compared to the northern counterpart. However, understanding global evolution of environmental systems during sudden climate changes is inseparable from an equivalent knowledge of both Hemispheres. In this context, a high-resolution study of lacustrine sediments from Laguna Potrok Aike, Santa Cruz province, Patagonia, Argentina, was conducted for the Lateglacial period using concurrent X-Ray Fluorescence (XRF) and Scanning electron microscope analyses. Peaks of Ca/Si and Mn, and occurrences of the green alga Phacotus lenticularis have been interpreted as variations in ventilation of the water column from 13.6 to 11.1 ka cal. BP. During this interval, mild climate conditions during the Younger Dryas are characterized by relatively weak westerlies favouring the formation of a stratified water body as indicated by preserved manganese and Ca/Si peaks and high Total Organic Carbon (TOC) values. In this environment, water in the epilimnion can reach sufficiently high temperature to allow P. lenticularis to grow. Colder conditions are marked by peaks in Ca without P. lenticularis and occur during the Antarctic Cold Reversal (ACR). In this Lateglacial interval, micropumices were also detected in large amount. Image analysis of thin sections allowed the counting and size measurement of detrital particles and micropumices separately. Micropumices significantly influence the iron and titanium content, hence preventing to use them as proxies of detrital input in this interval. (c) 2012 Elsevier Ltd. All rights reserved.</t>
  </si>
  <si>
    <t>[Jouve, Guillaume; Francus, Pierre; Provencher-Nolet, Laurence; Fortin, David; Nuttin, Laurence] Inst Natl Rech Sci, Ctr Eau Terre &amp; Environm, Quebec City, PQ G1K 9A9, Canada; [Jouve, Guillaume; Francus, Pierre; Fortin, David; Nuttin, Laurence] GEOTOP Res Ctr, Montreal, PQ H3C 3P8, Canada; [Lamoureux, Scott] Queens Univ, Dept Geog, Kingston, ON K7L 3N6, Canada; [Hahn, Annette] Univ Bremen, Inst Geog, Geomorphol &amp; Polar Res GEOPOLAR, D-28359 Bremen, Germany; [Haberzettl, Torsten] Univ Jena, Inst Geog, D-07743 Jena, Germany</t>
  </si>
  <si>
    <t>University of Quebec; Institut national de la recherche scientifique (INRS); Queens University - Canada; University of Bremen; Friedrich Schiller University of Jena</t>
  </si>
  <si>
    <t>Jouve, G (corresponding author), Inst Natl Rech Sci, Ctr Eau Terre &amp; Environm, Quebec City, PQ G1K 9A9, Canada.</t>
  </si>
  <si>
    <t>guillaume.jouve@ete.inrs.ca; pfrancus@ete.inrs.ca; Scott.Lamoureux@queensu.ca; alphie_007@hotmail.com; anhahn@uni-bremen.de; Torsten.Haberzettl@uni-jena.de; david.fortin@ete.inrs.ca; lanuttin@gmail.com</t>
  </si>
  <si>
    <t>Haberzettl, Torsten/AAV-9216-2021; Francus, Pierre/IZD-8849-2023; Francus, Pierre/H-3713-2019</t>
  </si>
  <si>
    <t>Haberzettl, Torsten/0000-0002-6975-9774; Francus, Pierre/0000-0001-5465-1966; Francus, Pierre/0000-0001-5465-1966; Fortin, David/0000-0002-0761-0210; Jouve, Guillaume/0000-0003-4648-4445</t>
  </si>
  <si>
    <t>International Continental Scientific Drilling Program (ICDP) in the framework of the Potrok Aike Maar Lake Sediment Archive Drilling Project (PASADO); ICDP; German Science Foundation (DFG); Swiss National Funds (SNF); Natural Sciences and Engineering Research Council of Canada (NSERC); Swedish Research Council (VR); University of Bremen; NSERC Special Research Opportunities (SRO)</t>
  </si>
  <si>
    <t>International Continental Scientific Drilling Program (ICDP) in the framework of the Potrok Aike Maar Lake Sediment Archive Drilling Project (PASADO); ICDP; German Science Foundation (DFG)(German Research Foundation (DFG)); Swiss National Funds (SNF)(Swiss National Science Foundation (SNSF)); Natural Sciences and Engineering Research Council of Canada (NSERC)(Natural Sciences and Engineering Research Council of Canada (NSERC)); Swedish Research Council (VR)(Swedish Research Council); University of Bremen; NSERC Special Research Opportunities (SRO)</t>
  </si>
  <si>
    <t>This research was supported by the International Continental Scientific Drilling Program (ICDP) in the framework of the Potrok Aike Maar Lake Sediment Archive Drilling Project (PASADO). Funding for drilling was provided by the ICDP, the German Science Foundation (DFG), the Swiss National Funds (SNF), the Natural Sciences and Engineering Research Council of Canada (NSERC), the the Swedish Research Council (VR) and the University of Bremen. NSERC Special Research Opportunities (SRO) provided further support for a PhD fellowship to GJ and analytical expenses. We thank Charles Gobeil for his intellectual input about geochemical interpretations, and the members of INRS-ETE for the valuable comments. We want to thank all reviewers for their necessary comments on the content and the form of our article. We also thank the staff of INTA Santa Cruz and Rio Dulce Catering as well as the Moreteau family and the DOSECC crew for their invaluable help in field logistics and drilling.</t>
  </si>
  <si>
    <t>10.1016/j.quascirev.2012.06.003</t>
  </si>
  <si>
    <t>WOS:000321178500016</t>
  </si>
  <si>
    <t>Fernández, MJ</t>
  </si>
  <si>
    <t>Jara Fernandez, Mauricio</t>
  </si>
  <si>
    <t>GERLACHE'S BELGIQUE IN THE SOCIAL IMAGINARY OF PUNTA ARENAS, 1897-1899</t>
  </si>
  <si>
    <t>REVISTA ESTUDIOS HEMISFERICOS Y POLARES</t>
  </si>
  <si>
    <t>Chile and Gerlache; Antarctica; Punta Arenas; Chilean Antarctic History</t>
  </si>
  <si>
    <t>This article analyzes, based on the information in the newspaper El Magallanes of Punta Arenas and other publications, the perception that was created among the population of this southern Chilean city by the Antarctic expedition of between 1897 and 1899 and the activities carried out by the scientists and crew of the Belgique commanded by Lieutenant Adrien de Gerlache. Due to the fact that this expedition was made up of people from various nations and that it was aimed at reaching the South Pole provoked unusual interest and awoke an attractive interest for scientific topics and southern and antarctic policies.</t>
  </si>
  <si>
    <t>mjara@upla.cl</t>
  </si>
  <si>
    <t>CENTRO ESTUDIOS HEMISFERICOS &amp; POLARES</t>
  </si>
  <si>
    <t>VINA DEL MAR</t>
  </si>
  <si>
    <t>CALLE ROMA, 116, CALETA ABARCA, VINA DEL MAR, 2580060, CHILE</t>
  </si>
  <si>
    <t>0718-9230</t>
  </si>
  <si>
    <t>REV ESTUD HEMISFERIC</t>
  </si>
  <si>
    <t>Rev. Estud. Hemisfericos Polares</t>
  </si>
  <si>
    <t>Area Studies</t>
  </si>
  <si>
    <t>V36HN</t>
  </si>
  <si>
    <t>WOS:000215959400001</t>
  </si>
  <si>
    <t>Rojas, EV</t>
  </si>
  <si>
    <t>Villalon Rojas, Eduardo</t>
  </si>
  <si>
    <t>THE CHILEAN ARMY, WALKING TO THE SOUTH POLE</t>
  </si>
  <si>
    <t>Spanish</t>
  </si>
  <si>
    <t>Army of Chile; Antarctica; Patriot Hills; South Pole</t>
  </si>
  <si>
    <t>This article refers to the successive explorations performed by members of the Chilean Army into the Antarctic Continent between the years 1992 - 1996, activities that allowed a mountain school team conquered the geographic South Pole. The author of this article served as chief of the Army's first expedition to Patriot Hills in 1992 and served as a base for the conquest of the South Pole in 1996. The article is based on reports, documents and experiences of this period.</t>
  </si>
  <si>
    <t>[Villalon Rojas, Eduardo] Ejercito Chile, Santiago, Chile</t>
  </si>
  <si>
    <t>Rojas, EV (corresponding author), Ejercito Chile, Santiago, Chile.</t>
  </si>
  <si>
    <t>evillalon@emoco.mil.cl</t>
  </si>
  <si>
    <t>WOS:000215959400002</t>
  </si>
  <si>
    <t>Montalbán, C</t>
  </si>
  <si>
    <t>Montalban, Cristina</t>
  </si>
  <si>
    <t>VIVENCIAS DISTANTES</t>
  </si>
  <si>
    <t>History; Antartic; Official Mission; Uruguayan Navy</t>
  </si>
  <si>
    <t>Many of the ships that brought scientific expeditions to the Antarctic in preparation for the IGY from 1955 on passed through Montevideo, giving rise to great expectations regarding this event. Uruguay, which had planned to participate in four areas of the programme: gravimetry, meteorology, solar patrols and oceanography, did not manage to obtain the necessary parliamentary approval in time so as to take part. Nevertheless, as regards the Navy, where the Antarctic topic -from always-had a transcendent meaning, a area for participation was found, with their acceptance an invitation from the Argentine navy, so that two missions, each of which was made up of two naval officers, joined the members of the Antarctic task Force. The first of these, integrated with the XXI Campaign, Naval Lieutenant Ruben Varela and Second Lieutenant Hector Bomio, who took part in the preparatory phase of the IGY from September 26, 1956 to March 19, 1957. The second mission -XII Campaign-had the participation of Naval Lieutenant Carlos Rico and Second Lieutenant German Lariau and took place between January 26 and March 20, 1957. The documentation that the officers Bomio and Lariau gathered (which today form part of the Archives of the CEHIS) as well as the interview with Captain Rico, carried out as part of this work, permits us to know the distribution of specific jobs, but above all to calibrate this atypical experience meant professionally for these members of the Uruguayan navy.</t>
  </si>
  <si>
    <t>cristmon@adinet.com.uy</t>
  </si>
  <si>
    <t>WOS:000215959400003</t>
  </si>
  <si>
    <t>Martineau, E; Wood, SA; Miller, MR; Jungblut, AD; Hawes, I; Webster-Brown, J; Packer, MA</t>
  </si>
  <si>
    <t>Martineau, Edouard; Wood, Susanna A.; Miller, Matthew R.; Jungblut, Anne D.; Hawes, Ian; Webster-Brown, Jenny; Packer, Michael A.</t>
  </si>
  <si>
    <t>Characterisation of Antarctic cyanobacteria and comparison with New Zealand strains</t>
  </si>
  <si>
    <t>HYDROBIOLOGIA</t>
  </si>
  <si>
    <t>16S rRNA gene; Eicosapentaenoic acid; Fatty acid; Hexadecatrienoic acid; Hydrocarbons; Lipid class</t>
  </si>
  <si>
    <t>FATTY-ACID-COMPOSITION; HOMOANATOXIN-A; MATS; CHEMOTAXONOMY; MICROCYSTIS; TOLERANCE; DIVERSITY; ANABAENA; LIPIDS; NOSTOC</t>
  </si>
  <si>
    <t>Cyanobacterial mats are common in Antarctic lakes, ponds and on moist soils. The species comprising these mats have adapted to tolerate extreme conditions (e.g. high salinities and UV radiation, freezing and extended periods of darkness). In this study, cyanobacterial mats were collected from shallow melt-water ponds in Pyramid Trough in Southern Victoria Land, Antarctica. Eight strains were isolated and characterised by morphological and molecular (16S rRNA gene sequences) techniques and their fatty acid methyl ester (FAME) and lipid class profiles determined. These data were compared to parallel information obtained from cyanobacterial cultures isolated from New Zealand. In general, the morphological and molecular characterisation complemented each other, and the Antarctic strains identified belonged to the orders: Oscillatoriales (six), Nostocales (one) and Chroococcales (one). Two of the Antarctic strains (CYN67 and CYN68) showed low similarity (&lt; 96% 16S rRNA gene sequence) when compared to other cultured cyanobacteria. The fatty acid (FA) profiles from the Antarctic and New Zealand strains shared many similarities with palmitic (C16:0), stearic (C18:0) and oleic acid (C18:1n-9) most abundant. In contrast, the lipid class analysis differed among geographic locations with Antarctic strains containing higher amounts of hydrocarbons and eicosapentaenoic and hexadecatrienoic acids.</t>
  </si>
  <si>
    <t>[Martineau, Edouard; Wood, Susanna A.; Packer, Michael A.] Cawthron Inst, Nelson, New Zealand; [Martineau, Edouard] ESIL, Marseille, France; [Wood, Susanna A.] Univ Waikato, Dept Biol Sci, Hamilton, New Zealand; [Miller, Matthew R.] New Zealand Inst Plant &amp; Food Res Ltd, Nelson, New Zealand; [Jungblut, Anne D.] Nat Hist Museum, Dept Life Sci, London SW7 5BD, England; [Hawes, Ian] Univ Canterbury, New Zealand Waterways Ctr Freshwater Management, Gateway Antarctica, Christchurch 1, New Zealand; [Webster-Brown, Jenny] Univ Canterbury, New Zealand Waterways Ctr Freshwater Management, Christchurch 1, New Zealand; [Webster-Brown, Jenny] Lincoln Univ, Christchurch, New Zealand</t>
  </si>
  <si>
    <t>Cawthron Institute; Aix-Marseille Universite; University of Waikato; New Zealand Institute for Plant &amp; Food Research Ltd; Natural History Museum London</t>
  </si>
  <si>
    <t>Packer, MA (corresponding author), Cawthron Inst, Private Bag 2, Nelson, New Zealand.</t>
  </si>
  <si>
    <t>mike.packer@cawthron.org.nz</t>
  </si>
  <si>
    <t>Miller, Matthew/AAO-1898-2020</t>
  </si>
  <si>
    <t>Miller, Matthew/0000-0002-5402-7466; Packer, Michael/0000-0003-0854-9711; Webster-Brown, Jenny/0000-0001-9665-871X; Hawes, Ian/0000-0003-2471-6903</t>
  </si>
  <si>
    <t>New Zealand Ministry of Science and Innovation [C01X-0306]; Cawthron Institute</t>
  </si>
  <si>
    <t>New Zealand Ministry of Science and Innovation; Cawthron Institute</t>
  </si>
  <si>
    <t>The authors acknowledge logistic support of Antarctica New Zealand and the financial support from New Zealand Ministry of Science and Innovation through grants C01X-0306 to the National Institute of Water and Atmospheric Research and the Cawthron Institute. We thank for technical assistance. MAP received funding from the Cawthron Institute Internal Investment Fund.</t>
  </si>
  <si>
    <t>0018-8158</t>
  </si>
  <si>
    <t>1573-5117</t>
  </si>
  <si>
    <t>Hydrobiologia</t>
  </si>
  <si>
    <t>10.1007/s10750-013-1473-1</t>
  </si>
  <si>
    <t>135IG</t>
  </si>
  <si>
    <t>WOS:000318281200012</t>
  </si>
  <si>
    <t>Velicogna, I; Wahr, J</t>
  </si>
  <si>
    <t>Velicogna, I.; Wahr, J.</t>
  </si>
  <si>
    <t>Time-variable gravity observations of ice sheet mass balance: Precision and limitations of the GRACE satellite data</t>
  </si>
  <si>
    <t>ice mass balance; sea level; time variable gravity</t>
  </si>
  <si>
    <t>LAST GLACIAL MAXIMUM; SEA-LEVEL; GREENLAND; MODEL; GRAVIMETRY; SURFACE; FIELD</t>
  </si>
  <si>
    <t>[1]Time-variable gravity data from the Gravity Recovery and Climate Experiment (GRACE) mission have been available since 2002 to estimate the mass balance of the Greenland and Antarctic Ice Sheets. We analyze current progress and uncertainties in GRACE estimates of ice sheet mass balance. We discuss the impacts of errors associated with spherical harmonic truncation, spatial averaging, temporal sampling, and leakage from other time-dependent signals (e.g., glacial isostatic adjustment (GIA)). The largest sources of error for Antarctica are the GIA correction, the omission of l=1 terms, nontidal changes in ocean mass, and measurement errors. For Greenland, the errors come mostly from the uncertainty in the scaling factor. Using Release 5.0 (RL05) GRACE fields for January 2003 through November 2012, we find a mass change of -258 +/- 41Gt/yr for Greenland, with an acceleration of -31 +/- 6Gt/yr(2), and a loss that migrated clockwise around the ice sheet margin to progressively affect the entire periphery. For Antarctica, we report changes of -83 +/- 49 and -147 +/- 80Gt/yr for two GIA models, with an acceleration of -12 +/- 9Gt/yr(2) and a dominance from the southeast pacific sector of West Antarctica and the Antarctic Peninsula.</t>
  </si>
  <si>
    <t>[Velicogna, I.] Univ Calif Irvine, Dept Earth Syst Sci, Irvine, CA 92697 USA; [Velicogna, I.] CALTECH, Jet Prop Lab, Pasadena, CA USA; [Wahr, J.] Univ Colorado, Dept Phys, Boulder, CO 80309 USA; [Wahr, J.] Univ Colorado, CIRES, Boulder, CO 80309 USA</t>
  </si>
  <si>
    <t>University of California System; University of California Irvine; California Institute of Technology; National Aeronautics &amp; Space Administration (NASA); NASA Jet Propulsion Laboratory (JPL); University of Colorado System; University of Colorado Boulder; University of Colorado System; University of Colorado Boulder</t>
  </si>
  <si>
    <t>Velicogna, I (corresponding author), Univ Calif Irvine, 226 Croul Hall, Irvine, CA 92697 USA.</t>
  </si>
  <si>
    <t>isabella@uci.edu</t>
  </si>
  <si>
    <t>Velicogna, Isabella/R-5561-2018</t>
  </si>
  <si>
    <t>NASA's Cryospheric Science Program; Solid Earth and Natural Hazards Program; Terrestrial Hydrology Program; IDS Program; MEaSUREs Program</t>
  </si>
  <si>
    <t>NASA's Cryospheric Science Program(National Aeronautics &amp; Space Administration (NASA)); Solid Earth and Natural Hazards Program; Terrestrial Hydrology Program(National Aeronautics &amp; Space Administration (NASA)); IDS Program; MEaSUREs Program</t>
  </si>
  <si>
    <t>This work was performed at the University of California Irvine, the Jet Propulsion Laboratory, California Institute of Technology, and the University of Colorado, and was supported by grants from NASA's Cryospheric Science Program, Solid Earth and Natural Hazards Program, Terrestrial Hydrology Program, IDS Program, and MEaSUREs Program. We thank the editor and one anonymous reviewer for their advice.</t>
  </si>
  <si>
    <t>JUN 28</t>
  </si>
  <si>
    <t>10.1002/grl.50527</t>
  </si>
  <si>
    <t>185FJ</t>
  </si>
  <si>
    <t>WOS:000321951300032</t>
  </si>
  <si>
    <t>Liu, GQ; Perrie, W</t>
  </si>
  <si>
    <t>Liu, Guoqiang; Perrie, William</t>
  </si>
  <si>
    <t>Sea-state-dependent wind work on the oceanic general circulation</t>
  </si>
  <si>
    <t>sea-state-dependent wind stress; wind work on ocean circulation; Southern Ocean; Gulf Stream; Kuroshio; young waves; high winds; enhanced deep sea mixing</t>
  </si>
  <si>
    <t>ENERGY INPUT; SURFACE ROUGHNESS; BOUNDARY-LAYER; POWER INPUT; WAVE AGE; PART I; STRESS; DISSIPATION; CURRENTS</t>
  </si>
  <si>
    <t>We examine sea-state-dependent wind work on the oceanic general circulation, using a wave hindcast dataset, QuikSCAT winds, and geostrophic and total ocean surface currents from (1) AVISO and (2) ECCO2 model products. For wind work on surface geostrophic currents estimated from AVISO or ECCO2, sea-state-dependent wind stress increases an average of 24% (0.17TW) or 23% (0.15TW), compared with estimates that exclude sea state effects. For wind work on the total surface currents, the sea-state-dependent wind stress increases the wind work by about 24% (0.4TW). In terms of spatial distribution, the increase in wind power input occurs mainly in high-wind tropical regions and the mid-latitude storm track regions, like the Antarctic Circumpolar Current region, where the relatively rough ocean surface is characterized by young waves and high winds. By comparison, in some regions with relatively low winds and mature ocean waves, there is a slight reduction in estimated wind power input.</t>
  </si>
  <si>
    <t>[Liu, Guoqiang; Perrie, William] Fisheries &amp; Oceans Canada, Bedford Inst Oceanog, Dartmouth, NS B2Y 4A2, Canada</t>
  </si>
  <si>
    <t>Bedford Institute of Oceanography; Fisheries &amp; Oceans Canada</t>
  </si>
  <si>
    <t>Perrie, W (corresponding author), Fisheries &amp; Oceans Canada, Bedford Inst Oceanog, 1 Challenger Dr,POB 1006, Dartmouth, NS B2Y 4A2, Canada.</t>
  </si>
  <si>
    <t>William.Perrie@dfo-mpo.gc.ca</t>
  </si>
  <si>
    <t>Canadian Panel on Energy Research and Development; National Ocean Partnership Program; Aquatic Climate Change Adaptation Services Program</t>
  </si>
  <si>
    <t>We thank two anonymous reviewers. This paper is supported by the Canadian Panel on Energy Research and Development, the National Ocean Partnership Program, and the Aquatic Climate Change Adaptation Services Program.</t>
  </si>
  <si>
    <t>10.1002/grl.50624</t>
  </si>
  <si>
    <t>WOS:000321951300049</t>
  </si>
  <si>
    <t>Polvani, LM; Smith, KL</t>
  </si>
  <si>
    <t>Polvani, Lorenzo M.; Smith, Karen L.</t>
  </si>
  <si>
    <t>Can natural variability explain observed Antarctic sea ice trends? New modeling evidence from CMIP5</t>
  </si>
  <si>
    <t>Antarctic sea ice; global climate models; natural variability; sea ice trends</t>
  </si>
  <si>
    <t>The recent observed positive trends in total Antarctic sea ice extent are at odds with the expectation of melting sea ice in a warming world. More problematic yet, climate models indicate that sea ice should decrease around Antarctica in response to both increasing greenhouse gases and stratospheric ozone depletion. The resolution of this puzzle, we suggest, may lie in the large natural variability of the coupled atmosphereoceanseaice system. Contrasting forced and control integrations from four stateoftheart Coupled Model Intercomparison Project Phase 5 (CMIP5) models, we show that the observed Antarctic sea ice trend falls well within the distribution of trends arising naturally in the system, and that the forced response in the models is small compared to the natural variability. From this, we conclude that it may prove difficult to attribute the observed trends in total Antarctic sea ice to anthropogenic forcings, although some regional features might be easier to explain.</t>
  </si>
  <si>
    <t>[Polvani, Lorenzo M.] Columbia Univ, Dept Appl Phys &amp; Appl Math, New York, NY USA; [Polvani, Lorenzo M.] Columbia Univ, Dept Earth &amp; Environm Sci, New York, NY USA; [Polvani, Lorenzo M.; Smith, Karen L.] Lamont Doherty Earth Observ, Div Ocean &amp; Climate Phys, Palisades, NY 10964 USA</t>
  </si>
  <si>
    <t>Columbia University; Columbia University; Columbia University</t>
  </si>
  <si>
    <t>Smith, KL (corresponding author), Lamont Doherty Earth Observ, Div Ocean &amp; Climate Phys, 61 Rt 9W,POB 1000, Palisades, NY 10964 USA.</t>
  </si>
  <si>
    <t>ksmith@ldeo.columbia.edu</t>
  </si>
  <si>
    <t>Polvani, Lorenzo M/E-5949-2011</t>
  </si>
  <si>
    <t>Smith, Karen/0000-0002-4652-6310</t>
  </si>
  <si>
    <t>U.S. National Science Foundation (NSF); National Science Foundation; Office of Science (BER) of the U.S. Department of Energy; Directorate For Geosciences; Office of Polar Programs (OPP) [0944063] Funding Source: National Science Foundation</t>
  </si>
  <si>
    <t>U.S. National Science Foundation (NSF)(National Science Foundation (NSF)); National Science Foundation(National Science Foundation (NSF)); Office of Science (BER) of the U.S. Department of Energy(United States Department of Energy (DOE)); Directorate For Geosciences; Office of Polar Programs (OPP)(National Science Foundation (NSF)NSF - Directorate for Geosciences (GEO))</t>
  </si>
  <si>
    <t>This work was funded, in part, by a grant from the U.S. National Science Foundation (NSF) to Columbia University. We acknowledge the World Climate Research Programme's Working Group on Coupled Modelling, which is responsible for CMIP5, and we thank the climate modeling groups for producing and making available their model output. For CMIP, the U. S. Department of Energy Program for Climate Model Diagnosis and Intercomparison provides coordinating support and led development of software infrastructure in partnership with the Global Organization for Earth System Science Portals. The CESM Project is supported by the National Science Foundation and the Office of Science (BER) of the U.S. Department of Energy. K. L. S. is particularly grateful to Harald Reider for his useful feedback, and L. M. P. wishes to thank David Schneider for several enlightening conversations.</t>
  </si>
  <si>
    <t>10.1002/grl.50578</t>
  </si>
  <si>
    <t>WOS:000321951300057</t>
  </si>
  <si>
    <t>Uotila, P; Vihma, T; Tsukernik, M</t>
  </si>
  <si>
    <t>Uotila, Petteri; Vihma, Timo; Tsukernik, Maria</t>
  </si>
  <si>
    <t>Close interactions between the Antarctic cyclone budget and large-scale atmospheric circulation</t>
  </si>
  <si>
    <t>cyclones; Antarctic</t>
  </si>
  <si>
    <t>SOUTHERN ANNULAR MODE; SEA-ICE; TRENDS</t>
  </si>
  <si>
    <t>For the first time, we quantify relationships between the Southern Ocean cyclones and large-scale atmospheric variability indices: the Southern Annular Mode (SAM), the El Nino-Southern Oscillation (ENSO), the Zonal Wave 3 (ZW3) pattern, and the semiannual oscillation (SAO). Using the ERA-Interim 1979-2011 results, we identify cyclones south of 40 degrees S and calculate monthly sectoral cyclone budgets of the Southern Ocean, defined as cyclogenesis minus cyclolysis plus net movement of cyclones into each sector. The SAM index has a strong connection with cyclones across all sectors. Positive SAM values are related to decreased eastward and increased southward movement of cyclones, resulting in higher cyclone densities along the Antarctic coast. The ENSO index shows strong associations with the cyclone behavior in the Amundsen-Ross Seas, whereas other regions are less sensitive to it. The ZW3 index has a stronger association with the meridional movement of cyclones than other indices.</t>
  </si>
  <si>
    <t>[Uotila, Petteri; Vihma, Timo] Finnish Meteorol Inst, FIN-00101 Helsinki, Finland; [Uotila, Petteri] CSIRO, Aspendale, Vic 3195, Australia; [Tsukernik, Maria] Brown Univ, Environm Change Initiat, Providence, RI 02912 USA</t>
  </si>
  <si>
    <t>Finnish Meteorological Institute; Commonwealth Scientific &amp; Industrial Research Organisation (CSIRO); Brown University</t>
  </si>
  <si>
    <t>Uotila, P (corresponding author), CSIRO, Private Bag 1, Aspendale, Vic 3195, Australia.</t>
  </si>
  <si>
    <t>petteri.uotila@csiro.au</t>
  </si>
  <si>
    <t>Uotila, Petteri/A-1703-2012; Vihma, Timo/ABC-9771-2020</t>
  </si>
  <si>
    <t>Uotila, Petteri/0000-0002-2939-7561;</t>
  </si>
  <si>
    <t>Academy of Finland through the AMICO project [128533, 263918]; Academy of Finland (AKA) [128533] Funding Source: Academy of Finland (AKA)</t>
  </si>
  <si>
    <t>Academy of Finland through the AMICO project; Academy of Finland (AKA)(Research Council of Finland)</t>
  </si>
  <si>
    <t>The research was funded by the Academy of Finland through the AMICO project (grants 128533 and 263918). The ECMWF is acknowledged for providing us with the ERA-Interim results. We thank two anonymous reviewers for constructive comments on the manuscript.</t>
  </si>
  <si>
    <t>10.1002/grl.50560</t>
  </si>
  <si>
    <t>WOS:000321951300064</t>
  </si>
  <si>
    <t>Meredith, NP; Horne, RB; Bortnik, J; Thorne, RM; Chen, LJ; Li, W; Sicard-Piet, A</t>
  </si>
  <si>
    <t>Meredith, Nigel P.; Horne, Richard B.; Bortnik, Jacob; Thorne, Richard M.; Chen, Lunjin; Li, Wen; Sicard-Piet, Angelica</t>
  </si>
  <si>
    <t>Global statistical evidence for chorus as the embryonic source ofplasmaspheric hiss</t>
  </si>
  <si>
    <t>plasmaspheric hiss; chorus</t>
  </si>
  <si>
    <t>PLASMASPHERIC HISS; ORIGIN; EMISSIONS</t>
  </si>
  <si>
    <t>The origin of plasmaspheric hiss, the electromagnetic emission responsible for the gap between the inner and outer radiation belts, has been debated for over four decades. Recently, a new theory proposed that chorus, which is excited in the equatorial region outside the plasmapause, can propagate to low altitudes on the dayside and evolve into plasmaspheric hiss. Here we combine data from six satellites and show that chorus extends along the Earth's magnetic field to high latitudes in the prenoon sector, and, in the equatorial region, there is a clear gap of the order of 1-2 Earth radii between plasmaspheric hiss at L&lt;4 and chorus further out, consistent with ray tracing modeling from a chorus source. Our observations confirm two of the key predictions of the new theory and provide the first statistical evidence for chorus as the embryonic source of plasmaspheric hiss.</t>
  </si>
  <si>
    <t>[Meredith, Nigel P.; Horne, Richard B.] British Antarctic Survey, Nat Environm Res Council, Cambridge CB3 0ET, England; [Bortnik, Jacob; Thorne, Richard M.; Chen, Lunjin; Li, Wen] Univ Calif Los Angeles, Dept Atmospher &amp; Ocean Sci, Los Angeles, CA USA; [Sicard-Piet, Angelica] Off Natl Etud &amp; Rech Aerosp, Toulouse, France</t>
  </si>
  <si>
    <t>UK Research &amp; Innovation (UKRI); Natural Environment Research Council (NERC); NERC British Antarctic Survey; University of California System; University of California Los Angeles; National Office for Aerospace Studies &amp; Research (ONERA)</t>
  </si>
  <si>
    <t>Meredith, NP (corresponding author), British Antarctic Survey, Nat Environm Res Council, Madingley Rd, Cambridge CB3 0ET, England.</t>
  </si>
  <si>
    <t>nmer@bas.ac.uk</t>
  </si>
  <si>
    <t>Li, Wen/F-3722-2011; Meredith, Nigel P/C-5806-2018; Horne, Richard B/U-3764-2019; Chen, Lunjin/L-1250-2013</t>
  </si>
  <si>
    <t>Horne, Richard B/0000-0002-0412-6407; Meredith, Nigel/0000-0001-5032-3463; Chen, Lunjin/0000-0003-2489-3571; Sicard, Angelica/0000-0001-7810-1432</t>
  </si>
  <si>
    <t>NSF [AGS0840178]; NASA [NNX11AR64G, NNX11AD75G]; European Union [262468]; Natural Environment Research Council; NERC [bas0100023] Funding Source: UKRI; Natural Environment Research Council [bas0100023] Funding Source: researchfish; Directorate For Geosciences [0840178] Funding Source: National Science Foundation; Div Atmospheric &amp; Geospace Sciences [0840178] Funding Source: National Science Foundation; NASA [148139, NNX11AD75G] Funding Source: Federal RePORTER</t>
  </si>
  <si>
    <t>NSF(National Science Foundation (NSF)); NASA(National Aeronautics &amp; Space Administration (NASA)); European Union(European Union (EU));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Geosciences(National Science Foundation (NSF)NSF - Directorate for Geosciences (GEO)); Div Atmospheric &amp; Geospace Sciences(National Science Foundation (NSF)NSF - Directorate for Geosciences (GEO)); NASA(National Aeronautics &amp; Space Administration (NASA))</t>
  </si>
  <si>
    <t>We thank K. H. Yearby and V. Angelopoulos for provision of data from Double Star TC-1 and THEMIS, respectively. We acknowledge the CDAWeb and Cluster Active Archive Web sites for provision of data from DE1 and Cluster, respectively. We also acknowledge NSF grant AGS0840178 and NASA grants NNX11AR64G and NNX11AD75G. The research leading to these results has received funding from the European Union Seventh Framework Programme (FP7/2007-2013) under grant agreement 262468 and the Natural Environment Research Council.</t>
  </si>
  <si>
    <t>10.1002/grl.50593</t>
  </si>
  <si>
    <t>WOS:000321951300003</t>
  </si>
  <si>
    <t>Zhang, QH; Zhang, BC; Moen, J; Lockwood, M; McCrea, IW; Yang, HG; Hu, HQ; Liu, RY; Zhang, SR; Lester, M</t>
  </si>
  <si>
    <t>Zhang, Q. -H.; Zhang, B. -C.; Moen, J.; Lockwood, M.; McCrea, I. W.; Yang, H. -G.; Hu, H. -Q.; Liu, R. -Y.; Zhang, S. -R.; Lester, M.</t>
  </si>
  <si>
    <t>Polar cap patch segmentation of the tongue of ionization in the morning convection cell</t>
  </si>
  <si>
    <t>Polar cap patches; tongue of ionization; poleward-moving plasma concentration enhancements</t>
  </si>
  <si>
    <t>EISCAT SVALBARD RADAR; MAGNETOPAUSE RECONNECTION; IONOSPHERE; BOUNDARY; DYNAMICS; DENSITY; FLOWS</t>
  </si>
  <si>
    <t>Two types of poleward moving plasma concentration enhancements (PMPCEs) were observed during a sequence of pulsed reconnection events, both in the morning convection cell: Type L (low density) was associated with a cusp flow channel and seems likely to have been produced by ionization associated with particle precipitation, while Type H (high density) appeared to originate from the segmentation of the tongue of ionization by the processes which produced the Type L events. As a result, the Type L and Type H PMPCEs were interspersed, producing a complex density structure which underlines the importance of cusp flow channels as a mechanism for segmenting and structuring electron density in the cusp and shows the necessity of differentiating between at least two classes of electron density patches.</t>
  </si>
  <si>
    <t>[Zhang, Q. -H.; Zhang, B. -C.; Yang, H. -G.; Hu, H. -Q.; Liu, R. -Y.] Polar Res Inst China, SOA Key Lab Polar Sci, Shanghai 200136, Peoples R China; [Zhang, Q. -H.] Chinese Acad Sci, Sate Key Lab Space Weather, Beijing, Peoples R China; [Moen, J.] Univ Oslo, Dept Phys, Oslo, Norway; [Lockwood, M.] Univ Reading, Dept Meteorol, Reading, Berks, England; [McCrea, I. W.] Rutherford Appleton Lab, SSTD, Didcot OX11 0QX, Oxon, England; [Zhang, S. -R.] MIT, Haystack Observ, Westford, MA 01886 USA; [Lester, M.] Univ Leicester, Dept Phys &amp; Astron, Leicester LE1 7RH, Leics, England</t>
  </si>
  <si>
    <t>Polar Research Institute of China; Chinese Academy of Sciences; University of Oslo; University of Reading; UK Research &amp; Innovation (UKRI); Science &amp; Technology Facilities Council (STFC); STFC Rutherford Appleton Laboratory; Massachusetts Institute of Technology (MIT); University of Leicester</t>
  </si>
  <si>
    <t>Zhang, QH (corresponding author), Polar Res Inst China, 451 Jinqiao Rd, Shanghai 200136, Peoples R China.</t>
  </si>
  <si>
    <t>zhangqinghe@pric.gov.cn</t>
  </si>
  <si>
    <t>Zhang, Qing-He/G-4572-2014; Lester, Mark/C-9657-2016; Lockwood, Mike/G-1030-2011; Zhang, Shun-Rong/G-7593-2015</t>
  </si>
  <si>
    <t>Zhang, Qing-He/0000-0003-2429-4050; Lockwood, Mike/0000-0002-7397-2172; Zhang, Shun-Rong/0000-0002-1946-3166; Zhang, Beichen/0000-0002-0927-9568</t>
  </si>
  <si>
    <t>National Basic Research Program of China [2012CB825603]; National Natural Science Foundation of China [41274149, 41104091, 41031064, 40890164]; International Collaboration Supporting Project, Chinese Arctic and Antarctic Administration [IC201112]; Specialized Research Fund for State Key Laboratories; Ocean Public Welfare Scientific Research Project, State Oceanic Administration People's Republic of China [201005017]; Norwegian Research Council; COST [ES803]; STFC [ST/H002480/1]; Science and Technology Facilities Council [ST/H002480/1] Funding Source: researchfish; Directorate For Geosciences; Div Atmospheric &amp; Geospace Sciences [1242204] Funding Source: National Science Foundation; STFC [ST/H002480/1] Funding Source: UKRI</t>
  </si>
  <si>
    <t>National Basic Research Program of China(National Basic Research Program of China); National Natural Science Foundation of China(National Natural Science Foundation of China (NSFC)); International Collaboration Supporting Project, Chinese Arctic and Antarctic Administration; Specialized Research Fund for State Key Laboratories; Ocean Public Welfare Scientific Research Project, State Oceanic Administration People's Republic of China; Norwegian Research Council(Research Council of Norway); COST(European Cooperation in Science and Technology (COST)); STFC(UK Research &amp; Innovation (UKRI)Science &amp; Technology Facilities Council (STFC)); Science and Technology Facilities Council(UK Research &amp; Innovation (UKRI)Science &amp; Technology Facilities Council (STFC)); Directorate For Geosciences; Div Atmospheric &amp; Geospace Sciences(National Science Foundation (NSF)NSF - Directorate for Geosciences (GEO)); STFC(UK Research &amp; Innovation (UKRI)Science &amp; Technology Facilities Council (STFC))</t>
  </si>
  <si>
    <t>This work is supported by the National Basic Research Program of China (grant 2012CB825603), the National Natural Science Foundation of China (grants 41274149, 41104091, 41031064, and 40890164), and the International Collaboration Supporting Project, Chinese Arctic and Antarctic Administration (IC201112), and the project is supported by the Specialized Research Fund for State Key Laboratories, and Ocean Public Welfare Scientific Research Project, State Oceanic Administration People's Republic of China (201005017). J. Moen is supported by the Norwegian Research Council and COST ES803. M. Lester is supported by STFC grantST/H002480/1. We thank the MIT Haystack Observatory for generating GPS TEC data and making them available through the Madrigal Database (http://madrigal.haystack.mit.edu/) and the NASA CDAWeb site for supplying us the solar wind and IMF data from the ACE spacecraft.</t>
  </si>
  <si>
    <t>10.1002/grl.50616</t>
  </si>
  <si>
    <t>Green Published, Green Accepted</t>
  </si>
  <si>
    <t>WOS:000321951300008</t>
  </si>
  <si>
    <t>Arndt, JE; Schenke, HW; Jakobsson, M; Nitsche, FO; Buys, G; Goleby, B; Rebesco, M; Bohoyo, F; Hong, J; Black, J; Greku, R; Udintsev, G; Barrios, F; Reynoso-Peralta, W; Taisei, M; Wigley, R</t>
  </si>
  <si>
    <t>Arndt, Jan Erik; Schenke, Hans Werner; Jakobsson, Martin; Nitsche, Frank O.; Buys, Gwen; Goleby, Bruce; Rebesco, Michele; Bohoyo, Fernando; Hong, Jongkuk; Black, Jenny; Greku, Rudolf; Udintsev, Gleb; Barrios, Felipe; Reynoso-Peralta, Walter; Taisei, Morishita; Wigley, Rochelle</t>
  </si>
  <si>
    <t>The International Bathymetric Chart of the Southern Ocean (IBCSO) Version 1.0-A new bathymetric compilation covering circum-Antarctic waters</t>
  </si>
  <si>
    <t>bathymetry; seafloor; IBCSO; IBCAO</t>
  </si>
  <si>
    <t>The International Bathymetric Chart of the Southern Ocean (IBCSO) Version 1.0 is a new digital bathymetric model (DBM) portraying the seafloor of the circum-Antarctic waters south of 60 degrees S. IBCSO is a regional mapping project of the General Bathymetric Chart of the Oceans (GEBCO). The IBCSO Version 1.0 DBM has been compiled from all available bathymetric data collectively gathered by more than 30 institutions from 15 countries. These data include multibeam and single-beam echo soundings, digitized depths from nautical charts, regional bathymetric gridded compilations, and predicted bathymetry. Specific gridding techniques were applied to compile the DBM from the bathymetric data of different origin, spatial distribution, resolution, and quality. The IBCSO Version 1.0 DBM has a resolution of 500 x 500 m, based on a polar stereographic projection, and is publicly available together with a digital chart for printing from the project website (www.ibcso.org) and at .</t>
  </si>
  <si>
    <t>[Arndt, Jan Erik; Schenke, Hans Werner] Alfred Wegener Inst Polar &amp; Marine Res, Bremerhaven, Germany; [Jakobsson, Martin] Stockholm Univ, Dept Geol Sci, S-10691 Stockholm, Sweden; [Nitsche, Frank O.] Columbia Univ, Lamont Doherty Earth Observ, Palisades, NY USA; [Buys, Gwen] British Antarctic Survey, Cambridge CB3 0ET, England; [Goleby, Bruce] Geosci Australia, Canberra, ACT, Australia; [Rebesco, Michele] Ist Nazl Oceanog &amp; Geofis Sperimentale, Sgonico, Italy; [Bohoyo, Fernando] Inst Geol &amp; Minero Espana, Madrid, Spain; [Hong, Jongkuk] Korean Polar Res Inst, Inchon, South Korea; [Black, Jenny] Inst Geol &amp; Nucl Sci, Lower Hutt, New Zealand; [Greku, Rudolf] Ukrainian Acad Sci, Inst Geol Sci, Kiev, Ukraine; [Udintsev, Gleb] Vemadsky Inst Geochem &amp; Analyt Chem, Moscow, Russia; [Barrios, Felipe] Serv Hidrog &amp; Oceanog, Valparaiso, Chile; [Reynoso-Peralta, Walter] Serv Hidrog Naval, Buenos Aires, DF, Argentina; [Taisei, Morishita] Japan Coast Guard, Hydrog &amp; Oceanog Dept, Tokyo, Japan; [Wigley, Rochelle] Univ New Hampshire, Ctr Coastal &amp; Ocean Mapping, Joint Hydrog Ctr, Durham, NH 03824 USA</t>
  </si>
  <si>
    <t>Helmholtz Association; Alfred Wegener Institute, Helmholtz Centre for Polar &amp; Marine Research; Stockholm University; Columbia University; UK Research &amp; Innovation (UKRI); Natural Environment Research Council (NERC); NERC British Antarctic Survey; Geoscience Australia; Istituto Nazionale di Oceanografia e di Geofisica Sperimentale; Korea Polar Research Institute (KOPRI); GNS Science - New Zealand; National Academy of Sciences Ukraine; Institute of Geological Sciences, National Academy of Sciences of Ukraine; Russian Academy of Sciences; Vernadsky Institute of Geochemistry &amp; Analytical Chemistry; Servicio de Hidrografia Naval; University System Of New Hampshire; University of New Hampshire</t>
  </si>
  <si>
    <t>Arndt, JE (corresponding author), Alfred Wegener Inst Polar &amp; Marine Res, Bremerhaven, Germany.</t>
  </si>
  <si>
    <t>Jan.Erik.Arndt@awi.de</t>
  </si>
  <si>
    <t>Rebesco, Michele/B-7462-2014; Bohoyo, Fernando/AAZ-5990-2021; Jakobsson, Martin/F-6214-2010; Jakobsson, Martin/JAN-6828-2023; Nitsche, Frank O/A-9343-2009; Bohoyo, Fernando/C-1062-2011</t>
  </si>
  <si>
    <t>Rebesco, Michele/0000-0002-9492-4081; Bohoyo, Fernando/0000-0002-1044-8816; Nitsche, Frank O/0000-0002-4137-547X; Bohoyo, Fernando/0000-0002-1044-8816; Wigley, Rochelle/0000-0003-2792-5663; Jakobsson, Martin/0000-0002-9033-3559; Arndt, Jan Erik/0000-0002-9413-1612</t>
  </si>
  <si>
    <t>IHO/IOC GEBCO; Directorate For Geosciences; Office of Polar Programs (OPP) [0739330] Funding Source: National Science Foundation; Natural Environment Research Council [bas010011] Funding Source: researchfish; NERC [bas010011] Funding Source: UKRI</t>
  </si>
  <si>
    <t>IHO/IOC GEBCO;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</si>
  <si>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work was supported by IHO/IOC GEBCO. We thank all contributors to IBCSO. Special thanks to all captains, crews, and scientists responsible in acquiring, processing and cleaning the bathymetric data in the harsh conditions of the Southern Ocean. We also thank Colin P. Summerhayes (SCAR Executive Director 2004-2010) and Norbert Ott (IBCSO Editor 2007-2010) for their efforts, Teresa Schwenn and Lars Radig for their support in designing the printable chart and Boris Dorschel for assisting in the evaluation of the paper.</t>
  </si>
  <si>
    <t>10.1002/grl.50413</t>
  </si>
  <si>
    <t>WOS:000321951300042</t>
  </si>
  <si>
    <t>Nikurashin, M; Ferrari, R</t>
  </si>
  <si>
    <t>Nikurashin, Maxim; Ferrari, Raffaele</t>
  </si>
  <si>
    <t>Overturning circulation driven by breaking internal waves in the deep ocean</t>
  </si>
  <si>
    <t>internal waves; internal tides; lee waves; turbulent mixing; water-mass transformation; overturning circulation</t>
  </si>
  <si>
    <t>WATER MASS FORMATION; DISSIPATION; GENERATION; TIDES</t>
  </si>
  <si>
    <t>A global estimate of the water-mass transformation by internal wave-driven mixing in the deep ocean is presented. The estimate is based on the energy conversion from tidal and geostrophic motions into internal waves combined with a turbulent mixing parameterization. We show that internal wave-driven mixing in the deep ocean can sustain 20-30Sv of water-mass transformation. One third or more of this transformation is attributed to lee waves generated by geostrophic motions flowing over rough topography, primarily in the Southern Ocean. While these results are uncertain due to many assumptions, poorly constrained parameters and data noise that enter in the calculation, the result that lee wave-driven mixing plays an important role in the abyssal ocean circulation is likely robust. The implication is that lee wave-driven mixing should be represented in ocean and climate models, but currently it is not.</t>
  </si>
  <si>
    <t>[Nikurashin, Maxim] Univ Tasmania, Inst Marine &amp; Antarctic Studies, Hobart, Tas, Australia; [Ferrari, Raffaele] MIT, Dept Earth Atmospher &amp; Planetary Sci, Cambridge, MA USA</t>
  </si>
  <si>
    <t>University of Tasmania; Massachusetts Institute of Technology (MIT)</t>
  </si>
  <si>
    <t>Nikurashin, M (corresponding author), Univ Tasmania, Inst Marine &amp; Antarctic Studies, Hobart, Tas, Australia.</t>
  </si>
  <si>
    <t>man@alum.mit.edu</t>
  </si>
  <si>
    <t>Ferrari, Raffaele/C-9337-2013; Nikurashin, Maxim/J-3506-2013; Nikurashin, Maxim/P-4018-2019</t>
  </si>
  <si>
    <t>Ferrari, Raffaele/0000-0002-3736-1956; Nikurashin, Maxim/0000-0002-5714-8343</t>
  </si>
  <si>
    <t>National Science Foundation [OCE-1024198]; Division Of Ocean Sciences; Directorate For Geosciences [1024198] Funding Source: National Science Foundation</t>
  </si>
  <si>
    <t>National Science Foundation(National Science Foundation (NSF)); Division Of Ocean Sciences; Directorate For Geosciences(National Science Foundation (NSF)NSF - Directorate for Geosciences (GEO))</t>
  </si>
  <si>
    <t>We would like to thank Jonas Nycander, Stephanie Waterman, Carl Wunsch, and an anonymous reviewer for their useful comments. This research was supported by the National Science Foundation under award OCE-1024198.</t>
  </si>
  <si>
    <t>10.1002/grl.50542</t>
  </si>
  <si>
    <t>WOS:000321951300046</t>
  </si>
  <si>
    <t>Mashayek, A; Ferrari, R; Vettoretti, G; Peltier, WR</t>
  </si>
  <si>
    <t>Mashayek, A.; Ferrari, R.; Vettoretti, G.; Peltier, W. R.</t>
  </si>
  <si>
    <t>The role of the geothermal heat flux in driving the abyssal ocean circulation</t>
  </si>
  <si>
    <t>geothermal heat flux; ocean mixing; abyssal mixing; abyssal circulation</t>
  </si>
  <si>
    <t>OVERTURNING CIRCULATION; SNOWBALL; DYNAMICS; MODEL</t>
  </si>
  <si>
    <t>The results presented in this paper demonstrate that the geothermal heat flux (GHF) from the solid Earth into the ocean plays a non-negligible role in determining both abyssal stratification and circulation strength. Based upon an ocean data set, we show that the map of upward heat flux at the ocean floor is consistent (within a factor of 2) with the ocean floor age-dependent map of GHF. The observed buoyancy flux above the ocean floor is consistent with previous suggestions that the GHF acts to erode the abyssal stratification and thereby enhances the strength of the abyssal circulation. Idealized numerical simulations are performed using a zonally averaged single-basin model which enables us to address the GHF impact as a function of the depth dependence of diapycnal diffusivity. We show that ignoring this vertical variation leads to an under-prediction of the influence of the GHF on the abyssal circulation. Independent of the diffusivity profile, introduction of the GHF in the model leads to steepening of the Southern Ocean isopycnals and to strengthening of the eddy-induced circulation and the Antarctic bottom water cell. The enhanced circulation ventilates the GHF derived heating to shallow depths, primarily in the Southern Ocean.</t>
  </si>
  <si>
    <t>[Mashayek, A.; Vettoretti, G.; Peltier, W. R.] Univ Toronto, Dept Phys, Toronto, ON M5S 1A7, Canada; [Ferrari, R.] MIT, Dept Earth Atmospher &amp; Planetary Sci, Cambridge, MA USA</t>
  </si>
  <si>
    <t>University of Toronto; Massachusetts Institute of Technology (MIT)</t>
  </si>
  <si>
    <t>Mashayek, A (corresponding author), Univ Toronto, 60 St George St,Room 609, Toronto, ON M5S 1A7, Canada.</t>
  </si>
  <si>
    <t>amashaye@atmosp.physics.utoronto.ca</t>
  </si>
  <si>
    <t>Ferrari, Raffaele/C-9337-2013; Peltier, William R./A-1102-2008</t>
  </si>
  <si>
    <t>Ferrari, Raffaele/0000-0002-3736-1956;</t>
  </si>
  <si>
    <t>CNC/SCOR CMOS NSERC; CGCS fellowship; NSERC [A9627]; [NSF/OCE-1024198]; Directorate For Geosciences; Division Of Ocean Sciences [1233832] Funding Source: National Science Foundation</t>
  </si>
  <si>
    <t>CNC/SCOR CMOS NSERC; CGCS fellowship; NSERC(Natural Sciences and Engineering Research Council of Canada (NSERC)); ; Directorate For Geosciences; Division Of Ocean Sciences(National Science Foundation (NSF)NSF - Directorate for Geosciences (GEO))</t>
  </si>
  <si>
    <t>This collaborative work was initiated and partly supported by a CNC/SCOR CMOS NSERC supplement as well as a CGCS fellowship to AM. We wish to thank M. Nikurashin and G. Stuhne for their help with implementation of the numerical model and J. Emile-Geay for providing the geothermal heat flux data used in Figure 1. The research of WRP is supported by NSERC Discovery Grant A9627 and research of RF is supported by NSF/OCE-1024198 grant.</t>
  </si>
  <si>
    <t>10.1002/grl.50640</t>
  </si>
  <si>
    <t>WOS:000321951300048</t>
  </si>
  <si>
    <t>Rowley, DB; Forte, AM; Moucha, R; Mitrovica, JX; Simmons, NA; Grand, SP</t>
  </si>
  <si>
    <t>Rowley, David B.; Forte, Alessandro M.; Moucha, Robert; Mitrovica, Jerry X.; Simmons, Nathan A.; Grand, Stephen P.</t>
  </si>
  <si>
    <t>Dynamic Topography Change of the Eastern United States Since 3 Million Years Ago</t>
  </si>
  <si>
    <t>SEA-LEVEL FLUCTUATIONS; NEW-JERSEY; PLIOCENE; RECORD; COREHOLES; DRIVEN</t>
  </si>
  <si>
    <t>Sedimentary rocks from Virginia through Florida record marine flooding during the mid-Pliocene. Several wave-cut scarps that at the time of deposition would have been horizontal are now draped over a warped surface with a maximum variation of 60 meters. We modeled dynamic topography by using mantle convection simulations that predict the amplitude and broad spatial distribution of this distortion. The results imply that dynamic topography and, to a lesser extent, glacial isostatic adjustment account for the current architecture of the coastal plain and proximal shelf. This confounds attempts to use regional stratigraphic relations as references for longer-term sea-level determinations. Inferences of Pliocene global sea-level heights or stability of Antarctic ice sheets therefore cannot be deciphered in the absence of an appropriate mantle dynamic reference frame.</t>
  </si>
  <si>
    <t>[Rowley, David B.] Univ Chicago, Dept Geophys Sci, Chicago, IL 60637 USA; [Forte, Alessandro M.] Univ Quebec, GEOTOP, Montreal, PQ H3C 3P8, Canada; [Moucha, Robert] Syracuse Univ, Dept Earth Sci, Heroy Geol Lab 204, Syracuse, NY 13244 USA; [Mitrovica, Jerry X.] Harvard Univ, Dept Earth &amp; Planetary Sci, Cambridge, MA 02138 USA; [Simmons, Nathan A.] Lawrence Livermore Natl Lab, Atmospher Earth &amp; Energy Div, Livermore, CA 94551 USA; [Grand, Stephen P.] Univ Texas Austin, Jackson Sch Geol Sci, Austin, TX 78712 USA</t>
  </si>
  <si>
    <t>University of Chicago; University of Quebec; University of Quebec Montreal; Syracuse University; Harvard University; United States Department of Energy (DOE); Lawrence Livermore National Laboratory; University of Texas System; University of Texas Austin</t>
  </si>
  <si>
    <t>Rowley, DB (corresponding author), Univ Chicago, Dept Geophys Sci, 5734 S Ellis Ave, Chicago, IL 60637 USA.</t>
  </si>
  <si>
    <t>drowley@uchicago.edu</t>
  </si>
  <si>
    <t>Grand, Stephen/B-4238-2011; Simmons, Nathan Alan/J-9022-2014</t>
  </si>
  <si>
    <t>Forte, Alessandro/0000-0002-3530-0455; Rowley, David/0000-0001-9767-9029; Simmons, Nathan/0000-0002-1560-059X; Moucha, Robert/0000-0001-8393-4279</t>
  </si>
  <si>
    <t>Canadian Institute for Advanced Research (CIFAR); Natural Sciences and Engineering Research Council of Canada; Canada Research Chair Program; U.S. Department of Energy [DE-AC52-07NA27344]; NSF [EAR0309189, OCE-1202632]; Harvard University; U.S. Department of Energy by Lawrence Livermore National Laboratory [DE-AC52-07NA27344]; Directorate For Geosciences; Division Of Ocean Sciences [1202632] Funding Source: National Science Foundation</t>
  </si>
  <si>
    <t>Canadian Institute for Advanced Research (CIFAR)(Canadian Institute for Advanced Research (CIFAR)); Natural Sciences and Engineering Research Council of Canada(Natural Sciences and Engineering Research Council of Canada (NSERC)CGIAR); Canada Research Chair Program(Canada Research Chairs); U.S. Department of Energy(United States Department of Energy (DOE)); NSF(National Science Foundation (NSF)); Harvard University; U.S. Department of Energy by Lawrence Livermore National Laboratory(United States Department of Energy (DOE)); Directorate For Geosciences; Division Of Ocean Sciences(National Science Foundation (NSF)NSF - Directorate for Geosciences (GEO))</t>
  </si>
  <si>
    <t>D.B.R., A. M. F., and J.X.M. thank the Canadian Institute for Advanced Research (CIFAR) for research support and a postdoctoral fellowship to R. M. and members of the Earth Systems Evolution Program of CIFAR for discussions and encouragement. We also acknowledge funding from Natural Sciences and Engineering Research Council of Canada and the Canada Research Chair Program (A. M. F.), the U.S. Department of Energy under contract DE-AC52-07NA27344 (N.A.S.), NSF grants EAR0309189 (S. P. G.) and OCE-1202632 (J.X.M.), and Harvard University (J.X.M.). Work by N.A.S. is performed under the auspices of the U.S. Department of Energy by Lawrence Livermore National Laboratory under contract DE-AC52-07NA27344. Data are available online in the supplementary materials. D. B. R. was responsible for the geology and data integration and thanks T. Komacek for help compiling Pliocene marine localities along the Coastal Plain; A. M. F. and R. M. were responsible for the dynamic topography calculations; J.X.M. for glacial isostatic adjustment calculations; and N.A.S. and S. P. G., for the global seismic tomography, which, working together with A. M. F., yielded the buoyancy field that underlies the dynamic topography calculations.</t>
  </si>
  <si>
    <t>1095-9203</t>
  </si>
  <si>
    <t>10.1126/science.1229180</t>
  </si>
  <si>
    <t>172ME</t>
  </si>
  <si>
    <t>WOS:000321007000038</t>
  </si>
  <si>
    <t>Aarons, SM; Aciego, SM; Gleason, JD</t>
  </si>
  <si>
    <t>Aarons, S. M.; Aciego, S. M.; Gleason, J. D.</t>
  </si>
  <si>
    <t>Variable Hf- Sr- Nd radiogenic isotopic compositions in a Saharan dust storm over the Atlantic: Implications for dust flux to oceans, ice sheets and the terrestrial biosphere</t>
  </si>
  <si>
    <t>CHEMICAL GEOLOGY</t>
  </si>
  <si>
    <t>Dust; Hf; Sr; Nd; Zircon effect</t>
  </si>
  <si>
    <t>AEOLIAN DUST; EAST ANTARCTICA; MINERAL-DUST; AFRICAN DUST; HAFNIUM; SEAWATER; TRANSPORT; NEODYMIUM; CIRCULATION; TRACERS</t>
  </si>
  <si>
    <t>Isotopic characterization of aerosol mineral particles (atmospheric dust) of varying sizes is essential in classifying source areas, and for determining the source of dust deposited over oceans and icesheets. However, the effect of atmospheric transport on radiogenic isotopic compositions is not well constrained, making provenance interpretation difficult. In order to investigate the isotopic variability of Hf-176/Hf-177, Sr-87/Sr-86 and Nd-143/Nd-144 we analyzed eight airborne dust samples in two size fractions collected along a cross-Atlantic transect through a dust storm originating in the Sahara in late 2002. Past measurements of Hf-176/Hf-177, Sr-87/Sr-86 and Nd-143/Nd-144 of dust have focused primarily on coarse sized particles (&lt;30 mu m), whereas far field deposition is primarily finer particles (&lt;2 mu m). Strontium or neodymium isotopic sorting based on distance is not evident in our dataset; however, the combined isotopic ratios of the dust collected suggest a Saharan origin. Hafnium isotopic compositions show an east to west trend towards more radiogenic compositions across the Atlantic, suggesting grain and mineral sorting during dust transport along the similar to 4000 km transect. Transport models with variable dust particle diameter and wind speed demonstrate the preferential depletion of the high-density mineral zircon during transport of dust from the source area. The transport model combined with a simple two component mixing model show that the Hf isotopic composition changes can be explained by the loss of the mineral zircon during transport. Modeling of this zircon effect with distance from the dust source in the Hf isotopic composition of marine, terrestrial and glacial dust deposits may reveal additional information concerning dust transport and sources in the geologic past. (C) 2013 Elsevier B.V. All rights reserved.</t>
  </si>
  <si>
    <t>[Aarons, S. M.; Aciego, S. M.; Gleason, J. D.] Univ Michigan, Dept Earth &amp; Environm Sci, Ann Arbor, MI 48109 USA</t>
  </si>
  <si>
    <t>University of Michigan System; University of Michigan</t>
  </si>
  <si>
    <t>Aarons, SM (corresponding author), Univ Michigan, Dept Earth &amp; Environm Sci, 2534 CC Little Bldg, Ann Arbor, MI 48109 USA.</t>
  </si>
  <si>
    <t>smaarons@umich.edu</t>
  </si>
  <si>
    <t>Aarons, Sarah/0000-0002-3580-0820</t>
  </si>
  <si>
    <t>Rackham Graduate School; Department of Earth and Environmental Sciences at the University of Michigan; NSF OPP Antarctic Glaciology Award [1043367]; Directorate For Geosciences [1043367] Funding Source: National Science Foundation; Office of Polar Programs (OPP) [1043367] Funding Source: National Science Foundation</t>
  </si>
  <si>
    <t>Rackham Graduate School; Department of Earth and Environmental Sciences at the University of Michigan; NSF OPP Antarctic Glaciology Award; Directorate For Geosciences(National Science Foundation (NSF)NSF - Directorate for Geosciences (GEO)); Office of Polar Programs (OPP)(National Science Foundation (NSF)NSF - Directorate for Geosciences (GEO))</t>
  </si>
  <si>
    <t>The samples for this research were kindly provided by A.R. Baker. Funding for this project was provided by grants from the Rackham Graduate School and the Turner Award from the Department of Earth and Environmental Sciences at the University of Michigan to S.M. Aarons and from NSF OPP Antarctic Glaciology Award 1043367 to S.M. Aciego.</t>
  </si>
  <si>
    <t>0009-2541</t>
  </si>
  <si>
    <t>1872-6836</t>
  </si>
  <si>
    <t>CHEM GEOL</t>
  </si>
  <si>
    <t>Chem. Geol.</t>
  </si>
  <si>
    <t>JUN 26</t>
  </si>
  <si>
    <t>10.1016/j.chemgeo.2013.04.010</t>
  </si>
  <si>
    <t>180NL</t>
  </si>
  <si>
    <t>WOS:000321601800002</t>
  </si>
  <si>
    <t>Peck, LS; Souster, T; Clark, MS</t>
  </si>
  <si>
    <t>Peck, Lloyd S.; Souster, Terri; Clark, Melody S.</t>
  </si>
  <si>
    <t>Juveniles Are More Resistant to Warming than Adults in 4 Species of Antarctic Marine Invertebrates</t>
  </si>
  <si>
    <t>TEMPERATURE-SIZE RULE; THERMAL LIMITS; METABOLIC-RATE; CLIMATE-CHANGE; TRADE-OFFS; HISTORY; OXYGEN; OCEAN; ECTOTHERMS; POLAR</t>
  </si>
  <si>
    <t>Juvenile stages are often thought to be less resistant to thermal challenges than adults, yet few studies make direct comparisons using the same methods between different life history stages. We tested the resilience of juvenile stages compared to adults in 4 species of Antarctic marine invertebrate over 3 different rates of experimental warming. The species used represent 3 phyla and 4 classes, and were the soft-shelled clam Laternula elliptica, the sea cucumber Cucumaria georgiana, the sea urchin Sterechinus neumayeri, and the seastar Odontaster validus. All four species are widely distributed, locally abundant to very abundant and are amongst the most important in the ecosystem for their roles. At the slowest rate of warming used (1 degrees C 3 days(-1)) juveniles survived to higher temperatures than adults in all species studied. At the intermediate rate (1 degrees C day(-1)) juveniles performed better in 3 of the 4 species, with no difference in the 4th, and at the fastest rate of warming (1 degrees C h(-1)) L. elliptica adults survived to higher temperatures than juveniles, but in C. georgiana juveniles survived to higher temperatures than adults and there were no differences in the other species. Oxygen limitation may explain the better performance of juveniles at the slower rates of warming, whereas the loss of difference between juveniles and adults at the fastest rate of warming suggests another mechanism sets the temperature limit here.</t>
  </si>
  <si>
    <t>[Peck, Lloyd S.; Souster, Terri; Clark, Melody S.] British Antarctic Survey, Cambridge CB3 0ET, Cambs, England</t>
  </si>
  <si>
    <t>Peck, LS (corresponding author), British Antarctic Survey, Cambridge CB3 0ET, Cambs, England.</t>
  </si>
  <si>
    <t>Souster, Terri/HJY-6034-2023; Clark, Melody/D-7371-2014</t>
  </si>
  <si>
    <t>Souster, Terri/0000-0002-7585-1999; Clark, Melody/0000-0002-3442-3824</t>
  </si>
  <si>
    <t>Natural Environment Research Council of the UK, through the British Antarctic Survey; Natural Environment Research Council [dml011000, bas0100025] Funding Source: researchfish; NERC [bas0100025, dml011000] Funding Source: UKRI</t>
  </si>
  <si>
    <t>Natural Environment Research Council of the UK, through the British Antarctic Survey; Natural Environment Research Council(UK Research &amp; Innovation (UKRI)Natural Environment Research Council (NERC)); NERC(UK Research &amp; Innovation (UKRI)Natural Environment Research Council (NERC))</t>
  </si>
  <si>
    <t>The research was supported by the Natural Environment Research Council of the UK, through the British Antarctic Survey. The funders had no role in study design, data collection and analysis, decision to publish, or preparation of the manuscript.</t>
  </si>
  <si>
    <t>e66033</t>
  </si>
  <si>
    <t>10.1371/journal.pone.0066033</t>
  </si>
  <si>
    <t>178DN</t>
  </si>
  <si>
    <t>gold, Green Published, Green Accepted, Green Submitted</t>
  </si>
  <si>
    <t>WOS:000321424400016</t>
  </si>
  <si>
    <t>Cartwright, JHE; Escribano, B; González, DL; Sainz-Díaz, CI; Tuval, I</t>
  </si>
  <si>
    <t>Cartwright, Julyan H. E.; Escribano, Bruno; Gonzalez, Diego L.; Ignacio Sainz-Diaz, C.; Tuval, Idan</t>
  </si>
  <si>
    <t>Brinicles as a Case of Inverse Chemical Gardens</t>
  </si>
  <si>
    <t>LANGMUIR</t>
  </si>
  <si>
    <t>SEA-ICE; NATURAL-CONVECTION; STALACTITES; GROWTH; ORIGIN</t>
  </si>
  <si>
    <t>Brinicles are hollow tubes of ice from centimeters to meters in length that form under floating sea ice in the polar oceans when dense, cold brine drains downward from sea ice to seawater close to its freezing point. When this extremely cold brine leaves the ice, it freezes the water it comes into contact with: a hollow tube of ice a brinicle-growing downward around the plume of descending brine. We show that brinicles can be understood as a form of the self-assembled tubular precipitation structures termed chemical gardens, which are plantlike structures formed on placing together a soluble metal salt, often in the form of a seed crystal, and an aqueous solution of one of many anions, often silicate. On one hand, in the case of classical chemical gardens, an osmotic pressure difference across a semipermeable precipitation membrane that filters solutions by rejecting the solute leads to an inflow of water and to its rupture. The internal solution, generally being lighter than the external solution, flows up through the break, and as it does so, a tube grows upward by precipitation around the jet of internal solution. Such chemical-garden tubes can grow to many centimeters in length. In the case of brinicles, on the other hand, in floating sea ice we have porous ice in a mushy layer that filters out water, by freezing it, and allows concentrated brine through. Again there is an osmotic pressure difference leading to a continuing ingress of seawater in a siphon pump mechanism that is sustained as long as the ice continues to freeze. Because the brine that is pumped out is denser than the seawater and descends rather than rises, a brinicle is a downward-growing tube of ice, an inverse chemical garden.</t>
  </si>
  <si>
    <t>[Cartwright, Julyan H. E.; Ignacio Sainz-Diaz, C.] Univ Granada, CSIC, Inst Andaluz Ciencias Tierra IACT, Granada, Spain; [Escribano, Bruno] Basque Ctr Appl Math BCAM, Bilbao, Spain; [Gonzalez, Diego L.] CNR, Ist Microelettron &amp; Microsistemi IMM, I-40126 Bologna, Italy; [Tuval, Idan] Univ Illes Balears, CSIC, Mediterranean Inst Adv Studies IMEDEA, Mallorca, Spain</t>
  </si>
  <si>
    <t>Consejo Superior de Investigaciones Cientificas (CSIC); CSIC - Instituto Andaluz de Ciencias de la Tierra (IACT); University of Granada; Basque Center for Applied Mathematics (BCAM); Consiglio Nazionale delle Ricerche (CNR); Istituto per la Microelettronica e Microsistemi (IMM-CNR); Universitat de les Illes Balears; Consejo Superior de Investigaciones Cientificas (CSIC); ATTITUS Educacao</t>
  </si>
  <si>
    <t>Escribano, B (corresponding author), Basque Ctr Appl Math BCAM, Bilbao, Spain.</t>
  </si>
  <si>
    <t>bescribano@bcamath.org</t>
  </si>
  <si>
    <t>Escribano, Bruno/HJY-4762-2023; Cartwright, Julyan/C-1387-2016; Gonzalez, Diego Luis/D-2280-2010; tuval, idan/G-9732-2011</t>
  </si>
  <si>
    <t>Escribano, Bruno/0000-0003-3422-9279; Cartwright, Julyan/0000-0001-7392-0957; Gonzalez, Diego Luis/0000-0001-9646-9900; tuval, idan/0000-0002-6629-0851</t>
  </si>
  <si>
    <t>Spanish Ministerio de Ciencia y Innovacion [FIS2010-22322-C01, FIS2010-22322-C02]; Ramon y Cajal fellowship; US Antarctic Program [NSF 0739712]</t>
  </si>
  <si>
    <t>Spanish Ministerio de Ciencia y Innovacion(Spanish Government); Ramon y Cajal fellowship(Spanish Government); US Antarctic Program</t>
  </si>
  <si>
    <t>I.T. acknowledges the financial support of the Spanish Ministerio de Ciencia y Innovacion (grant FIS2010-22322-C01) and a Ramon y Cajal fellowship. J.H.E.C. and C.I.S.-D. acknowledge the financial support of the Spanish Ministerio de Ciencia y Innovacion (grant FIS2010-22322-C02). This work is published within the framework of the NASA Astrobiological Institute focus group on thermodynamics, disequilibrium, and evolution (TDE). We thank Rob Robbins and Hubert Staudigel for Figure 1b and the images of brinicles on the cover of this issue. The photographs were taken by Rob Robbins, a dive master at McMurdo base in the Antarctic under the auspices of the US Antarctic Program (grant NSF 0739712).</t>
  </si>
  <si>
    <t>AMER CHEMICAL SOC</t>
  </si>
  <si>
    <t>1155 16TH ST, NW, WASHINGTON, DC 20036 USA</t>
  </si>
  <si>
    <t>0743-7463</t>
  </si>
  <si>
    <t>1520-5827</t>
  </si>
  <si>
    <t>Langmuir</t>
  </si>
  <si>
    <t>JUN 25</t>
  </si>
  <si>
    <t>10.1021/la4009703</t>
  </si>
  <si>
    <t>Chemistry, Multidisciplinary; Chemistry, Physical; Materials Science, Multidisciplinary</t>
  </si>
  <si>
    <t>Chemistry; Materials Science</t>
  </si>
  <si>
    <t>173QN</t>
  </si>
  <si>
    <t>Green Published, Green Submitted</t>
  </si>
  <si>
    <t>WOS:000321094100011</t>
  </si>
  <si>
    <t>McCafferty, DJ; Gilbert, C; Thierry, AM; Currie, J; Le Maho, Y; Ancel, A</t>
  </si>
  <si>
    <t>McCafferty, D. J.; Gilbert, C.; Thierry, A. -M.; Currie, J.; Le Maho, Y.; Ancel, A.</t>
  </si>
  <si>
    <t>Emperor penguin body surfaces cool below air temperature</t>
  </si>
  <si>
    <t>BIOLOGY LETTERS</t>
  </si>
  <si>
    <t>metabolic heat loss; thermal imaging; thermoregulation; Antarctic</t>
  </si>
  <si>
    <t>HEAT-EXCHANGE; THERMOREGULATION; RADIATION; FEATHERS</t>
  </si>
  <si>
    <t>Emperor penguins Aptenodytes forsteri are able to survive the harsh Antarctic climate because of specialized anatomical, physiological and behavioural adaptations for minimizing heat loss. Heat transfer theory predicts that metabolic heat loss in this species will mostly depend on radiative and convective cooling. To examine this, thermal imaging of emperor penguins was undertaken at the breeding colony of Pointe Geologie in Terre Adelie (66 degrees 40' S 140 degrees 01' E), Antarctica in June 2008. During clear sky conditions, most outer surfaces of the body were colder than surrounding sub-zero air owing to radiative cooling. In these conditions, the feather surface will paradoxically gain heat by convection from surrounding air. However, owing to the low thermal conductivity of plumage any heat transfer to the skin surface will be negligible. Future thermal imaging studies are likely to yield further insights into the adaptations of this species to the Antarctic climate.</t>
  </si>
  <si>
    <t>[McCafferty, D. J.] Univ Glasgow, Inst Biodivers Anim Hlth &amp; Comparat Med, Glasgow G12 8QQ, Lanark, Scotland; [Gilbert, C.] Univ Paris Est, CNRS MNHN, UMR 7179, Ecole Natl Vet Alfort, F-94704 Maisons Alfort, France; [Thierry, A. -M.; Le Maho, Y.; Ancel, A.] Univ Strasbourg, IPHC, F-67087 Strasbourg, France; [Thierry, A. -M.; Le Maho, Y.; Ancel, A.] CNRS, UMR 7178, F-67037 Strasbourg, France; [Currie, J.] Edinburgh Napier Univ, Scottish Energy Ctr, Edinburgh EH10 5DT, Midlothian, Scotland</t>
  </si>
  <si>
    <t>University of Glasgow; Museum National d'Histoire Naturelle (MNHN); Centre National de la Recherche Scientifique (CNRS); CNRS - Institute of Ecology &amp; Environment (INEE); Ecole Nationale Veterinaire d'Alfort (ENVA); Universites de Strasbourg Etablissements Associes; Universite de Strasbourg; Universites de Strasbourg Etablissements Associes; Universite de Strasbourg; Centre National de la Recherche Scientifique (CNRS); CNRS - National Institute of Nuclear and Particle Physics (IN2P3); Edinburgh Napier University</t>
  </si>
  <si>
    <t>McCafferty, DJ (corresponding author), Univ Glasgow, Inst Biodivers Anim Hlth &amp; Comparat Med, Graham Kerr Bldg, Glasgow G12 8QQ, Lanark, Scotland.</t>
  </si>
  <si>
    <t>dominic.mccafferty@glasgow.ac.uk</t>
  </si>
  <si>
    <t>Thierry, Anne-Mathilde/A-1715-2010; Gilbert, Caroline/HKV-2124-2023</t>
  </si>
  <si>
    <t>Gilbert, Caroline/0000-0002-9957-405X; Thierry, Anne-Mathilde/0000-0002-0483-5131; McCafferty, Dominic/0000-0002-3079-3326</t>
  </si>
  <si>
    <t>1744-9561</t>
  </si>
  <si>
    <t>1744-957X</t>
  </si>
  <si>
    <t>BIOL LETTERS</t>
  </si>
  <si>
    <t>Biol. Lett.</t>
  </si>
  <si>
    <t>JUN 23</t>
  </si>
  <si>
    <t>10.1098/rsbl.2012.1192</t>
  </si>
  <si>
    <t>Biology; Ecology; Evolutionary Biology</t>
  </si>
  <si>
    <t>Life Sciences &amp; Biomedicine - Other Topics; Environmental Sciences &amp; Ecology; Evolutionary Biology</t>
  </si>
  <si>
    <t>141YK</t>
  </si>
  <si>
    <t>WOS:000318762300010</t>
  </si>
  <si>
    <t>Dunshea, G; Barros, NB; McCabe, EJB; Gales, NJ; Hindell, MA; Jarman, SN; Wells, RS</t>
  </si>
  <si>
    <t>Dunshea, Glenn; Barros, Nelio B.; McCabe, Elizabeth J. Berens; Gales, Nicholas J.; Hindell, Mark A.; Jarman, Simon N.; Wells, Randall S.</t>
  </si>
  <si>
    <t>Stranded dolphin stomach contents represent the free-ranging population's diet</t>
  </si>
  <si>
    <t>DNA-based; PCR; Sarasota; foraging</t>
  </si>
  <si>
    <t>BOTTLE-NOSED DOLPHINS; TURSIOPS-TRUNCATUS; SARASOTA BAY; PREY; PREDATOR; FLORIDA</t>
  </si>
  <si>
    <t>Diet is a fundamental aspect of animal ecology. Cetacean prey species are generally identified by examining stomach contents of stranded individuals. Critical uncertainty in these studies is whether samples from stranded animals are representative of the diet of free-ranging animals. Over two summers, we collected faecal and gastric samples from healthy free-ranging individuals of an extensively studied bottlenose dolphin population. These samples were analysed by molecular prey detection and these data compared with stomach contents data derived from stranded dolphins from the same population collected over 22 years. There was a remarkable consistency in the prey species composition and relative amounts between the two datasets. The conclusions of past stomach contents studies regarding dolphin habitat associations, prey selection and proposed foraging mechanisms are supported by molecular data from live animals and the combined dataset. This is the first explicit test of the validity of stomach contents analysis for accurate population-scale diet determination of an inshore cetacean.</t>
  </si>
  <si>
    <t>[Dunshea, Glenn; Hindell, Mark A.] Univ Tasmania, Inst Marine &amp; Antarctic Studies, Sandy Bay, Tas 7005, Australia; [Dunshea, Glenn; Gales, Nicholas J.; Jarman, Simon N.] Australian Antarctic Div, Australian Marine Mammal Ctr, Kingston, Tas 7050, Australia; [Barros, Nelio B.; McCabe, Elizabeth J. Berens; Wells, Randall S.] Mote Marine Lab, Chicago Zool Soc, Sarasota, FL 34236 USA</t>
  </si>
  <si>
    <t>University of Tasmania; Australian Antarctic Division; Mote Marine Laboratory &amp; Aquarium</t>
  </si>
  <si>
    <t>Dunshea, G (corresponding author), Ecol Marine Serv, POB 197, Fremantle, WA 6959, Australia.</t>
  </si>
  <si>
    <t>ecodes@live.co.uk</t>
  </si>
  <si>
    <t>Hindell, Mark A/K-1131-2013; Jarman, Simon/H-9265-2016</t>
  </si>
  <si>
    <t>Hindell, Mark/0000-0002-7823-7185; Jarman, Simon/0000-0002-0792-9686; Dunshea, Glenn/0000-0002-8683-0181</t>
  </si>
  <si>
    <t>Dolphin Quest; Disney Worldwide Conservation Fund; US National Marine Fisheries Service under US National Marine Fisheries Service Scientific Research [522-1569, 522-1785]; Australian Antarctic Division, an ANZ Ian Holsworth Wildlife Research Endowment; Australian Post-graduate Award</t>
  </si>
  <si>
    <t>Dolphin Quest; Disney Worldwide Conservation Fund; US National Marine Fisheries Service under US National Marine Fisheries Service Scientific Research; Australian Antarctic Division, an ANZ Ian Holsworth Wildlife Research Endowment; Australian Post-graduate Award(Australian Government)</t>
  </si>
  <si>
    <t>We thank the staff and volunteers of the Sarasota Dolphin Research Program. Sample collection was funded by Dolphin Quest, Disney Worldwide Conservation Fund, and the US National Marine Fisheries Service under US National Marine Fisheries Service Scientific Research Permits nos 522-1569 and 522-1785, and Mote Marine Laboratory IACUC approvals. G.D.'s participation was conducted under the University of Tasmania Animal Ethics Permit A8315 and funded by the Australian Antarctic Division, an ANZ Ian Holsworth Wildlife Research Endowment and Australian Post-graduate Award.</t>
  </si>
  <si>
    <t>10.1098/rsbl.2012.1036</t>
  </si>
  <si>
    <t>Green Accepted, hybrid, Green Published</t>
  </si>
  <si>
    <t>WOS:000318762300001</t>
  </si>
  <si>
    <t>Kantor, YI; Harasewych, MG</t>
  </si>
  <si>
    <t>Kantor, Yuri I.; Harasewych, M. G.</t>
  </si>
  <si>
    <t>Antarctica, where turrids and whelks converge: A revision of Falsimohnia Powell, 1951 (Neogastropoda: Buccinoidea) and a description of a new genus</t>
  </si>
  <si>
    <t>NAUTILUS</t>
  </si>
  <si>
    <t>Gastropoda; Conoidea; Buccinoidea; Antarctic Convergence; biogeography; morphological convergence</t>
  </si>
  <si>
    <t>GASTROPODA; MOLLUSKS; SEA</t>
  </si>
  <si>
    <t>A study of the type material of Antarctic species of conoideans described by Herman Strebel revealed that four species, all originally described in the genus Bela Gray, 1847 (Mangeliidae), are referable to the superfamily Buccinoidea based on radular morphology. Three of the species: B. fluvi cans, B. minor, and B. anderssoni are transferred to the genus Falsimohnia, which is here reviewed. The new buccinoidean genus Strebela is proposed for the species originally described as Bela notophila. Of the five species of the conthologically similar genus Pareuthria Strebel, 1905 that have been recorded within the Antarctic Convergence, two, Pareuthria innocens (Smith, 1907) and P. hoshiaii Numanami, 1996, are transferred to the genus Falsimohnia based on radular morphology. The appropriate generic allocation of Pareuthria plicata Thiele, 1912 is not yet clear; however, major differences in radular morphology exclude it from the genus Pareuthria. The taxa Pareuthria valdiviae (Thiele, 1925) and Pareuthria turriformis Egorova, 1982 are presently known only from their shell morphology. We suggest that they will be referred to other genera when anatomical material becomes available, and that the genus Pareuthria will be limited to the Magellanic region.</t>
  </si>
  <si>
    <t>[Kantor, Yuri I.] Russian Acad Sci, AN Severtzov Inst Ecol &amp; Evolut, Moscow 119071, Russia; [Harasewych, M. G.] Smithsonian Inst, Natl Museum Nat Hist, Dept Invertebrate Zool, MRC 163, Washington, DC 20013 USA</t>
  </si>
  <si>
    <t>Russian Academy of Sciences; Saratov Scientific Center of the Russian Academy of Sciences; Severtsov Institute of Ecology &amp; Evolution; Smithsonian Institution; Smithsonian National Museum of Natural History</t>
  </si>
  <si>
    <t>Harasewych, MG (corresponding author), Smithsonian Inst, Natl Museum Nat Hist, Dept Invertebrate Zool, MRC 163, POB 37012, Washington, DC 20013 USA.</t>
  </si>
  <si>
    <t>Harasewych@si.edu</t>
  </si>
  <si>
    <t>Kantor, Yuri/HKW-8238-2023; Kantor, Yuri/D-5259-2014</t>
  </si>
  <si>
    <t>Kantor, Yuri/0000-0002-3209-4940; Kantor, Yuri/0000-0002-3209-4940</t>
  </si>
  <si>
    <t>BAILEY-MATTHEWS SHELL MUSEUM</t>
  </si>
  <si>
    <t>SANIBEL</t>
  </si>
  <si>
    <t>C/O DR JOSE H LEAL, ASSOCIATE/MANAGING EDITOR, 3075 SANIBEL-CAPTIVA RD, SANIBEL, FL 33957 USA</t>
  </si>
  <si>
    <t>0028-1344</t>
  </si>
  <si>
    <t>Nautilus</t>
  </si>
  <si>
    <t>JUN 21</t>
  </si>
  <si>
    <t>Marine &amp; Freshwater Biology; Zoology</t>
  </si>
  <si>
    <t>170ZD</t>
  </si>
  <si>
    <t>WOS:000320893000001</t>
  </si>
  <si>
    <t>Teixeira, LCRS; Yeargeau, E; Balieiro, FC; Piccolo, MC; Peixoto, RS; Greer, CW; Rosado, AS</t>
  </si>
  <si>
    <t>Teixeira, Lia C. R. S.; Yeargeau, Etienne; Balieiro, Fabiano C.; Piccolo, Marisa C.; Peixoto, Raquel S.; Greer, Charles W.; Rosado, Alexandre S.</t>
  </si>
  <si>
    <t>Plant and Bird Presence Strongly Influences the Microbial Communities in Soils of Admiralty Bay, Maritime Antarctica</t>
  </si>
  <si>
    <t>ROSS SEA REGION; BACTERIAL DIVERSITY; RHIZOSPHERE SOIL; VASCULAR PLANTS; GRASSLAND SOILS; PENGUIN; ISLAND; MICROARRAY; POPULATION; RESPONSES</t>
  </si>
  <si>
    <t>Understanding the environmental factors that shape microbial communities is crucial, especially in extreme environments, like Antarctica. Two main forces were reported to influence Antarctic soil microbes: birds and plants. Both birds and plants are currently undergoing relatively large changes in their distribution and abundance due to global warming. However, we need to clearly understand the relationship between plants, birds and soil microorganisms. We therefore collected rhizosphere and bulk soils from six different sampling sites subjected to different levels of bird influence and colonized by Colobanthus quitensis and Deschampsia antarctica in Admiralty Bay, King George Island, Maritime Antarctic. Microarray and qPCR assays targeting 16S rRNA genes of specific taxa were used to assess microbial community structure, composition and abundance and analyzed with a range of soil physico-chemical parameters. The results indicated significant rhizosphere effects in four out of the six sites, including areas with different levels of bird influence. Acidobacteria were significantly more abundant in soils with little bird influence (low nitrogen) and in bulk soil. In contrast, Actinobacteria were significantly more abundant in the rhizosphere of both plant species. At two of the sampling sites under strong bird influence (penguin colonies), Firmicutes were significantly more abundant in D. antarctica rhizosphere but not in C. quitensis rhizosphere. The Firmicutes were also positively and significantly correlated to the nitrogen concentrations in the soil. We conclude that the microbial communities in Antarctic soils are driven both by bird and plants, and that the effect is taxa-specific.</t>
  </si>
  <si>
    <t>[Teixeira, Lia C. R. S.; Peixoto, Raquel S.; Rosado, Alexandre S.] Univ Fed Rio de Janeiro, Lab Ecol Microbiana Mol, Inst Microbiol Paulo Goes, Rio De Janeiro, RJ, Brazil; [Yeargeau, Etienne; Greer, Charles W.] Natl Res Council Canada, Biotechnol Res Inst, Montreal, PQ H4P 2R2, Canada; [Balieiro, Fabiano C.] Empresa Brasileira Pesquisa Agropecuaria EMBRAPA, Rio De Janeiro, RJ, Brazil; [Piccolo, Marisa C.] Univ Sao Paulo, Lab Ciclagem Nutr, Ctr Energia Nucl Agr, BR-05508 Sao Paulo, Brazil</t>
  </si>
  <si>
    <t>Universidade Federal do Rio de Janeiro; National Research Council Canada; Empresa Brasileira de Pesquisa Agropecuaria (EMBRAPA); Universidade de Sao Paulo</t>
  </si>
  <si>
    <t>Rosado, AS (corresponding author), Univ Fed Rio de Janeiro, Lab Ecol Microbiana Mol, Inst Microbiol Paulo Goes, Rio De Janeiro, RJ, Brazil.</t>
  </si>
  <si>
    <t>asrosado@micro.ufrj.br</t>
  </si>
  <si>
    <t>Yergeau, Etienne/B-5344-2008; piccolo, marisa de Cássia/D-6149-2012; Peixoto, Raquel/V-2554-2019; Balieiro, Fabiano/AAQ-5915-2020; Teixeira, Lia/AFV-0851-2022; Yergeau, Etienne/AAZ-6145-2020; Rosado, Alexandre Soares/G-1955-2012; Balieiro, Fabiano/J-4390-2017</t>
  </si>
  <si>
    <t>piccolo, marisa de Cássia/0000-0003-2163-5630; Teixeira, Lia/0000-0002-2874-1973; Yergeau, Etienne/0000-0002-7112-3425; Rosado, Alexandre Soares/0000-0001-5135-1394; Peixoto, Raquel/0000-0002-9536-3132; Balieiro, Fabiano/0000-0002-0229-6672</t>
  </si>
  <si>
    <t>Brazilian Antarctic Program, PROANTAR, as part of the IPY Activity [403, 520194/2006-3]; CAPES (Coordenacao de Aperfeicoamento de Pessoal de \Nivel Superior) [5445-09-4]; Conselho Nacional Desenvolvimento Cientifico e Tecnologico (CNPq); Fundacao de Amparo a Pesquisa do Estado do Rio de Janeiro (FAPERJ); CAPES</t>
  </si>
  <si>
    <t>Brazilian Antarctic Program, PROANTAR, as part of the IPY Activity; CAPES (Coordenacao de Aperfeicoamento de Pessoal de \Nivel Superior)(Coordenacao de Aperfeicoamento de Pessoal de Nivel Superior (CAPES)); Conselho Nacional Desenvolvimento Cientifico e Tecnologico (CNPq)(Conselho Nacional de Desenvolvimento Cientifico e Tecnologico (CNPQ)); Fundacao de Amparo a Pesquisa do Estado do Rio de Janeiro (FAPERJ)(Fundacao Carlos Chagas Filho de Amparo a Pesquisa do Estado do Rio De Janeiro (FAPERJ)); CAPES(Coordenacao de Aperfeicoamento de Pessoal de Nivel Superior (CAPES))</t>
  </si>
  <si>
    <t>This study received financial and logistic support from the Brazilian Antarctic Program, PROANTAR, as part of the IPY Activity # 403 MIDIAPI Microbial Diversity of Terrestrial and Maritime ecosystems in the Antarctic Peninsula (520194/2006-3). L.C.R.S. Teixeira was supported by a doctoral fellowship from CAPES (Coordenacao de Aperfeicoamento de Pessoal de vertical bar Nivel Superior) (5445-09-4). Professors A.S.R. and R.S.P. are also supported by Conselho Nacional Desenvolvimento Cientifico e Tecnologico (CNPq) and Fundacao de Amparo a Pesquisa do Estado do Rio de Janeiro (FAPERJ) and CAPES. The funders had no role in study design, data collection and analysis, decision to publish, or preparation of the manuscript.</t>
  </si>
  <si>
    <t>JUN 20</t>
  </si>
  <si>
    <t>e66109</t>
  </si>
  <si>
    <t>10.1371/journal.pone.0066109</t>
  </si>
  <si>
    <t>190LY</t>
  </si>
  <si>
    <t>WOS:000322342800033</t>
  </si>
  <si>
    <t>Wang, GJ; Cai, WJ</t>
  </si>
  <si>
    <t>Wang, Guojian; Cai, Wenju</t>
  </si>
  <si>
    <t>Climate-change impact on the 20th-century relationship between the Southern Annular Mode and global mean temperature</t>
  </si>
  <si>
    <t>ANTARCTIC OSCILLATION; EL-NINO; OZONE DEPLETION; CIRCULATION; ENSO; VARIABILITY; TRENDS; ANOMALIES; RAINFALL; TROPICS</t>
  </si>
  <si>
    <t>The positive phase of the El Nino-Southern Oscillation (ENSO) increases global mean temperature, and contributes to a negative phase of the Southern Annular Mode (SAM), the dominant mode of climate variability in the Southern Hemisphere. This interannual relationship of a high global mean temperature associated with a negative SAM, however, is opposite to the relationship between their trends under greenhouse warming. We show that over much of the 20th century this relationship undergoes multidecadal fluctuations depending on the intensity of ENSO. During the period 1925-1955, subdued ENSO activities weakened the relationship. However, a similar weakening has occurred since the late 1970s despite the strong ENSO. We demonstrate that this recent weakening is induced by climate change in the Southern Hemisphere. Our result highlights a rare situation in which climate change signals emerge against an opposing property of interannual variability, underscoring the robustness of the recent climate change.</t>
  </si>
  <si>
    <t>[Wang, Guojian; Cai, Wenju] CSIRO Marine &amp; Atmospher Res, Aspendale, Vic, Australia; [Wang, Guojian] Ocean Univ China, Coll Phys &amp; Environm Oceanog, Qingdao, Peoples R China</t>
  </si>
  <si>
    <t>Commonwealth Scientific &amp; Industrial Research Organisation (CSIRO); Ocean University of China</t>
  </si>
  <si>
    <t>Cai, WJ (corresponding author), CSIRO Marine &amp; Atmospher Res, Aspendale, Vic, Australia.</t>
  </si>
  <si>
    <t>Wenju.Cai@csiro.au</t>
  </si>
  <si>
    <t>Cai, Wenju/C-2864-2012; Wang, Guojian/AAF-9297-2020</t>
  </si>
  <si>
    <t>Cai, Wenju/0000-0001-6520-0829; Wang, Guojian/0000-0002-8881-7394</t>
  </si>
  <si>
    <t>China Scholarship Council; Australian Climate Change Science Programme</t>
  </si>
  <si>
    <t>China Scholarship Council(China Scholarship Council); Australian Climate Change Science Programme</t>
  </si>
  <si>
    <t>This work was carried out while Guojian Wang was a Ph. D student of Ocean University of China, supported by a scholarship from China Scholarship Council, which enabled his visit to CSIRO Marine and Atmospheric Research. Wenju Cai is supported by the Australian Climate Change Science Programme. We thank Ariaan Purich and WonMoo Kim for a review before submission.</t>
  </si>
  <si>
    <t>10.1038/srep02039</t>
  </si>
  <si>
    <t>167QS</t>
  </si>
  <si>
    <t>Green Published, gold</t>
  </si>
  <si>
    <t>WOS:000320648200006</t>
  </si>
  <si>
    <t>Dudley, JM; Sarano, V; Dias, F</t>
  </si>
  <si>
    <t>Dudley, J. M.; Sarano, V.; Dias, F.</t>
  </si>
  <si>
    <t>ON HOKUSAI'S GREAT WAVE OFF KANAGAWA: LOCALIZATION, LINEARITY AND A ROGUE WAVE IN SUB-ANTARCTIC WATERS</t>
  </si>
  <si>
    <t>NOTES AND RECORDS OF THE ROYAL SOCIETY</t>
  </si>
  <si>
    <t>Great wave of Kanagawa; rogue waves; wave breaking; Hokusai</t>
  </si>
  <si>
    <t>The Hokusai woodcut entitled The great wave off Kanagawa has been interpreted as an unusually large storm wave, likely to be classed as a rogue wave, and possibly generated from nonlinear wave dynamics (J. H. E. Cartwright and H. Nakamura, Notes Rec. R. Soc. 63, 119-135 (2009)). In this paper, we present a complementary discussion of this hypothesis, discussing in particular how linear and nonlinear mechanisms can both contribute to the emergence of rogue wave events. By making reference to the Great wave's simultaneous transverse and longitudinal localization, we show that the purely linear mechanism of directional focusing also predicts characteristics consistent with those of the Great wave. In addition, we discuss the properties of a particular rogue wave photographed on the open ocean in sub-Antarctic waters, which shows two-dimensional localization and breaking dynamics remarkably similar to Hokusai's depiction in the woodcut.</t>
  </si>
  <si>
    <t>[Dudley, J. M.] Univ Franche Comte, CNRS, Inst FEMTO ST, UMR 6174, F-25000 Besancon, France; [Sarano, V.] Assoc Longitude 181 Nat, F-26000 Valence, France; [Dias, F.] Univ Coll Dublin, Sch Math Sci, Dublin 4, Ireland</t>
  </si>
  <si>
    <t>Centre National de la Recherche Scientifique (CNRS); CNRS - Institute for Engineering &amp; Systems Sciences (INSIS); Universite de Franche-Comte; University College Dublin</t>
  </si>
  <si>
    <t>Dudley, JM (corresponding author), Univ Franche Comte, CNRS, Inst FEMTO ST, UMR 6174, F-25000 Besancon, France.</t>
  </si>
  <si>
    <t>john.dudley@univ-fcomte.fr</t>
  </si>
  <si>
    <t>Dudley, John/D-3222-2011; Dias, Frederic/J-4062-2017</t>
  </si>
  <si>
    <t>Dudley, John/0000-0001-9520-9699; Dias, Frederic/0000-0002-5123-4929</t>
  </si>
  <si>
    <t>0035-9149</t>
  </si>
  <si>
    <t>1743-0178</t>
  </si>
  <si>
    <t>NOTES REC ROY SOC</t>
  </si>
  <si>
    <t>Notes Rec. R. Soc.</t>
  </si>
  <si>
    <t>10.1098/rsnr.2012.0066</t>
  </si>
  <si>
    <t>History &amp; Philosophy Of Science</t>
  </si>
  <si>
    <t>Science Citation Index Expanded (SCI-EXPANDED); Arts &amp; Humanities Citation Index (A&amp;HCI)</t>
  </si>
  <si>
    <t>History &amp; Philosophy of Science</t>
  </si>
  <si>
    <t>142BB</t>
  </si>
  <si>
    <t>WOS:000318769800005</t>
  </si>
  <si>
    <t>Mancini, MV; Franco, NV; Brook, GA</t>
  </si>
  <si>
    <t>Virginia Mancini, Maria; Franco, Nora V.; Brook, George A.</t>
  </si>
  <si>
    <t>Palaeoenvironment and early human occupation of southernmost South America (South Patagonia, Argentina)</t>
  </si>
  <si>
    <t>QUATERNARY INTERNATIONAL</t>
  </si>
  <si>
    <t>PLEISTOCENE-HOLOCENE TRANSITION; SANTA-CRUZ PROVINCE; LAGUNA POTROK-AIKE; CLIMATE-CHANGE; LAGO-CARDIEL; RECORD; VEGETATION; POLLEN; CALIBRATION; DYNAMICS</t>
  </si>
  <si>
    <t>Pollen and archaeological records from two areas of southern Patagonia, one in the southern part of the Deseado Massif, the other south of Lago Argentino, suggest an important influence of climate on human movements into new areas. Pollen spectra record a significant dry climate throughout the region prior to ca. 12,900 cal BP that may correlate with the Antarctic Cold Reversal (ACR) from ca. 14,500 to 12,700 cal BP. The earliest archaeological sites date the initial exploration (sensu Borrero, 1994-95) of the Deseado Massif between 13,081 and 12,141 cal BP at the time of the Northern Hemisphere Younger Dryas (YD) cold interval (ca. 12,700-11,500 cal BP), which in the Southern Hemisphere was a time of gradually increasing temperatures. When humans set foot into the Deseado Massif, vegetation was grass steppe, indicating that conditions were wetter than during the ACR. The area south of Lago Argentino was occupied somewhat later around 11,000 cal BP, also when the vegetation changed to grass steppe. As temperatures increased during the early Holocene, forest replaced grass steppe in southwest Santa Cruz. A mix of forest and grass steppe persisted until ca. 9400 cal BP, when there was a return to drier conditions as those of today in the Deseado Massif. (C) 2012 Elsevier Ltd and INQUA. All rights reserved.</t>
  </si>
  <si>
    <t>[Virginia Mancini, Maria] Univ Mar del Plata, CONICET, IIMYC, Lab Paleoecol &amp; Palinol, RA-7600 Mar Del Plata, Buenos Aires, Argentina; [Franco, Nora V.] Univ Buenos Aires, IMHICIHU, CONICET, RA-1083 Capital, Federal, Argentina; [Brook, George A.] Univ Georgia, Dept Geog, Athens, GA 30602 USA</t>
  </si>
  <si>
    <t>Consejo Nacional de Investigaciones Cientificas y Tecnicas (CONICET); National University of Mar del Plata; University of Buenos Aires; Consejo Nacional de Investigaciones Cientificas y Tecnicas (CONICET); University System of Georgia; University of Georgia</t>
  </si>
  <si>
    <t>Mancini, MV (corresponding author), Univ Mar del Plata, CONICET, IIMYC, Lab Paleoecol &amp; Palinol, Funes 3250, RA-7600 Mar Del Plata, Buenos Aires, Argentina.</t>
  </si>
  <si>
    <t>mvmancin@mpd.edu.ar; nvfranco2008@gmail.com; gabrook@uga.edu</t>
  </si>
  <si>
    <t>CONICET [PIP 356]; University of Buenos Aires [UBACyT 01/W404]; University of Mar del Plata [EXA 510/10]; Franklin Collegeof the University of Georgia; Research Foundation of the University of Georgia</t>
  </si>
  <si>
    <t>CONICET(Consejo Nacional de Investigaciones Cientificas y Tecnicas (CONICET)); University of Buenos Aires(University of Buenos Aires); University of Mar del Plata; Franklin Collegeof the University of Georgia; Research Foundation of the University of Georgia</t>
  </si>
  <si>
    <t>Research was funded by projects PIP 356 (CONICET), UBACyT 01/W404 (University of Buenos Aires), EXA 510/10 (University of Mar del Plata), and by the Franklin College, and Research Foundation of the University of Georgia. The Triton S.A. Mining Company, the University of Arizona Radiocarbon Dating Laboratory and the Center for Applied Isotope Studies (University of Georgia) provided support for AMS radiocarbon ages. We wish to thank Direccion de Patrimonio Cultural de la Provincia de Santa Cruz and Direcciones de Cultura de Gobernador Gregores, El Calafate, Comandante Luis Piedra Buena, Puerto Santa Cruz, Dra. A. Aguerre, Dr. T. Jull and Mag. C. Baetti.</t>
  </si>
  <si>
    <t>1040-6182</t>
  </si>
  <si>
    <t>1873-4553</t>
  </si>
  <si>
    <t>QUATERN INT</t>
  </si>
  <si>
    <t>Quat. Int.</t>
  </si>
  <si>
    <t>JUN 19</t>
  </si>
  <si>
    <t>10.1016/j.quaint.2012.08.2056</t>
  </si>
  <si>
    <t>173PR</t>
  </si>
  <si>
    <t>WOS:000321091900003</t>
  </si>
  <si>
    <t>Clarke, A; Morris, GJ; Fonseca, F; Murray, BJ; Acton, E; Price, HC</t>
  </si>
  <si>
    <t>Clarke, Andrew; Morris, G. John; Fonseca, Fernanda; Murray, Benjamin J.; Acton, Elizabeth; Price, Hannah C.</t>
  </si>
  <si>
    <t>A Low Temperature Limit for Life on Earth</t>
  </si>
  <si>
    <t>CELLULAR DESICCATION TOLERANCE; BIOLOGICAL ICE NUCLEATORS; ANTARCTIC NEMATODE; GLASS-FORMATION; COOLING RATE; DEGREES-C; SURVIVAL; FROZEN; VITRIFICATION; DROPLETS</t>
  </si>
  <si>
    <t>There is no generally accepted value for the lower temperature limit for life on Earth. We present empirical evidence that free-living microbial cells cooling in the presence of external ice will undergo freeze-induced desiccation and a glass transition (vitrification) at a temperature between -10 degrees C and -26 degrees C. In contrast to intracellular freezing, vitrification does not result in death and cells may survive very low temperatures once vitrified. The high internal viscosity following vitrification means that diffusion of oxygen and metabolites is slowed to such an extent that cellular metabolism ceases. The temperature range for intracellular vitrification makes this a process of fundamental ecological significance for free-living microbes. It is only where extracellular ice is not present that cells can continue to metabolise below these temperatures, and water droplets in clouds provide an important example of such a habitat. In multicellular organisms the cells are isolated from ice in the environment, and the major factor dictating how they respond to low temperature is the physical state of the extracellular fluid. Where this fluid freezes, then the cells will dehydrate and vitrify in a manner analogous to free-living microbes. Where the extracellular fluid undercools then cells can continue to metabolise, albeit slowly, to temperatures below the vitrification temperature of free-living microbes. Evidence suggests that these cells do also eventually vitrify, but at lower temperatures that may be below -50 degrees C. Since cells must return to a fluid state to resume metabolism and complete their life cycle, and ice is almost universally present in environments at sub-zero temperatures, we propose that the vitrification temperature represents a general lower thermal limit to life on Earth, though its precise value differs between unicellular (typically above -20 degrees C) and multicellular organisms (typically below -20 degrees C). Few multicellular organisms can, however, complete their life cycle at temperatures below similar to-2 degrees C.</t>
  </si>
  <si>
    <t>[Clarke, Andrew] British Antarctic Survey, Cambridge CB3 0ET, England; [Clarke, Andrew] Univ E Anglia, Sch Environm Sci, Norwich NR4 7TJ, Norfolk, England; [Morris, G. John; Acton, Elizabeth] Asymptote Ltd, St Johns Innovat Ctr, Cambridge, England; [Fonseca, Fernanda] INRA, F-78850 Thiverval Grignon, France; [Murray, Benjamin J.; Price, Hannah C.] Univ Leeds, Sch Earth &amp; Environm, Leeds, W Yorkshire, England</t>
  </si>
  <si>
    <t>UK Research &amp; Innovation (UKRI); Natural Environment Research Council (NERC); NERC British Antarctic Survey; University of East Anglia; St Johns Innovation Centre - UK; Universite Paris Saclay; INRAE; University of Leeds</t>
  </si>
  <si>
    <t>Clarke, A (corresponding author), British Antarctic Survey, Madingley Rd, Cambridge CB3 0ET, England.</t>
  </si>
  <si>
    <t>accl@bas.ac.uk</t>
  </si>
  <si>
    <t>Murray, Benjamin/C-1219-2010; FONSECA, FERNANDA/HDN-9451-2022; Fonseca, Fernanda/AAR-9094-2020; Price, Hannah/G-1059-2015</t>
  </si>
  <si>
    <t>Murray, Benjamin/0000-0002-8198-8131; FONSECA, FERNANDA/0000-0002-0315-6479; Fonseca, Fernanda/0000-0003-3394-182X; Price, Hannah/0000-0002-1608-1592</t>
  </si>
  <si>
    <t>Institut National de la Recherche Agronomique; Natural Environment Research Council [NE/D009308/1, NE/H001050/1]; European Research Council [240449- ICE]; Natural Environment Research Council [NE/H001050/1, bas010011, NE/D009308/1] Funding Source: researchfish; NERC [NE/H001050/1, NE/D009308/1, bas010011] Funding Source: UKRI</t>
  </si>
  <si>
    <t>Institut National de la Recherche Agronomique; Natural Environment Research Council(UK Research &amp; Innovation (UKRI)Natural Environment Research Council (NERC)); European Research Council(European Research Council (ERC)); Natural Environment Research Council(UK Research &amp; Innovation (UKRI)Natural Environment Research Council (NERC)); NERC(UK Research &amp; Innovation (UKRI)Natural Environment Research Council (NERC))</t>
  </si>
  <si>
    <t>A.C. is retired but received emeritus support from the British Antarctic Survey, F. F. was supported by the Institut National de la Recherche Agronomique, and B.J.M. was supported by the Natural Environment Research Council (NE/D009308/1 and NE/H001050/1) and the European Research Council (240449- ICE). The funders had no role in study design, data collection and analysis, decision to publish, or preparation of the manuscript.</t>
  </si>
  <si>
    <t>e66207</t>
  </si>
  <si>
    <t>10.1371/journal.pone.0066207</t>
  </si>
  <si>
    <t>190ST</t>
  </si>
  <si>
    <t>Green Published, Green Submitted, Green Accepted, gold</t>
  </si>
  <si>
    <t>WOS:000322361200061</t>
  </si>
  <si>
    <t>Dold, B; Gonzalez-Toril, E; Aguilera, A; Lopez-Pamo, E; Cisternas, ME; Bucchi, F; Amils, R</t>
  </si>
  <si>
    <t>Dold, B.; Gonzalez-Toril, E.; Aguilera, A.; Lopez-Pamo, E.; Cisternas, M. E.; Bucchi, F.; Amils, R.</t>
  </si>
  <si>
    <t>Acid Rock Drainage and Rock Weathering in Antarctica: Important Sources for Iron Cycling in the Southern Ocean</t>
  </si>
  <si>
    <t>ENVIRONMENTAL SCIENCE &amp; TECHNOLOGY</t>
  </si>
  <si>
    <t>PORPHYRY COPPER TAILINGS; KING-GEORGE ISLAND; SCHWERTMANNITE; POLAR; TEMPERATURE; SPECIATION; WATERS; ENRICHMENT; CLIMATE</t>
  </si>
  <si>
    <t>Here we describe biogeochemical processes that lead to the generation of acid rock drainage (ARD) and rock weathering on the Antarctic landmass and describe why they are important sources of iron into the Antarctic Ocean. During three expeditions, 2009-2011, we examined three sites on the South Shetland Islands in Antarctica. Two of them displayed intensive sulfide mineralization and generated acidic (pH 3.2-4.5), iron-rich drainage waters (up to 1.78 mM Fe), which infiltrated as groundwater (as Fe2+) and as superficial runoff (as Fe3+) into the sea, the latter with the formation of schwertmannite in the sea-ice. The formation of ARD in the Antarctic was catalyzed by acid mine drainage microorganisms found in cold climates, including Acidithiobacillus ferrivorans and Thiobacillus plumbophilus. The dissolved iron (DFe) flux from rock weathering (nonmineralized control site) was calculated to be 0.45 x 10(9) g DFe yr(-1) for the nowadays 5468 km of ice-free Antarctic rock coastline which is of the same order of magnitude as glacial or aeolian input to the Southern Ocean. Additionally, the two ARD sites alone liberate 0.026 and 0.057 x 10(9) g DFe yr(-1) as point sources to the sea. The increased iron input correlates with increased phytoplankton production close to the source. This might even be enhanced in the future by a global warming scenario, and could be a process counterbalancing global warming.</t>
  </si>
  <si>
    <t>[Dold, B.; Cisternas, M. E.; Bucchi, F.] Univ Concepcion, Inst Geol Econ Aplicada GEA, Concepcion, Chile; [Gonzalez-Toril, E.; Aguilera, A.; Amils, R.] CSIC, INTA, Ctr Astrobiol, Madrid, Spain; [Amils, R.] Univ Autonoma Madrid, CSIC, Ctr Biol Mol Severo Ochoa, Madrid, Spain; [Lopez-Pamo, E.] IGME, Madrid, Spain</t>
  </si>
  <si>
    <t>Universidad de Concepcion; Consejo Superior de Investigaciones Cientificas (CSIC); CSIC - Centro de Astrobiologia (INTA); Autonomous University of Madrid; Consejo Superior de Investigaciones Cientificas (CSIC); CSIC - Centro de Biologia Molecular Severo Ochoa (CBM)</t>
  </si>
  <si>
    <t>Dold, B (corresponding author), Univ Concepcion, Inst Geol Econ Aplicada GEA, Concepcion, Chile.</t>
  </si>
  <si>
    <t>Bernhard.Dold@gmail.com</t>
  </si>
  <si>
    <t>Pamo, Enrique Lopez/ABG-9618-2020; Gonzalez-Toril, Elena/L-4823-2014; Aguilera, Andres/L-1825-2014; Amils, Ricardo/X-2706-2019</t>
  </si>
  <si>
    <t>Gonzalez-Toril, Elena/0000-0002-5750-0765; Aguilera, Andres/0000-0003-4782-1714; Aguilera, Angeles/0000-0003-4979-7578</t>
  </si>
  <si>
    <t>Chilean Antarctic Institute (INACH) [T-08-08]; Centro de Astrobiologia (INTA-CSIC); MINECO Grant, Madrid, Spain [CGL2011/22540, CTM2011-1477-E]; Institute of Applied Economic Geology (GEA), University of Concepcion, Chile</t>
  </si>
  <si>
    <t>Chilean Antarctic Institute (INACH); Centro de Astrobiologia (INTA-CSIC); MINECO Grant, Madrid, Spain; Institute of Applied Economic Geology (GEA), University of Concepcion, Chile</t>
  </si>
  <si>
    <t>We thank the crew of Galvarino and Almirante Viel and the Chilean Antarctic Institute (INACH), Project T-08-08 for logistic and financial support on all three expeditions and on the project. We also thank Eduardo Romo Jure and Marina Postigo for their help in DNA sequencing, Mari Paz Martin and John Pote for ICP-MS analyses, and Monica Uribe for XRD analyses. We are grateful to the Centro de Astrobiologia (INTA-CSIC), MINECO Grant (CGL2011/22540 and CTM2011-1477-E), Madrid, Spain, and the Institute of Applied Economic Geology (GEA), University of Concepcion, Chile for their support. We thank the three anonymous reviewers for their constructive comments to improve the paper.</t>
  </si>
  <si>
    <t>0013-936X</t>
  </si>
  <si>
    <t>1520-5851</t>
  </si>
  <si>
    <t>ENVIRON SCI TECHNOL</t>
  </si>
  <si>
    <t>Environ. Sci. Technol.</t>
  </si>
  <si>
    <t>JUN 18</t>
  </si>
  <si>
    <t>10.1021/es305141b</t>
  </si>
  <si>
    <t>Engineering, Environmental; Environmental Sciences</t>
  </si>
  <si>
    <t>Engineering; Environmental Sciences &amp; Ecology</t>
  </si>
  <si>
    <t>169AJ</t>
  </si>
  <si>
    <t>WOS:000320749000009</t>
  </si>
  <si>
    <t>Jurelevicius, D; Alvarez, VM; Peixoto, R; Rosado, AS; Seldin, L</t>
  </si>
  <si>
    <t>Jurelevicius, Diogo; Alvarez, Vanessa Marques; Peixoto, Raquel; Rosado, Alexandre S.; Seldin, Lucy</t>
  </si>
  <si>
    <t>The Use of a Combination of alkB Primers to Better Characterize the Distribution of Alkane-Degrading Bacteria</t>
  </si>
  <si>
    <t>CAPTURE-RECAPTURE DATA; HYDROXYLASE GENES; POPULATION-SIZE; SOIL; DEGRADATION; DIVERSITY; BIODEGRADATION; HYDROCARBONS; COMMUNITIES; HEXADECANE</t>
  </si>
  <si>
    <t>The alkane monooxygenase AlkB, which is encoded by the alkB gene, is a key enzyme involved in bacterial alkane degradation. To study the alkB gene within bacterial communities, researchers need to be aware of the variations in alkB nucleotide sequences; a failure to consider the sequence variations results in the low representation of the diversity and richness of alkane-degrading bacteria. To minimize this shortcoming, the use of a combination of three alkB-targeting primers to enhance the detection of the alkB gene in previously isolated alkane-degrading bacteria was proposed. Using this approach, alkB-related PCR products were detected in 79% of the strains tested. Furthermore, the chosen set of primers was used to study alkB richness and diversity in different soils sampled in Carmopolis, Brazil and King George Island, Antarctica. The DNA extracted from the different soils was PCR amplified with each set of alkB-targeting primers, and clone libraries were constructed, sequenced and analyzed. A total of 255 alkB phylotypes were detected. Venn diagram analyses revealed that only low numbers of alkB phylotypes were shared among the different libraries derived from each primer pair. Therefore, the combination of three alkB-targeting primers enhanced the richness of alkB phylotypes detected in the different soils by 45% to 139%, when compared to the use of a single alkB-targeting primer. In addition, a dendrogram analysis and beta diversity comparison of the alkB composition showed that each of the sampling sites studied had a particular set of alkane-degrading bacteria. The use of a combination of alkB primers was an efficient strategy for enhancing the detection of the alkB gene in cultivable bacteria and for better characterizing the distribution of alkane-degrading bacteria in different soil environments.</t>
  </si>
  <si>
    <t>[Jurelevicius, Diogo; Alvarez, Vanessa Marques; Seldin, Lucy] Univ Fed Rio de Janeiro, Inst Microbiol Paulo de Goes, Dept Microbiol Geral, Lab Genet Microbiana, Rio De Janeiro, Brazil; [Peixoto, Raquel; Rosado, Alexandre S.] Univ Fed Rio de Janeiro, Inst Microbiol Paulo de Goes, Dept Microbiol Geral, Lab Ecol Mol Microbiana, Rio De Janeiro, Brazil</t>
  </si>
  <si>
    <t>Universidade Federal do Rio de Janeiro; Universidade Federal do Rio de Janeiro</t>
  </si>
  <si>
    <t>Seldin, L (corresponding author), Univ Fed Rio de Janeiro, Inst Microbiol Paulo de Goes, Dept Microbiol Geral, Lab Genet Microbiana, Rio De Janeiro, Brazil.</t>
  </si>
  <si>
    <t>lseldin@micro.ufrj.br</t>
  </si>
  <si>
    <t>Rosado, Alexandre Soares/G-1955-2012; Jurelevicius, Diogo A/I-8235-2014; Seldin, Lucy/S-2530-2019; Peixoto, Raquel/V-2554-2019</t>
  </si>
  <si>
    <t>Rosado, Alexandre Soares/0000-0001-5135-1394; Seldin, Lucy/0000-0002-4992-6395; Peixoto, Raquel/0000-0002-9536-3132</t>
  </si>
  <si>
    <t>Conselho Nacional de Desenvolvimento Cientifico e Tecnologico (CNPq); Coordenacao de Aperfeicoamento de Pessoal de Nivel Superior (CAPES); Fundacao de Amparo a Pesquisa do Estado do Rio de Janeiro (FAPERJ); Brazilian Antarctic Program, PROANTAR, as part of the IPY Activity no. 403 'MIDIAPI Microbial Diversity of Terrestrial and Maritime Ecosystems in Antarctic Peninsula' [520194/2006-3]</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</si>
  <si>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 Brazilian Antarctic Program, PROANTAR, as part of the IPY Activity no. 403 'MIDIAPI Microbial Diversity of Terrestrial and Maritime Ecosystems in Antarctic Peninsula'</t>
  </si>
  <si>
    <t>This study was supported by grants from Conselho Nacional de Desenvolvimento Cientifico e Tecnologico (CNPq), Coordenacao de Aperfeicoamento de Pessoal de Nivel Superior (CAPES), and Fundacao de Amparo a Pesquisa do Estado do Rio de Janeiro (FAPERJ). The authors received financial and logistical support from the Brazilian Antarctic Program, PROANTAR, as part of the IPY Activity no. 403 'MIDIAPI Microbial Diversity of Terrestrial and Maritime Ecosystems in Antarctic Peninsula' (520194/2006-3). The funders had no role in study design, data collection and analysis, decision to publish, or preparation of the manuscript.</t>
  </si>
  <si>
    <t>e66565</t>
  </si>
  <si>
    <t>10.1371/journal.pone.0066565</t>
  </si>
  <si>
    <t>166SA</t>
  </si>
  <si>
    <t>WOS:000320576400131</t>
  </si>
  <si>
    <t>Svanella-Dumas, L; Candresse, T; Hullé, M; Marais, A</t>
  </si>
  <si>
    <t>Svanella-Dumas, Laurence; Candresse, Thierry; Hulle, Maurice; Marais, Armelle</t>
  </si>
  <si>
    <t>Distribution of Barley yellow dwarf virus-PAV in the Sub-Antarctic Kerguelen Islands and Characterization of Two New Luteovirus Species</t>
  </si>
  <si>
    <t>PLANT; HOST; INFECTION; INVASIONS; IMPACTS; DISEASE; CROZET</t>
  </si>
  <si>
    <t>A systematic search for viral infection was performed in the isolated Kerguelen Islands, using a range of polyvalent genus-specific PCR assays. Barley yellow dwarf virus (BYDV) was detected in both introduced and native grasses such as Poa cookii. The geographical distribution of BYDV and its prevalence in P. cookii were analyzed using samples collected from various sites of the archipelago. We estimate the average prevalence of BYDV to be 24.9% in P. cookii, with significant variability between sites. BYDV genetic diversity was assessed using sequence information from two genomic regions: the P3 open reading frame (ORF) (encoding the coat protein) and the hypervariable P6 ORF region. The phylogenetic analysis in the P3 region showed that BYDV sequences segregate into three major lineages, the most frequent of which (Ker-I cluster) showed close homology with BYDV-PAV-I isolates and had very low intra-lineage diversity (0.6%). A similarly low diversity was also recorded in the hypervariable P6 region, suggesting that Ker-I isolates derive from the recent introduction of BYDV-PAV-I. Divergence time estimation suggests that BYDV-PAV-I was likely introduced in the Kerguelen environment at the same time frame as its aphid vector, Rhopalosiphum padi, whose distribution shows good overlap with that of BYDV-Ker-I. The two other lineages show more than 22% amino acid divergence in the P3 region with other known species in the BYDV species complex, indicating that they represent distinct BYDV species. Using species-specific amplification primers, the distribution of these novel species was analyzed. The high prevalence of BYDV on native Poaceae and the presence of the vector R. padi, raises the question of its impact on the vulnerable plant communities of this remote ecosystem.</t>
  </si>
  <si>
    <t>[Svanella-Dumas, Laurence; Candresse, Thierry; Marais, Armelle] INRA, UMR Biol Fruit &amp; Pathol 1332, Villenave Dornon, France; [Svanella-Dumas, Laurence; Candresse, Thierry; Marais, Armelle] Univ Bordeaux, UMR Biol Fruit &amp; Pathol 1332, Villenave Dornon, France; [Hulle, Maurice] INRA, Inst Genet Environm &amp; Protect Plantes, UMR 1349, Le Rheu, France</t>
  </si>
  <si>
    <t>INRAE; Universite de Bordeaux; INRAE</t>
  </si>
  <si>
    <t>Marais, A (corresponding author), INRA, UMR Biol Fruit &amp; Pathol 1332, CS20032, Villenave Dornon, France.</t>
  </si>
  <si>
    <t>amarais@bordeaux.inra.fr</t>
  </si>
  <si>
    <t>Marais, Armelle/0000-0003-2482-1543; Candresse, Thierry/0000-0001-9757-1835; Hulle, Maurice/0000-0002-9520-3454</t>
  </si>
  <si>
    <t>French ANR VMC project EVINCE [ANR-07-VULN-04-003]; French Polar Institute (IPEV) [136]</t>
  </si>
  <si>
    <t>French ANR VMC project EVINCE(Agence Nationale de la Recherche (ANR)); French Polar Institute (IPEV)</t>
  </si>
  <si>
    <t>This work was supported by the French ANR VMC project EVINCE (ANR-07-VULN-04-003) and by the French Polar Institute (IPEV, programme 136). The funders had no role in study design, data collection and analysis, decision to publish, or preparation of the manuscript.</t>
  </si>
  <si>
    <t>e67231</t>
  </si>
  <si>
    <t>10.1371/journal.pone.0067231</t>
  </si>
  <si>
    <t>WOS:000320576400180</t>
  </si>
  <si>
    <t>Mahlstein, I; Gent, PR; Solomon, S</t>
  </si>
  <si>
    <t>Mahlstein, Irina; Gent, Peter R.; Solomon, Susan</t>
  </si>
  <si>
    <t>Historical Antarctic mean sea ice area, sea ice trends, and winds in CMIP5 simulations</t>
  </si>
  <si>
    <t>Antarctic sea ice; CMIP5</t>
  </si>
  <si>
    <t>SOUTHERN-HEMISPHERE CLIMATE; OCEAN; OZONE; CIRCULATION; SURFACE</t>
  </si>
  <si>
    <t>In contrast to Arctic sea ice, average Antarctic sea ice area is not retreating but has slowly increased since satellite measurements began in 1979. While most climate models from the Coupled Model Intercomparison Project Phase 5 (CMIP5) archive simulate a decrease in Antarctic sea ice area over the recent past, whether these models can be dismissed as being wrong depends on more than just the sign of change compared to observations. We show that internal sea ice variability is large in the Antarctic region, and both the observed and modeled trends may represent natural variations along with external forcing. While several models show a negative trend, only a few of them actually show a trend that is significant compared to their internal variability on the time scales of available observational data. Furthermore, the ability of the models to simulate the mean state of sea ice is also important. The representations of Antarctic sea ice in CMIP5 models have not improved compared to CMIP3 and show an unrealistic spread in the mean state that may influence future sea ice behavior. Finally, Antarctic climate and sea ice area will be affected not only by ocean and air temperature changes but also by changes in the winds. The majority of the CMIP5 models simulate a shift that is too weak compared to observations. Thus, this study identifies several foci for consideration in evaluating and improving the modeling of climate and climate change in the Antarctic region.</t>
  </si>
  <si>
    <t>[Mahlstein, Irina] Univ Colorado, Cooperat Inst Res Environm Sci, Boulder, CO 80309 USA; [Mahlstein, Irina] NOAA Earth Syst Res Lab, Boulder, CO 80305 USA; [Gent, Peter R.] Natl Ctr Atmospher Res, Boulder, CO 80307 USA; [Solomon, Susan] MIT, Dept Earth Atmospher &amp; Planetary Sci, Cambridge, MA USA</t>
  </si>
  <si>
    <t>University of Colorado System; University of Colorado Boulder; National Oceanic Atmospheric Admin (NOAA) - USA; National Center Atmospheric Research (NCAR) - USA; Massachusetts Institute of Technology (MIT)</t>
  </si>
  <si>
    <t>Mahlstein, I (corresponding author), NOAA Earth Syst Res Lab, Boulder, CO 80305 USA.</t>
  </si>
  <si>
    <t>irina.mahlstein@meteoswiss.ch</t>
  </si>
  <si>
    <t>Gent, Peter/HGB-9457-2022; Mahlstein, Irina/D-5373-2013</t>
  </si>
  <si>
    <t>Office of Polar Programs (OPP); Directorate For Geosciences [0908675] Funding Source: National Science Foundation</t>
  </si>
  <si>
    <t>Office of Polar Programs (OPP); Directorate For Geosciences(National Science Foundation (NSF)NSF - Directorate for Geosciences (GEO))</t>
  </si>
  <si>
    <t>JUN 16</t>
  </si>
  <si>
    <t>10.1002/jgrd.50443</t>
  </si>
  <si>
    <t>228TG</t>
  </si>
  <si>
    <t>WOS:000325212600004</t>
  </si>
  <si>
    <t>Lenaerts, JTM; van Meijgaard, E; van den Broeke, MR; Ligtenberg, SRM; Horwath, M; Isaksson, E</t>
  </si>
  <si>
    <t>Lenaerts, Jan T. M.; van Meijgaard, Erik; van den Broeke, Michiel R.; Ligtenberg, Stefan R. M.; Horwath, Martin; Isaksson, Elisabeth</t>
  </si>
  <si>
    <t>Recent snowfall anomalies in Dronning Maud Land, East Antarctica, in a historical and future climate perspective</t>
  </si>
  <si>
    <t>climate variability; East Antarctica; surface mass balance; sea level rise; ice sheet mass balance; climate modeling</t>
  </si>
  <si>
    <t>SURFACE MASS-BALANCE; ACCUMULATION RATES; SPATIAL VARIATION; VARIABILITY; PRECIPITATION; STATION</t>
  </si>
  <si>
    <t>Enhanced snowfall on the East Antarctic ice sheet is projected to significantly mitigate 21st century global sea level rise. In recent years (2009 and 2011), regionally extreme snowfall anomalies in Dronning Maud Land, in the Atlantic sector of East Antarctica, have been observed. It has been unclear, however, whether these anomalies can be ascribed to natural decadal variability, or whether they could signal the beginning of a long-term increase of snowfall. Here we use output of a regional atmospheric climate model, evaluated with available firn core records and gravimetry observations, and show that such episodes had not been seen previously in the satellite climate data era (1979). Comparisons with historical data that originate from firn cores, one with records extending back to the 18th century, confirm that accumulation anomalies of this scale have not occurred in the past similar to 60 years, although comparable anomalies are found further back in time. We examined several regional climate model projections, describing various warming scenarios into the 21st century. Anomalies with magnitudes similar to the recently observed ones were not present in the model output for the current climate, but were found increasingly probable toward the end of the 21st century.</t>
  </si>
  <si>
    <t>[Lenaerts, Jan T. M.; van den Broeke, Michiel R.; Ligtenberg, Stefan R. M.] Inst Marine &amp; Atmospher Res Utrecht, Utrecht, Netherlands; [van Meijgaard, Erik] Royal Netherlands Meteorol Inst, NL-3730 AE De Bilt, Netherlands; [Horwath, Martin] Tech Univ Munich, Inst Astronom &amp; Phys Geodasie, D-80290 Munich, Germany; [Isaksson, Elisabeth] Norwegian Polar Res Inst, Tromso, Norway</t>
  </si>
  <si>
    <t>Utrecht University; Royal Netherlands Meteorological Institute; Technical University of Munich; Norwegian Polar Institute</t>
  </si>
  <si>
    <t>Lenaerts, JTM (corresponding author), Univ Utrecht, Inst Marine &amp; Atmospher Res Utrecht, 5 Princetonpl, NL-3584 CC Utrecht, Netherlands.</t>
  </si>
  <si>
    <t>jtmlenaerts@gmail.com</t>
  </si>
  <si>
    <t>Lenaerts, Jan/D-9423-2012; Horwath, Martin/F-9239-2011; Van den Broeke, Michiel R./F-7867-2011; Ligtenberg, Stefan/AAF-8290-2020; Horwath, Martin/ABH-4320-2020</t>
  </si>
  <si>
    <t>Lenaerts, Jan/0000-0003-4309-4011; Horwath, Martin/0000-0001-5797-244X; Van den Broeke, Michiel R./0000-0003-4662-7565;</t>
  </si>
  <si>
    <t>10.1002/grl.50559</t>
  </si>
  <si>
    <t>175VL</t>
  </si>
  <si>
    <t>WOS:000321261600038</t>
  </si>
  <si>
    <t>Couldrey, MP; Jullion, L; Naveira Garabato, AC; Rye, C; Herráiz-Borreguero, L; Brown, PJ; Meredith, MP; Speer, KL</t>
  </si>
  <si>
    <t>Couldrey, Matthew P.; Jullion, Loic; Naveira Garabato, Alberto C.; Rye, Craig; Herraiz-Borreguero, Laura; Brown, Peter J.; Meredith, Michael P.; Speer, Kevin L.</t>
  </si>
  <si>
    <t>Remotely induced warming of Antarctic Bottom Water in the eastern Weddell gyre</t>
  </si>
  <si>
    <t>AABW; ACC; Southern Ocean; Cape Darnley</t>
  </si>
  <si>
    <t>SOUTHERN-OCEAN; CIRCUMPOLAR CURRENT; SEA; CIRCULATION; MASSES; HEAT; DEEP; TRANSPORT; ABYSSAL; CARBON</t>
  </si>
  <si>
    <t>Four repeat hydrographic sections across the eastern Weddell gyre at 30 degrees E reveal a warming (by similar to 0.1 degrees C) and lightening (by similar to 0.02-0.03 kg m(-3)) of the Antarctic Bottom Water (AABW) entering the gyre from the Indian sector of the Southern Ocean between the mid-1990s and late 2000s. Historical hydrographic and altimetric measurements in the region suggest that the most likely explanation for the change is increased entrainment of warmer mid-depth Circumpolar Deep Water by cascading shelf water plumes close to Cape Darnley, where the Indian-sourced AABW entering the Weddell gyre from the east is ventilated. This change in entrainment is associated with a concurrent southward shift of the Antarctic Circumpolar Current's (ACC) southern boundary in the region. This mechanism of AABW warming may affect wherever the ACC flows close to Antarctica.</t>
  </si>
  <si>
    <t>[Couldrey, Matthew P.; Jullion, Loic; Naveira Garabato, Alberto C.; Rye, Craig] Univ Southampton, Natl Oceanog Ctr, Southampton SO14 3ZH, Hants, England; [Jullion, Loic] Florida State Univ, Inst Geophys Fluid Dynam, Tallahassee, FL 32306 USA; [Herraiz-Borreguero, Laura] Univ Tasmania, Antarctic Ecosyst &amp; Climate Cooperat Res Ctr, Hobart, Tas, Australia; [Brown, Peter J.] Univ E Anglia, Sch Environm Sci, Norwich NR4 7TJ, Norfolk, England; [Brown, Peter J.; Meredith, Michael P.] British Antarctic Survey, Cambridge CB3 0ET, England; [Meredith, Michael P.] Scottish Assoc Marine Sci, Oban, Argyll, Scotland; [Speer, Kevin L.] Florida State Univ, Dept Earth Ocean &amp; Atmospher Sci, Tallahassee, FL 32306 USA</t>
  </si>
  <si>
    <t>University of Southampton; NERC National Oceanography Centre; State University System of Florida; Florida State University; University of Tasmania; University of East Anglia; UK Research &amp; Innovation (UKRI); Natural Environment Research Council (NERC); NERC British Antarctic Survey; UHI Millennium Institute; State University System of Florida; Florida State University</t>
  </si>
  <si>
    <t>Couldrey, MP (corresponding author), Univ Southampton, Natl Oceanog Ctr, Southampton SO14 3ZH, Hants, England.</t>
  </si>
  <si>
    <t>couldrey.matthew@gmail.com</t>
  </si>
  <si>
    <t>Rye, Craig/AAU-7772-2021; Brown, Peter/AAN-4372-2020; Garabato, Alberto Naveira/AAQ-1114-2020; Herraiz-Borreguero, Laura/D-5795-2015; Jullion, Loic/B-3304-2011</t>
  </si>
  <si>
    <t>Brown, Peter/0000-0002-1152-1114; Garabato, Alberto Naveira/0000-0001-6071-605X; Meredith, Michael/0000-0002-7342-7756; Herraiz-Borreguero, Laura/0000-0002-4455-801X; Jullion, Loic/0000-0001-6269-6750</t>
  </si>
  <si>
    <t>NERC [NE/E01366X/1]; NSF [OCE-0927583, OCE-0622670]; Natural Environment Research Council [NE/E01366X/1, NE/E013341/1, bas0100028] Funding Source: researchfish; NERC [NE/E01366X/1, NE/E013341/1, bas0100028] Funding Source: UKRI</t>
  </si>
  <si>
    <t>NERC(UK Research &amp; Innovation (UKRI)Natural Environment Research Council (NERC)); NSF(National Science Foundation (NSF)); Natural Environment Research Council(UK Research &amp; Innovation (UKRI)Natural Environment Research Council (NERC)); NERC(UK Research &amp; Innovation (UKRI)Natural Environment Research Council (NERC))</t>
  </si>
  <si>
    <t>We thank both reviewers for their helpful comments, the crews and science teams whose work has made this study possible, particularly Rana Fine, Sabrina Speich and Jim Happell for the I6S 2008 CFC data, NERC grant NE/E01366X/1 and NSF Grants OCE-0927583 and OCE-0622670 for financial support.</t>
  </si>
  <si>
    <t>10.1002/grl.50526</t>
  </si>
  <si>
    <t>WOS:000321261600051</t>
  </si>
  <si>
    <t>Ma, YX; Xie, ZY; Yang, HZ; Möller, A; Halsall, C; Cai, MH; Sturm, R; Ebinghaus, R</t>
  </si>
  <si>
    <t>Ma, Yuxin; Xie, Zhiyong; Yang, Haizhen; Moeller, Axel; Halsall, Crispin; Cai, Minghong; Sturm, Renate; Ebinghaus, Ralf</t>
  </si>
  <si>
    <t>Deposition of polycyclic aromatic hydrocarbons in the North Pacific and the Arctic</t>
  </si>
  <si>
    <t>air-sea exchange; Arctic; North Pacific; PAHs</t>
  </si>
  <si>
    <t>POLYCHLORINATED-BIPHENYLS; SPATIAL-DISTRIBUTION; SURFACE SEAWATER; EAST-ASIA; PAHS; AIR; ATLANTIC; WATER; TRANSPORT; PESTICIDES</t>
  </si>
  <si>
    <t>Eighteen polycyclic aromatic hydrocarbons (PAHs) were simultaneously measured in surface seawater and boundary layer air from the North Pacific toward the Arctic Ocean during the Fourth Chinese National Arctic Research Expedition in the summer of 2010. Atmospheric sigma(18)PAH ranged from 910 to 7400 pg m(-3), with the highest concentrations observed in the coastal regions of East Asia. Correlations of PAHs' partial pressures versus inverse temperature were not significant, indicating the importance of ongoing primary sources on ambient PAH levels in the remote marine atmosphere. The relatively high atmospheric concentrations observed in the most northerly latitudes of the Arctic Ocean suggest the influence of regional sources. For example, higher levels of particle-bound PAHs were observed in the air of the Arctic Ocean than the North Pacific, indicating forest fire and/or within-Arctic sources. Concentrations of PAHs in surface seawater were within a range of 14-760 pg L-1 and generally decreased with increasing latitude. The observed air-sea gas exchange gradients strongly favored net deposition of PAHs along the entire cruise, with increasing deposition with increasing latitude, while the particle-bound dry deposition fluxes (particularly for the high molecular weight PAH) were highest at sample sites close to East Asia. Based on characteristic PAH ratios, atmospheric PAHs originated from the combustion of biomass or coal, while the ratios observed in seawater reflected a mixture of sources. Given the dominance of primary emissions to the atmosphere and the relatively fast removal of PAHs from the water column, then PAHs will continue to load into the surface waters of the remote marine environment via atmospheric deposition.</t>
  </si>
  <si>
    <t>[Ma, Yuxin; Yang, Haizhen] Tongji Univ, State Key Lab Pollut Control &amp; Resource Reuse, Coll Environm Sci &amp; Engn, Shanghai 200092, Peoples R China; [Ma, Yuxin; Cai, Minghong] Polar Res Inst China, SOA Key Lab Polar Sci, Shanghai, Peoples R China; [Ma, Yuxin; Halsall, Crispin] Univ Lancaster, Lancaster Environm Ctr, Lancaster, England; [Xie, Zhiyong; Moeller, Axel; Sturm, Renate; Ebinghaus, Ralf] Ctr Mat &amp; Coastal Res GmbH, Helmholtz Zentrum Geesthacht, Inst Coastal Res, DE-21502 Geesthacht, Germany</t>
  </si>
  <si>
    <t>Tongji University; Polar Research Institute of China; Lancaster University; Helmholtz Association; Helmholtz-Zentrum Hereon</t>
  </si>
  <si>
    <t>Xie, ZY (corresponding author), Ctr Mat &amp; Coastal Res GmbH, Helmholtz Zentrum Geesthacht, Inst Coastal Res, Max Planck Str 1, DE-21502 Geesthacht, Germany.</t>
  </si>
  <si>
    <t>zhiyong.xie@hzg.de</t>
  </si>
  <si>
    <t>Xie, Zhiyong/E-8436-2014; MA, Yuxin/AAG-8630-2020; Halsall, Crispin/D-8135-2014</t>
  </si>
  <si>
    <t>Halsall, Crispin/0000-0001-8007-9756</t>
  </si>
  <si>
    <t>National Natural Science Foundation of China [40776003]; Science Foundation of Shanghai Municipal Government [12ZR1434800]; Natural Environment Research Council [ceh010010] Funding Source: researchfish</t>
  </si>
  <si>
    <t>National Natural Science Foundation of China(National Natural Science Foundation of China (NSFC)); Science Foundation of Shanghai Municipal Government; Natural Environment Research Council(UK Research &amp; Innovation (UKRI)Natural Environment Research Council (NERC))</t>
  </si>
  <si>
    <t>We wish to express our sincere gratitude to all the members of the Fourth Chinese National Arctic Research Expedition. This research was supported by the National Natural Science Foundation of China (40776003) and the Science Foundation of Shanghai Municipal Government (12ZR1434800). We thank Peng Huang (Xiamen University) for field sampling, Wenying Mi (HZG) for sample analysis, Volker Matthias (HZG) for help with plotting the BTs, Northern Contaminants Program (Aboriginal Affairs and Northern Development Canada) and Hayley Hung (Environment Canada) for providing the PAH data from the NCP air station at Alert, Canada, and the Chinese National Arctic and Antarctic Data Center (http://www.chinare.org.cn) for providing the meteorological data.</t>
  </si>
  <si>
    <t>10.1002/jgrd.50473</t>
  </si>
  <si>
    <t>WOS:000325212600044</t>
  </si>
  <si>
    <t>Vaughan, D</t>
  </si>
  <si>
    <t>Vaughan, David</t>
  </si>
  <si>
    <t>Uncertain sea levels</t>
  </si>
  <si>
    <t>NEW SCIENTIST</t>
  </si>
  <si>
    <t>Letter</t>
  </si>
  <si>
    <t>Vaughan, D (corresponding author), British Antarctic Survey, Cambridge CB3 0ET, England.</t>
  </si>
  <si>
    <t>REED BUSINESS INFORMATION LTD</t>
  </si>
  <si>
    <t>SUTTON</t>
  </si>
  <si>
    <t>QUADRANT HOUSE THE QUADRANT, SUTTON SM2 5AS, SURREY, ENGLAND</t>
  </si>
  <si>
    <t>0262-4079</t>
  </si>
  <si>
    <t>NEW SCI</t>
  </si>
  <si>
    <t>New Sci.</t>
  </si>
  <si>
    <t>JUN 15</t>
  </si>
  <si>
    <t>166OD</t>
  </si>
  <si>
    <t>WOS:000320564600019</t>
  </si>
  <si>
    <t>Corcilius, L; Santhakumar, G; Stone, RS; Capicciotti, CJ; Joseph, S; Matthews, JM; Ben, RN; Payne, RJ</t>
  </si>
  <si>
    <t>Corcilius, Leo; Santhakumar, Gajan; Stone, Robin S.; Capicciotti, Chantelle J.; Joseph, Soumya; Matthews, Jacqueline M.; Ben, Robert N.; Payne, Richard J.</t>
  </si>
  <si>
    <t>Synthesis of peptides and glycopeptides with polyproline II helical topology as potential antifreeze molecules</t>
  </si>
  <si>
    <t>BIOORGANIC &amp; MEDICINAL CHEMISTRY</t>
  </si>
  <si>
    <t>Glycopeptides; Antifreeze glycoprotein; Carbohydrate; Hydroxyproline; Polyproline II helix</t>
  </si>
  <si>
    <t>INHIBIT ICE RECRYSTALLIZATION; ANTARCTIC FISH; AFGP ANALOGS; GLYCOPROTEIN ANALOGS; FREEZING RESISTANCE; HUMAN PLATELETS; POLAR FISH; PROTEINS; CONFORMATION; ADSORPTION</t>
  </si>
  <si>
    <t>A library of peptides and glycopeptides containing (4R)-hydroxy-L-proline (Hyp) residues were designed with a view to providing stable polyproline II (PPII) helical molecules with antifreeze activity. A library of dodecapeptides containing contiguous Hyp residues or an Ala-Hyp-Ala tripeptide repeat sequence were synthesized with and without alpha-O-linked N-acetylgalactosamine and a-O-linked galactose-beta-(1 -&gt; 3)-N-acetylgalactosamine appended to the peptide backbone. All (glyco) peptides possessed PPII helical secondary structure with some showing significant thermal stability. The majority of the (glyco) peptides did not exhibit thermal hysteresis (TH) activity and were not capable of modifying the morphology of ice crystals. However, an unglycosylated Ala-Hyp-Ala repeat peptide did show significant TH and ice crystal re-shaping activity suggesting that it was capable of binding to the surface of ice. All (glyco) peptides synthesized displayed some ice recrystallization inhibition (IRI) activity with unglycosylated peptides containing the Ala-Hyp-Ala motif exhibiting the most potent inhibitory activity. Interestingly, although glycosylation is critical to the activity of native antifreeze glycoproteins (AFGPs) that possess an Ala-Thr-Ala tripeptide repeat, this same structural modification is detrimental to the antifreeze activity of the Ala-Hyp-Ala repeat peptides studied here. (C) 2013 Elsevier Ltd. All rights reserved.</t>
  </si>
  <si>
    <t>[Corcilius, Leo; Santhakumar, Gajan; Stone, Robin S.; Payne, Richard J.] Univ Sydney, Sch Chem, Sydney, NSW 2006, Australia; [Capicciotti, Chantelle J.; Ben, Robert N.] Univ Ottawa, Dept Chem, Ottawa, ON K1N 6N5, Canada; [Joseph, Soumya; Matthews, Jacqueline M.] Univ Sydney, Sch Mol Biosci, Sydney, NSW 2006, Australia</t>
  </si>
  <si>
    <t>University of Sydney; University of Ottawa; University of Sydney</t>
  </si>
  <si>
    <t>Payne, RJ (corresponding author), Univ Sydney, Sch Chem, Sydney, NSW 2006, Australia.</t>
  </si>
  <si>
    <t>richard.payne@sydney.edu.au</t>
  </si>
  <si>
    <t>Matthews, Jacqueline M/A-7322-2013; Payne, Richard/AAH-3666-2021</t>
  </si>
  <si>
    <t>Joseph, Soumya/0000-0002-0487-1378; Ben, Robert/0000-0002-4625-5389; Corcilius, Leo/0009-0003-0155-3619; Payne, Richard/0000-0002-3618-9226; Matthews, Jacqueline/0000-0001-8518-3472</t>
  </si>
  <si>
    <t>Henry Bertie and Mabel Gritton Scholarship; Australian Postgraduate Award (APA); Canadian Blood Services; National Health and Medical Research Council</t>
  </si>
  <si>
    <t>Henry Bertie and Mabel Gritton Scholarship; Australian Postgraduate Award (APA)(Australian Government); Canadian Blood Services; National Health and Medical Research Council(National Health &amp; Medical Research Council (NHMRC) of Australia)</t>
  </si>
  <si>
    <t>The authors would like to acknowledge the Henry Bertie and Mabel Gritton Scholarship (G. S.), the Australian Postgraduate Award (APA) (S.J.) schemes for Ph.D. funding, the Canadian Blood Services for a GFP award (C.J.C.) and the National Health and Medical Research Council for fellowship funding (J.M.M.). We would also like to thank Dr. Ian Luck and Dr. Nick Proschogo for technical support with NMR spectroscopy and mass spectrometry, respectively.</t>
  </si>
  <si>
    <t>0968-0896</t>
  </si>
  <si>
    <t>BIOORGAN MED CHEM</t>
  </si>
  <si>
    <t>Bioorg. Med. Chem.</t>
  </si>
  <si>
    <t>10.1016/j.bmc.2013.02.025</t>
  </si>
  <si>
    <t>Biochemistry &amp; Molecular Biology; Chemistry, Medicinal; Chemistry, Organic</t>
  </si>
  <si>
    <t>Science Citation Index Expanded (SCI-EXPANDED); Index Chemicus (IC)</t>
  </si>
  <si>
    <t>Biochemistry &amp; Molecular Biology; Pharmacology &amp; Pharmacy; Chemistry</t>
  </si>
  <si>
    <t>152AW</t>
  </si>
  <si>
    <t>WOS:000319502800024</t>
  </si>
  <si>
    <t>Domine, F; Bock, J; Voisin, D; Donaldson, DJ</t>
  </si>
  <si>
    <t>Domine, Florent; Bock, Josue; Voisin, Didier; Donaldson, D. J.</t>
  </si>
  <si>
    <t>Can We Model Snow Photochemistry? Problems with the Current Approaches</t>
  </si>
  <si>
    <t>JOURNAL OF PHYSICAL CHEMISTRY A</t>
  </si>
  <si>
    <t>SEMIVOLATILE ORGANIC-COMPOUNDS; POLYCYCLIC AROMATIC-HYDROCARBONS; QUASI-LIQUID LAYER; TO-FIRN TRANSFER; SURFACE-AREA; ICE SURFACES; ARCTIC SNOWPACK; QUANTUM YIELDS; ALERT 2000; GAS-PHASE</t>
  </si>
  <si>
    <t>Snow is a very active photochemical reactor that considerably affects the composition and chemistry of the lower troposphere in polar regions. Snow photochemistry models have therefore been recently developed to describe these processes. In all those models, the chemically active medium is a brine formed at the surface of snow crystals by impurities whose presence cause surface melting. Reaction and photolysis rate coefficients are those measured in dilute liquid solutions. Here, we critically examine the basis for these models by considering the structure of ice crystal surfaces, the processes involved in the interactions between impurities and ice crystals, the location of impurities in snow, and the reactivity of impurities in the various media present in snow. We conclude that the brine formed by impurities can only be present in grooves at grain boundaries and cannot cover ice crystal surfaces because of insufficient ice wettability. It is then very likely that most reactions in snow do not take place in liquids, but rather either on an actual ice surface highly different from a liquid or in particulate matter contained in snow, such as organic particles that are thought to contain most snow chromophores. We discuss why some snow models appear to adequately reproduce some observations, concluding that they are insufficiently constrained and that the use of adjustable parameters allows acceptable fits. We discuss the complexity of developing a snow model without adjustable parameters and with a predictive value. We conclude that reaching this goal in the near future is a tremendous challenge. Modeling attempts focused on snow where the impact of organic particles is minimal, such as on the east Antarctic plateau, represents the best chance of midterm success.</t>
  </si>
  <si>
    <t>[Domine, Florent] Univ Laval, Takuvik Joint Int Lab, Quebec City, PQ G1V 0A6, Canada; [Domine, Florent] CNRS, F-75700 Paris, France; [Domine, Florent] Univ Laval, Dept Chem, Quebec City, PQ G1V 0A6, Canada; [Bock, Josue; Voisin, Didier] Univ Grenoble 1, CNRS, Lab Glaciol &amp; Geophys Environm, UMR 5183, F-38041 Grenoble, France; [Donaldson, D. J.] Univ Toronto, Dept Chem, Toronto, ON M1C 1A4, Canada; [Donaldson, D. J.] Univ Toronto Scarborough, Dept Phys &amp; Environm Sci, Toronto, ON, Canada</t>
  </si>
  <si>
    <t>Laval University; Centre National de la Recherche Scientifique (CNRS); Laval University; Communaute Universite Grenoble Alpes; Universite Grenoble Alpes (UGA); Centre National de la Recherche Scientifique (CNRS); University of Toronto; University of Toronto; University Toronto Scarborough</t>
  </si>
  <si>
    <t>Domine, F (corresponding author), Univ Laval, Takuvik Joint Int Lab, Pavillon Alexandre Vachon,1045 Ave Med, Quebec City, PQ G1V 0A6, Canada.</t>
  </si>
  <si>
    <t>florent.domine@gmail.com</t>
  </si>
  <si>
    <t>voisin, didier/ABE-6110-2020; Donaldson, James/G-7120-2012</t>
  </si>
  <si>
    <t>voisin, didier/0000-0003-1317-7561; Bock, Josue/0000-0003-4574-9229; Donaldson, James/0000-0002-5090-3318</t>
  </si>
  <si>
    <t>French Polar Institute (IPEV); NSERC; CFCAS</t>
  </si>
  <si>
    <t>French Polar Institute (IPEV); NSERC(Natural Sciences and Engineering Research Council of Canada (NSERC)); CFCAS</t>
  </si>
  <si>
    <t>Many of the ideas and some of the data presented here were possible thanks to polar campaigns for which funds were provided by the French Polar Institute (IPEV) to F.D. The scanning electromicrographs of Figure I were obtained at the Crystallography Department of the University of Gottingen, Germany, thanks to Prof. W. F. Kuhs and colleagues. The chemical analyses of Figure 3 were performed in Svalbard by Antonietta Ianniello, from CNR Rome. D.J.D. acknowledges financial support from NSERC and CFCAS for studies on ice surface chemistry.</t>
  </si>
  <si>
    <t>1089-5639</t>
  </si>
  <si>
    <t>1520-5215</t>
  </si>
  <si>
    <t>J PHYS CHEM A</t>
  </si>
  <si>
    <t>J. Phys. Chem. A</t>
  </si>
  <si>
    <t>JUN 13</t>
  </si>
  <si>
    <t>10.1021/jp3123314</t>
  </si>
  <si>
    <t>Chemistry, Physical; Physics, Atomic, Molecular &amp; Chemical</t>
  </si>
  <si>
    <t>Chemistry; Physics</t>
  </si>
  <si>
    <t>167OH</t>
  </si>
  <si>
    <t>WOS:000320640800001</t>
  </si>
  <si>
    <t>Bijl, PK; Bendle, JAP; Bohaty, SM; Pross, J; Schouten, S; Tauxe, L; Stickley, CE; Mckay, RM; Röhl, U; Olney, M; Sluijs, A; Escutia, C; Brinkhuis, H; Klaus, A; Fehr, A; Williams, T; Carr, SA; Dunbar, RB; Gonzàlez, JJ; Hayden, TG; Iwai, M; Jimenez-Espejo, FJ; Katsuki, K; Kong, GS; Nakai, M; Passchier, S; Pekar, SF; Riesselman, C; Sakai, T; Shrivastava, PK; Sugisaki, S; Tuo, S; van De Flierdt, T; Welsh, K; Yamane, M</t>
  </si>
  <si>
    <t>Bijl, Peter K.; Bendle, James A. P.; Bohaty, Steven M.; Pross, Joerg; Schouten, Stefan; Tauxe, Lisa; Stickley, Catherine E.; McKay, Robert M.; Roehl, Ursula; Olney, Matthew; Sluijs, Appy; Escutia, Carlota; Brinkhuis, Henk; Klaus, Adam; Fehr, Annick; Williams, Trevor; Carr, Stephanie A.; Dunbar, Robert B.; Gonzalez, Jhon J.; Hayden, Travis G.; Iwai, Masao; Jimenez-Espejo, Francisco J.; Katsuki, Kota; Kong, Gee Soo; Nakai, Mutsumi; Passchier, Sandra; Pekar, Stephen F.; Riesselman, Christina; Sakai, Toyosaburo; Shrivastava, Prakash K.; Sugisaki, Saiko; Tuo, Shouting; van de Flierdt, Tina; Welsh, Kevin; Yamane, Masako</t>
  </si>
  <si>
    <t>Expedition 318 Scientists</t>
  </si>
  <si>
    <t>Eocene cooling linked to early flow across the Tasmanian Gateway</t>
  </si>
  <si>
    <t>climate cooling; dinoflagellate cysts; organic palaeothermometry; paleoceanography</t>
  </si>
  <si>
    <t>CONTINENTAL-MARGIN; TETRAETHER LIPIDS; MEMBRANE-LIPIDS; SOUTH-PACIFIC; CLIMATE; OCEAN; GREENHOUSE; EVOLUTION; ASSEMBLAGES; ICEHOUSE</t>
  </si>
  <si>
    <t>The warmest global temperatures of the past 85 million years occurred during a prolonged greenhouse episode known as the Early Eocene Climatic Optimum (52-50 Ma). The Early Eocene Climatic Optimum terminated with a long-term cooling trend that culminated in continental-scale glaciation of Antarctica from 34 Ma onward. Whereas early studies attributed the Eocene transition from greenhouse to icehouse climates to the tectonic opening of Southern Ocean gateways, more recent investigations invoked a dominant role of declining atmospheric greenhouse gas concentrations (e.g., CO2). However, the scarcity of field data has prevented empirical evaluation of these hypotheses. We present marine microfossil and organic geochemical records spanning the early-to-middle Eocene transition from the Wilkes Land Margin, East Antarctica. Dinoflagellate biogeography and sea surface temperature paleothermometry reveal that the earliest throughflow of a westbound Antarctic Counter Current began similar to 49-50 Ma through a southern opening of the Tasmanian Gateway. This early opening occurs in conjunction with the simultaneous onset of regional surface water and continental cooling (2-4 degrees C), evidenced by biomarker- and pollen-based paleothermometry. We interpret that the westbound flowing current flow across the Tasmanian Gateway resulted in cooling of Antarctic surface waters and coasts, which was conveyed to global intermediate waters through invigorated deep convection in southern high latitudes. Although atmospheric CO2 forcing alone would provide a more uniform middle Eocene cooling, the opening of the Tasmanian Gateway better explains Southern Ocean surface water and global deep ocean cooling in the apparent absence of (sub-) equatorial cooling.</t>
  </si>
  <si>
    <t>[Bijl, Peter K.; Sluijs, Appy; Brinkhuis, Henk] Univ Utrecht, Dept Earth Sci, Fac Geosci, NL-3584 CD Utrecht, Netherlands; [Bendle, James A. P.] Univ Glasgow, Glasgow G12 8QQ, Lanark, Scotland; [Bohaty, Steven M.] Univ Southampton, Southampton SO14 3ZH, Hants, England; [Pross, Joerg] Goethe Univ Frankfurt, Inst Geosci, Paleoenvironm Dynam Grp, D-60438 Frankfurt, Germany; [Pross, Joerg] Biodivers &amp; Climate Res Ctr, D-60325 Frankfurt, Germany; [Schouten, Stefan; Brinkhuis, Henk] NIOZ Royal Netherlands Inst Sea Res, NL-1790 AB Den Burg, Texel, Netherlands; [Tauxe, Lisa] Univ Calif San Diego, Scripps Inst Oceanog, Geosci Res Div, La Jolla, CA 92093 USA; [Stickley, Catherine E.] Univ Troms, Dept Geol, N-9037 Tromso, Norway; [McKay, Robert M.] Victoria Univ Wellington, Antarctic Res Ctr, Wellington 6140, New Zealand; [Roehl, Ursula] Univ Bremen, MARUM Ctr Marine Environm Sci, D-28359 Bremen, Germany; [Olney, Matthew] Univ S Florida, Dept Geol, Tampa, FL 33620 USA; [Escutia, Carlota] Univ Granada, Consejo Super Invest Cient Spain, Inst Andaluz Ciencias Tierra, Granada 18002, Spain; [Klaus, Adam] Texas A&amp;M Univ, US Implementing Org, Integrated Ocean Drilling Program, College Stn, TX 77845 USA; [Fehr, Annick] Rhein Westfal TH Aachen, Inst Appl Geophys &amp; Geothermal Energy, D-52074 Aachen, Germany; [Williams, Trevor] Columbia Univ, Lamont Doherty Geol Observ, Borehole Res Grp, Palisades, NY 10964 USA; [Carr, Stephanie A.] Colorado Sch Mines, Dept Chem &amp; Geochem, Golden, CO 80401 USA; [Dunbar, Robert B.; Pekar, Stephen F.] Stanford Univ, Dept Environm Earth Syst Sci, Stanford, CA 94305 USA; [Gonzalez, Jhon J.; Jimenez-Espejo, Francisco J.] Univ Granada, Inst Andaluz Ciencias Tierra, CSIC, Granada, Spain; [Hayden, Travis G.] Western Michigan Univ, Dept Geol, Kalamazoo, MI 49008 USA; [Iwai, Masao] Kochi Univ, Dept Nat Sci, Kochi, Japan; [Jimenez-Espejo, Francisco J.] Japan Agcy Marine Earth Sci &amp; Technol, Inst Res Earth Evolut, 2-15 Natsushimacho, Yokosuka, Kanagawa 2370061, Japan; [Katsuki, Kota] Kochi Univ, Marine Ctr Adv Core Res, Kochi, Japan; [Kong, Gee Soo] Korea Inst Geosci &amp; Mineral Resource, Petr &amp; Marine Res Div, Daejeon 305350, South Korea; [Nakai, Mutsumi] Daito Bunka Univ, Dept Educ, Itabashi Ku, 1-9-1 Takashima Daira, Tokyo 1758571, Japan; [Passchier, Sandra] Montclair State Univ, Earth &amp; Environm Studies, Montclair, NJ 07043 USA; [Pekar, Stephen F.] CUNY Queens Coll, Sch Earth &amp; Environm Studies, Flushing, NY 11367 USA; [Pekar, Stephen F.] US Geol Survey, Eastern Geol &amp; Palaeoclimate Sci Ctr, Reston, VA 20192 USA; [Sakai, Toyosaburo] Utsunomiya Univ, Dept Geol, Utsunomiya, Tochigi 3218505, Japan; [Shrivastava, Prakash K.] NIT, NH5P, Geol Survey India, Antarctica Div, Faridabad, Haryana, India; [Sugisaki, Saiko] Grad Univ Adv Studies, Dept Polar Sci, Tachikawa, Tokyo 1908518, Japan; [Sugisaki, Saiko] Japan Agcy Marine Earth Sci &amp; Technol, 2-15 Natsushimacho, Yokosuka, Kanagawa 2370061, Japan; [Sugisaki, Saiko] Univ Calif San Diego, Scripps Inst Oceanog, La Jolla, CA 92093 USA; [Tuo, Shouting] Tongji Univ, Sch Ocean &amp; Earth Sci, Shanghai 200092, Peoples R China; [van de Flierdt, Tina] Univ London Imperial Coll Sci Technol &amp; Med, Dept Earth Sci &amp; Engn, London SW7 2AZ, England; [Welsh, Kevin] Univ Queensland, Sch Earth Sci, Brisbane, Qld 4072, Australia; [Yamane, Masako] Univ Tokyo, Earth &amp; Planetary Sci, Tokyo 1130033, Japan</t>
  </si>
  <si>
    <t>Utrecht University; University of Glasgow; University of Southampton; Goethe University Frankfurt; Utrecht University; Royal Netherlands Institute for Sea Research (NIOZ); University of California System; University of California San Diego; Scripps Institution of Oceanography; UiT The Arctic University of Tromso; Victoria University Wellington; University of Bremen; State University System of Florida; University of South Florida; University of Granada; Consejo Superior de Investigaciones Cientificas (CSIC); CSIC - Instituto Andaluz de Ciencias de la Tierra (IACT); Texas A&amp;M University System; Texas A&amp;M University College Station; RWTH Aachen University; Columbia University; Colorado School of Mines; Stanford University; Consejo Superior de Investigaciones Cientificas (CSIC); CSIC - Instituto Andaluz de Ciencias de la Tierra (IACT); University of Granada; Western Michigan University; Kochi University; Japan Agency for Marine-Earth Science &amp; Technology (JAMSTEC); Kochi University; Korea Institute of Geoscience &amp; Mineral Resources (KIGAM); Montclair State University; City University of New York (CUNY) System; Queens College NY (CUNY); United States Department of the Interior; United States Geological Survey; Utsunomiya University; Geological Survey India; Graduate University for Advanced Studies - Japan; Japan Agency for Marine-Earth Science &amp; Technology (JAMSTEC); University of California System; University of California San Diego; Scripps Institution of Oceanography; Tongji University; Imperial College London; University of Queensland; University of Tokyo</t>
  </si>
  <si>
    <t>Bijl, PK (corresponding author), Univ Utrecht, Dept Earth Sci, Fac Geosci, NL-3584 CD Utrecht, Netherlands.</t>
  </si>
  <si>
    <t>p.k.bijl@uu.nl</t>
  </si>
  <si>
    <t>Brinkhuis, Henk/IUO-8165-2023; McKay, Robert/N-2449-2015; Passchier, Sandra/GYU-2381-2022; Williams, Trevor/L-7670-2014; Röhl, Ursula/G-5986-2011; Passchier, Sandra/B-1993-2008; Jimenez-Espejo, Francisco J/F-4486-2016; Passchier, Sandra/AAQ-2243-2021; Jimenez-Espejo, Francisco J./AAR-2318-2020; Sluijs, Appy/B-3726-2009; Escutia, Carlota/B-8614-2015; Welsh, Kevin/A-9808-2012; Flores, Jose-Abel/D-4218-2009</t>
  </si>
  <si>
    <t>Brinkhuis, Henk/0000-0003-0253-6610; McKay, Robert/0000-0002-5602-6985; Röhl, Ursula/0000-0001-9469-7053; Passchier, Sandra/0000-0001-7204-7025; Jimenez-Espejo, Francisco J/0000-0002-0335-8580; Passchier, Sandra/0000-0001-7204-7025; Bendle, James/0000-0002-6826-8658; Sluijs, Appy/0000-0003-2382-0215; Bijl, Peter/0000-0002-1710-4012; Escutia, Carlota/0000-0002-4932-8619; Welsh, Kevin/0000-0002-4834-4190; Flores, Jose-Abel/0000-0003-1909-293X; Dunbar, Robert/0000-0002-9728-5609; Yamane, Masako/0000-0002-5063-0719</t>
  </si>
  <si>
    <t>Netherlands Organization for Scientific Research [86610110]; LPP Foundation; Natural Environmental Research Council (NERC); IODP-Unite Kingdom for Standard Research Grant [NE/I00646X/1]; Cruise Participation Grant [NE/H014616/1]; NERC [NE/H020098/1, NE/J019801/1]; German Research Foundation [PR 651/10, RO 1113/6]; Biodiversity and Climate Research Center (BIK-F) within the Hessian Initiative for Scientific and Economic Excellence (LOEWE); National Science Foundation [OCE 1058858]; European Research Council [259627]; NERC [NE/H025162/1, NE/I00646X/2, NE/I006257/1, NE/H014616/1, NE/J019801/1, NE/I00646X/1, NE/H020098/1] Funding Source: UKRI; Natural Environment Research Council [NE/I00646X/2, NE/H014616/1, NE/I006257/1, NE/H020098/1, NE/J019801/1, NE/H025162/1, NE/I00646X/1] Funding Source: researchfish; Directorate For Geosciences; Division Of Ocean Sciences [1129101] Funding Source: National Science Foundation; Division Of Ocean Sciences; Directorate For Geosciences [1058858] Funding Source: National Science Foundation</t>
  </si>
  <si>
    <t>Netherlands Organization for Scientific Research(Netherlands Organization for Scientific Research (NWO)); LPP Foundation; Natural Environmental Research Council (NERC)(UK Research &amp; Innovation (UKRI)Natural Environment Research Council (NERC)); IODP-Unite Kingdom for Standard Research Grant; Cruise Participation Grant; NERC(UK Research &amp; Innovation (UKRI)Natural Environment Research Council (NERC)); German Research Foundation(German Research Foundation (DFG)); Biodiversity and Climate Research Center (BIK-F) within the Hessian Initiative for Scientific and Economic Excellence (LOEWE); National Science Foundation(National Science Foundation (NSF)); European Research Council(European Research Council (ERC));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 Division Of Ocean Sciences; Directorate For Geosciences(National Science Foundation (NSF)NSF - Directorate for Geosciences (GEO))</t>
  </si>
  <si>
    <t>The authors thank Peter J. Hill and Neville F. Exon for discussions. This research used samples from the Ocean Drilling Program (ODP) and the Integrated Ocean Drilling Program (IODP). P.K.B. and H.B. thank the Netherlands Organization for Scientific Research [Grant 86610110 (to H.B.)] and the LPP Foundation for funding, and N.L.D. Welters for sample processing. J.A.P.B. acknowledges the Natural Environmental Research Council (NERC) and IODP-Unite Kingdom for Standard Research Grant NE/I00646X/1 and Cruise Participation Grant NE/H014616/1. S.M.B. acknowledges NERC for Cruise Participation Grant NE/H020098/1 and postcruise research support (Grant NE/J019801/1). J.P. and U.R. acknowledge support through German Research Foundation Grants PR 651/10 and RO 1113/6. J.P. was supported by the Biodiversity and Climate Research Center (BIK-F) within the Hessian Initiative for Scientific and Economic Excellence (LOEWE). L.T. acknowledges support from National Science Foundation Grant OCE 1058858. A.S. thanks the European Research Council for Starting Grant 259627.</t>
  </si>
  <si>
    <t>JUN 11</t>
  </si>
  <si>
    <t>10.1073/pnas.1220872110</t>
  </si>
  <si>
    <t>171LM</t>
  </si>
  <si>
    <t>Bronze, Green Submitted, Green Published</t>
  </si>
  <si>
    <t>WOS:000320930100026</t>
  </si>
  <si>
    <t>Florczak, T; Daroch, M; Wilkinson, MC; Bialkowska, A; Bates, AD; Turkiewicz, M; Iwanejko, LA</t>
  </si>
  <si>
    <t>Florczak, Tomasz; Daroch, Maurycy; Wilkinson, Mark Charles; Bialkowska, Aneta; Bates, Andrew Derek; Turkiewicz, Marianna; Iwanejko, Lesley Ann</t>
  </si>
  <si>
    <t>Purification, characterisation and expression in Saccharomyces cerevisiae of LipG7 an enantioselective, cold-adapted lipase from the Antarctic filamentous fungus Geomyces sp P7 with unusual thermostability characteristics</t>
  </si>
  <si>
    <t>ENZYME AND MICROBIAL TECHNOLOGY</t>
  </si>
  <si>
    <t>Cold adaptation; Thermostability; Lipase; Psychrophillic enzyme; Inverse-PCR</t>
  </si>
  <si>
    <t>YARROWIA-LIPOLYTICA; ACTIVE LIPASE; EXTRACELLULAR LIPASE; MICROBIAL LIPASES; CLONING; STRAIN; GENE; CLASSIFICATION; BIOCATALYSIS; EFFICIENCY</t>
  </si>
  <si>
    <t>A lipase, LipG7, has been purified from the Antarctic filamentous fungus Geomyces sp. P7 which was found to be cold-adapted and able to retain/regain its activity after heat denaturation. The LipG7 exhibits 100% residual activity following 1 h incubation at 100 C whilst simultaneously showing kinetic adaptations to cold temperatures. LipG7 was also found to have industrial potential as an enantioselective biocatalyst as it is able to effectively catalyse the enantioselective transesterification of a secondary alcohol. The LipG7 coding sequence has been identified and cloned using 454 pyrosequencing of the transcriptome and inverse PCR. The LipG7 protein has been heterologously expressed in Saccharomyces cerevisiae BJ5465 and shown to exhibit the same characteristics as the native protein. (C) 2013 Elsevier Inc. All rights reserved.</t>
  </si>
  <si>
    <t>[Florczak, Tomasz; Bialkowska, Aneta; Turkiewicz, Marianna] Tech Univ Lodz, Inst Tech Biochem, Fac Biotechnol &amp; Food Sci, PL-90924 Lodz, Poland; [Florczak, Tomasz; Daroch, Maurycy; Wilkinson, Mark Charles; Bates, Andrew Derek; Iwanejko, Lesley Ann] Univ Liverpool, Inst Integrat Biol, Liverpool L69 7ZB, Merseyside, England; [Iwanejko, Lesley Ann] Univ Liverpool, Dept Musculoskeletal Biol, Fac Hlth &amp; Life Sci, Inst Ageing &amp; Chron Dis, Liverpool L69 3GA, Merseyside, England; [Daroch, Maurycy] Peking Univ, Shenzhen Grad Sch, Sch Environm &amp; Energy, Shenzhen 518055, Peoples R China</t>
  </si>
  <si>
    <t>Lodz University of Technology; University of Liverpool; University of Liverpool; Peking University</t>
  </si>
  <si>
    <t>Iwanejko, LA (corresponding author), Univ Liverpool, Inst Integrat Biol, Biosci Bldg,Crown St, Liverpool L69 7ZB, Merseyside, England.</t>
  </si>
  <si>
    <t>iwanejko@liverpool.ac.uk</t>
  </si>
  <si>
    <t>Iwanejko, Lesley/JGM-6875-2023; Białkowska, Aneta/P-4481-2019; Daroch, Maurycy/AAM-7825-2021; Daroch, Maurycy/GPS-6211-2022</t>
  </si>
  <si>
    <t>Białkowska, Aneta/0000-0001-7319-238X; Daroch, Maurycy/0000-0002-8183-8854; Daroch, Maurycy/0000-0002-8183-8854; Wilkinson, Mark/0000-0003-3109-6888</t>
  </si>
  <si>
    <t>National Science Center (Poland) for Scientific Research Grant [N N209231738]; Marie Curie Host Fellowships for Early Stage Training [MEST-CT-2005-020526]</t>
  </si>
  <si>
    <t>National Science Center (Poland) for Scientific Research Grant; Marie Curie Host Fellowships for Early Stage Training</t>
  </si>
  <si>
    <t>The work was supported by the National Science Center (Poland) for Scientific Research Grant N N209231738 to A. Bialkowska and Marie Curie Host Fellowships for Early Stage Training MEST-CT-2005-020526 to L.A. Iwanejko and A.D. Bates. Acknowledgements to: Neil Hall, Kevin Ashelford and Margaret Hughes from Liverpool Centre for Genome Research for their support in transcriptome pyrosequencing and Miguel Alcalde for providing the S. cerevisiae BJ 5465 strain.</t>
  </si>
  <si>
    <t>0141-0229</t>
  </si>
  <si>
    <t>1879-0909</t>
  </si>
  <si>
    <t>ENZYME MICROB TECH</t>
  </si>
  <si>
    <t>Enzyme Microb. Technol.</t>
  </si>
  <si>
    <t>JUN 10</t>
  </si>
  <si>
    <t>10.1016/j.enzmictec.2013.03.021</t>
  </si>
  <si>
    <t>163QN</t>
  </si>
  <si>
    <t>WOS:000320352100004</t>
  </si>
  <si>
    <t>Marzloff, MP; Johnson, CR; Little, LR; Soulié, JC; Ling, SD; Frusher, SD</t>
  </si>
  <si>
    <t>Marzloff, Martin P.; Johnson, Craig R.; Little, L. Rich; Soulie, Jean-Christophe; Ling, Scott D.; Frusher, Stewart D.</t>
  </si>
  <si>
    <t>Sensitivity analysis and pattern-oriented validation of TRITON, a model with alternative community states: Insights on temperate rocky reefs dynamics</t>
  </si>
  <si>
    <t>ECOLOGICAL MODELLING</t>
  </si>
  <si>
    <t>Model calibration; Parameter uncertainty; Phase shift; Hysteresis; Rock lobster; Sea urchin barren</t>
  </si>
  <si>
    <t>REGIME SHIFTS; ECOLOGICAL-SYSTEMS; HABITAT STRUCTURE; GENETIC-STRUCTURE; MARINE RESERVES; JASUS-EDWARDSII; PHASE-SHIFTS; KELP BEDS; UNCERTAINTY; THRESHOLDS</t>
  </si>
  <si>
    <t>While they can be useful tools to support decision-making in ecosystem management, robust simulation models of ecosystems with alternative states are challenging to build and validate. Because of the possibility of alternative states in model dynamics, no trivial criteria can provide reliable and useful metrics to assess the goodness-of-fit of such models. This paper outlines the development of the model TRITON, and presents simulation-based validation and analysis of model sensitivity to input parameters. TRITON captures the local dynamics of seaweed-based rocky reef communities in eastern Tasmania, which now occur in two alternative persistent states: (1) either as dense and productive seaweed beds, (2) or as sea urchin 'barrens' habitat, i.e. bare rock largely denuded of macroalgae and benthic invertebrates due to destructive grazing by sea urchins. Pattern-oriented-modelling, i.e. comparing patterns in model dynamics across Monte-Carlo simulations with direct observations of Tasmanian reef communities over large scales, provides a valuable approach to calibrate the dynamics of TRITON. Using the computationally efficient, model-independent extended Fourier amplitude sensitivity test, we identify fishing down of predatory lobsters, sea urchin recruitment rate, as well as seaweed growth rate as key parameters of influence on overall model behaviour. Through a set of independent sensitivity tests, we isolate different sets of drivers facilitating the 'forward' shift from the seaweed bed to the urchin-dominated state, and the reverse or 'backward' shift from denuded sea urchin barren to recovery of seaweed cover. The model suggests that rebuilding populations of large rock lobsters, which predate the urchins, will be effective in limiting ongoing formation of sea urchins barrens habitat, but that the chances of restoring seaweed beds from extensive barrens are relatively low if management relies solely on rebuilding stocks of large rock lobsters. Moreover, even when it does occur, seaweed bed restoration takes up to three decades in the simulations and so is arguably unrealistic to implement under short-term fishery management plans. The process of model validation provided both a better understanding of the key drivers of community dynamics (e.g. fishing of predatory lobsters), and an assessment of priority areas for future research. (C) 2013 Elsevier B.V. All rights reserved.</t>
  </si>
  <si>
    <t>[Marzloff, Martin P.; Johnson, Craig R.; Ling, Scott D.; Frusher, Stewart D.] Univ Tasmania, Inst Marine &amp; Antarctic Studies, Hobart, Tas 7001, Australia; [Marzloff, Martin P.; Little, L. Rich] CSIRO Marine &amp; Atmospher Res, CSIRO Wealth Ocean Flagship, Hobart, Tas 7000, Australia; [Soulie, Jean-Christophe] CIRAD BIOS BIOl Syst Dept, F-34398 Montpellier 5, France</t>
  </si>
  <si>
    <t>University of Tasmania; Commonwealth Scientific &amp; Industrial Research Organisation (CSIRO); CIRAD</t>
  </si>
  <si>
    <t>Marzloff, MP (corresponding author), Univ Tasmania, Inst Marine &amp; Antarctic Studies, Private Bag 129, Hobart, Tas 7001, Australia.</t>
  </si>
  <si>
    <t>Martin.Marzloff@utas.edu.au</t>
  </si>
  <si>
    <t>Ling, Scott/J-7161-2014; Little, Rich/E-7578-2011; Marzloff, Martin/AAY-3833-2020; Marzloff, Martin/J-7186-2014; Johnson, Craig/E-1788-2013; Frusher, Stewart/G-5117-2014</t>
  </si>
  <si>
    <t>Ling, Scott/0000-0002-5544-8174; Little, Rich/0000-0002-5650-7391; Marzloff, Martin/0000-0002-8152-4273; Marzloff, Martin/0000-0002-8152-4273; Johnson, Craig/0000-0002-9511-905X; Frusher, Stewart/0000-0003-2493-3676; Soulie, Jean-Christophe/0000-0003-2904-9548</t>
  </si>
  <si>
    <t>CSIRO-University of Tasmania programme in Quantitative Marine Science (QMS); CSIRO Wealth from Ocean flagship; Endeavour International Postgraduate Research (EIPR) scholarship; Tasmanian Marine Science fellowship</t>
  </si>
  <si>
    <t>If this modelling work only captures a coarse version of Tasmanian rocky reef local dynamics, it would have no grounding in reality at all without all the data referred to in this document: experimental studies (e.g. Ling et al., 2009a), empirical observations (e.g. Johnson et al., 2005), or monitoring of community recovery following protection from fishing (e.g. Barrett et al., 2007). We thank Neville Barrett and Graham Edgar for generously sharing their 20-year-long dataset of monitoring reef community responses following protection from fishing; Stewart Frusher, Klaas Hartmann and Caleb Gardner for informing some of the parameters defining rock lobster dynamics; Kevin Redd for sharing the DNA-based estimates of lobster predation; Malcolm Haddon for useful discussions about size-structured modelling and recruitment stochasticity; Pip Bricher, the Mount family and Bruny for the writing retreat. The first author was supported by a Ph.D. scholarship co-funded by the joint CSIRO-University of Tasmania programme in Quantitative Marine Science (QMS) and the CSIRO Wealth from Ocean flagship, and was also the recipient of an Endeavour International Postgraduate Research (EIPR) scholarship and a Tasmanian Marine Science fellowship to collaborate with Jean-Christophe Soulie.</t>
  </si>
  <si>
    <t>0304-3800</t>
  </si>
  <si>
    <t>1872-7026</t>
  </si>
  <si>
    <t>ECOL MODEL</t>
  </si>
  <si>
    <t>Ecol. Model.</t>
  </si>
  <si>
    <t>10.1016/j.ecolmodel.2013.02.022</t>
  </si>
  <si>
    <t>Ecology</t>
  </si>
  <si>
    <t>146MO</t>
  </si>
  <si>
    <t>WOS:000319095400003</t>
  </si>
  <si>
    <t>Jones, KN; Currie, KI; McGraw, CM; Hunter, KA</t>
  </si>
  <si>
    <t>Jones, Katherine N.; Currie, Kim I.; McGraw, Christina M.; Hunter, Keith A.</t>
  </si>
  <si>
    <t>The effect of coastal processes on phytoplankton biomass and primary production within the near-shore Subtropical Frontal Zone</t>
  </si>
  <si>
    <t>ESTUARINE COASTAL AND SHELF SCIENCE</t>
  </si>
  <si>
    <t>subtropical frontal zone; primary production; phytoplankton; nutrient deficiency; river discharge</t>
  </si>
  <si>
    <t>NEW-ZEALAND; OTAGO PENINSULA; CONTINENTAL-SHELF; SOUTHLAND CURRENT; SURFACE-WATER; VARIABILITY; OCEAN; DISTRIBUTIONS; OCEANOGRAPHY; ADVECTION</t>
  </si>
  <si>
    <t>This study evaluated drivers of phytoplankton net primary production (NPP) rates and chlorophyll-a (chl-a) concentrations within the coastally oriented Subtropical Frontal Zone (STFZ) off the South Island of New Zealand. Time series measurements of hydrographic parameters, macronutrients, size fractionated NPP and chl-a were conducted on a bi-monthly basis from July 2009 to November 2010. This study found that nutrient limitation in these waters is controlled by the dual influx of silicate inputs from riverine sources in coastal neritic water (NW) and oceanic inputs of nitrate from the high nutrient, low chlorophyll (HNLC) region of the offshore Sub-Antarctic Surface Waters (SASW). Total chl-a concentrations and primary production rates were perennially higher in near-shore NW and modified Subtropical waters (STW) than in the SASW, with highest indicators of biological production observed in the Austral spring and summer seasons (October to March). These periods of peak production and biomass were dominated in both parameters by microphytoplankton (&gt;20 mu m) size fractions. The coupled dominance by these large phytoplankton and the near depletion of silicate in all characterised waters within the frontal system indicate the importance of silicic diatoms as drivers of bloom production. The influence of coastal waters on the STFZ system is most pronounced with the intrusion of neritic water beyond the shelf boundary during periods of surface water thermal stratification and riverine dilution through flooding events. These two events were notably observed during the Spring 2009 sampling cruise in December 2009 and in the flood event in May 2010. (C) 2013 Elsevier Ltd. All rights reserved.</t>
  </si>
  <si>
    <t>[Jones, Katherine N.; Hunter, Keith A.] Univ Otago, Dept Chem, Dunedin 9016, New Zealand; [Currie, Kim I.] Natl Inst Water &amp; Atmospher Res NIWA, Ctr Phys &amp; Chem Oceanog, Dunedin 9016, New Zealand; [McGraw, Christina M.] Clark Univ, Gustaf H Carlson Sch Chem, Worcester, MA 01610 USA; [Jones, Katherine N.] Univ Tasmania, Inst Marine &amp; Antarctic Studies, Sandy Bay, Tas 7001, Australia</t>
  </si>
  <si>
    <t>University of Otago; Clark University; University of Tasmania</t>
  </si>
  <si>
    <t>Jones, KN (corresponding author), Univ Tasmania, Inst Marine &amp; Antarctic Studies, Cnr Alexander St &amp; Grosvenor St, Sandy Bay, Tas 7001, Australia.</t>
  </si>
  <si>
    <t>Katherine.jones@utas.edu.au</t>
  </si>
  <si>
    <t>McGraw, Christina/0000-0001-5841-0748</t>
  </si>
  <si>
    <t>University of Otago, Division of Sciences; Department of Chemistry (UO); New Zealand Marine Sciences Society</t>
  </si>
  <si>
    <t>We acknowledge the invaluable support and assistance from Evelyn Armstrong and Toyin Adu with sample collection and sample analysis. Sampling support and logistics were provided by Bill Dixon and Phil Heseltine from R.V. Polaris II and Daryl Coup from the Department of Marine Sciences, UO. Wind data was provided by Alan Sunderland from Port Otago. Inputs and critiques from Jennifer Ayers (University of Tasmania) and from journal reviewers greatly improved the synthesis of this research and the final manuscript. Research funding was provided by the University of Otago, Division of Sciences postdoctoral scholarship, with additional funding support from the Department of Chemistry (UO) and the New Zealand Marine Sciences Society.</t>
  </si>
  <si>
    <t>0272-7714</t>
  </si>
  <si>
    <t>1096-0015</t>
  </si>
  <si>
    <t>ESTUAR COAST SHELF S</t>
  </si>
  <si>
    <t>Estuar. Coast. Shelf Sci.</t>
  </si>
  <si>
    <t>10.1016/j.ecss.2013.03.003</t>
  </si>
  <si>
    <t>148MI</t>
  </si>
  <si>
    <t>WOS:000319248300005</t>
  </si>
  <si>
    <t>Reid, WDK; Sweeting, CJ; Wigham, BD; Zwirglmaier, K; Hawkes, JA; McGill, RAR; Linse, K; Polunin, NVC</t>
  </si>
  <si>
    <t>Reid, William D. K.; Sweeting, Christopher J.; Wigham, Ben D.; Zwirglmaier, Katrin; Hawkes, Jeffrey A.; McGill, Rona A. R.; Linse, Katrin; Polunin, Nicholas V. C.</t>
  </si>
  <si>
    <t>Spatial Differences in East Scotia Ridge Hydrothermal Vent Food Webs: Influences of Chemistry, Microbiology and Predation on Trophodynamics</t>
  </si>
  <si>
    <t>MID-ATLANTIC RIDGE; NITROGEN ISOTOPIC COMPOSITION; RIFTIA-PACHYPTILA; SEA-FLOOR; BACK-ARC; TROPHIC RELATIONSHIPS; GENUS ALVINICONCHA; STABLE-ISOTOPES; AXIAL-VOLCANO; AMINO-ACIDS</t>
  </si>
  <si>
    <t>The hydrothermal vents on the East Scotia Ridge are the first to be explored in the Antarctic and are dominated by large peltospiroid gastropods, stalked barnacles (Vulcanolepas sp.) and anomuran crabs (Kiwa sp.) but their food webs are unknown. Vent fluid and macroconsumer samples were collected at three vent sites (E2, E9N and E9S) at distances of tens of metres to hundreds of kilometres apart with contrasting vent fluid chemistries to describe trophic interactions and identify potential carbon fixation pathways using stable isotopes. delta C-13 of dissolved inorganic carbon from vent fluids ranged from 24.6 parts per thousand to 0.8 parts per thousand at E2 and from -4.4 parts per thousand to 1.5 parts per thousand at E9. The lowest macroconsumer delta C-13 was observed in peltospiroid gastropods (-30.0 parts per thousand to -31.1 parts per thousand) and indicated carbon fixation via the Calvin-Benson-Bassham (CBB) cycle by endosymbiotic gamma-Proteobacteria. Highest delta C-13 occurred in Kiwa sp. (-19.0 parts per thousand to -10.5 parts per thousand), similar to that of the epibionts sampled from their ventral setae. Kiwa sp. delta C-13 differed among sites, which were attributed to spatial differences in the epibiont community and the relative contribution of carbon fixed via the reductive tricarboxylic acid (rTCA) and CBB cycles assimilated by Kiwa sp. Site differences in carbon fixation pathways were traced into higher trophic levels e.g. a stichasterid asteroid that predates on Kiwa sp. Sponges and anemones at the periphery of E2 assimilated a proportion of epipelagic photosynthetic primary production but this was not observed at E9N. Differences in the delta C-13 and delta S-34 values of vent macroconsumers between E2 and E9 sites suggest the relative contributions of photosynthetic and chemoautotrophic carbon fixation (rTCA v CBB) entering the hydrothermal vent food webs vary between the sites.</t>
  </si>
  <si>
    <t>[Reid, William D. K.; Sweeting, Christopher J.; Polunin, Nicholas V. C.] Newcastle Univ, Sch Marine Sci &amp; Technol, Newcastle Upon Tyne NE1 7RU, Tyne &amp; Wear, England; [Wigham, Ben D.] Newcastle Univ, Sch Marine Sci &amp; Technol, Dove Marine Lab, Cullercoats, England; [Zwirglmaier, Katrin; Linse, Katrin] British Antarctic Survey, NERC, Cambridge CB3 0ET, England; [Hawkes, Jeffrey A.] Univ Southampton, Natl Oceanog Ctr Southampton, Southampton, Hants, England; [McGill, Rona A. R.] Scottish Univ, Environm Res Ctr, NERC, Life Sci Mass Spectrometry Facil, E Kilbride, Lanark, Scotland</t>
  </si>
  <si>
    <t>Newcastle University - UK; Newcastle University - UK; UK Research &amp; Innovation (UKRI); Natural Environment Research Council (NERC); NERC British Antarctic Survey; NERC National Oceanography Centre; University of Southampton; UK Research &amp; Innovation (UKRI); Natural Environment Research Council (NERC); Scottish Universities Research &amp; Reactor Center</t>
  </si>
  <si>
    <t>Reid, WDK (corresponding author), Newcastle Univ, Sch Marine Sci &amp; Technol, Newcastle Upon Tyne NE1 7RU, Tyne &amp; Wear, England.</t>
  </si>
  <si>
    <t>wdkreid@gmail.com</t>
  </si>
  <si>
    <t>McGill, Rona/JAC-6969-2023; McGill, Rona/F-1793-2010; Zwirglmaier, Katrin/H-9799-2014; Reid, William/J-8528-2013</t>
  </si>
  <si>
    <t>McGill, Rona/0000-0003-0400-7288; Wigham, Ben/0000-0001-8408-5600; Zwirglmaier, Katrin/0000-0001-8598-9572; Polunin, Nick/0000-0002-1480-8794; Reid, William/0000-0003-0190-0425; Linse, Katrin/0000-0003-3477-3047</t>
  </si>
  <si>
    <t>Natural Environment Research Council (NERC) through ChEsSO consortium [NE/DO1249X/1, NE/F010664/1, NE/H524922]; NERC [LSMSFBRIS043_04/10_R_09/10]; NERC [lsmsf010002, bas0100026, NE/D01249X/1, NE/D010470/2] Funding Source: UKRI; Natural Environment Research Council [bas0100026, lsmsf010002, NE/D010470/2, NE/D01249X/1] Funding Source: researchfish</t>
  </si>
  <si>
    <t>Natural Environment Research Council (NERC) through ChEsSO consortium(UK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</si>
  <si>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The research was funded by the Natural Environment Research Council (NERC) through ChEsSO consortium grant NE/DO1249X/1 and studentships NE/F010664/1 (WDKR) and NE/H524922 (JAH). Sample analysis was funded via NERC Life Sciences Mass Spectrometry Facilities grant LSMSFBRIS043_04/10_R_09/10. The funders had no role in the study design, data collection and anlaysis, decision to publish, or preparation of the manuscript.</t>
  </si>
  <si>
    <t>JUN 7</t>
  </si>
  <si>
    <t>e65553</t>
  </si>
  <si>
    <t>10.1371/journal.pone.0065553</t>
  </si>
  <si>
    <t>173QU</t>
  </si>
  <si>
    <t>Green Published, Green Accepted, Green Submitted, gold</t>
  </si>
  <si>
    <t>WOS:000321094800064</t>
  </si>
  <si>
    <t>Freund, S; Beier, C; Krumm, S; Haase, KM</t>
  </si>
  <si>
    <t>Freund, Sarah; Beier, Christoph; Krumm, Stefan; Haase, Karsten M.</t>
  </si>
  <si>
    <t>Oxygen isotope evidence for the formation of andesitic-dacitic magmas from the fast-spreading Pacific-Antarctic Rise by assimilation-fractional crystallisation</t>
  </si>
  <si>
    <t>Assimilation-fractional crystallisation; Magma evolution; Mid-ocean ridge; Oxygen isotopes; Silica-rich lava; FeTi basalt</t>
  </si>
  <si>
    <t>UPPER OCEANIC-CRUST; CLINOPYROXENE-LIQUID EQUILIBRIA; HYDROTHERMAL ALTERATION; MIDOCEAN RIDGES; TRACE-ELEMENT; CRYSTAL FRACTIONATION; CONTINENTAL-CRUST; VOLCANIC-ROCKS; EVOLUTION; BASALTS</t>
  </si>
  <si>
    <t>Andesitic to dacitic lavas occur along a 300 km long portion of the Pacific-Antarctic Rise close to the intersection of the spreading axis with the Foundation seamount chain. The fresh silicic glasses have low delta O-18 isotope values between 5.6 parts per thousand and 5.1 parts per thousand whereas basaltic glasses from the same ridge section have normal MORB delta O-18 values. Additionally, two FeTi basaltic and all silicic glasses have high Cl (up to 1.1 wt.%) and K2O (up to 1.6 wt.%) contents, indicating assimilation of hydrothermally altered material. Modelling suggests that the fractionating magma assimilated up to 30% of hydrothermally altered material after 57% fractional crystallisation of the basaltic magma in a melt lens at less than 2 km depth. In contrast, the basaltic glasses show little assimilation and clinopyroxene-melt barometry indicates crystal fractionation in deeper melt sills. Relatively low H2O/Ce and Li/Ce ratios as well as the low delta O-18 values and high Cl and K concentrations in the silicic glasses suggest assimilation of altered crustal rock rather than a brine. While some of the variability in highly incompatible element ratios is best explained by crystal fractionation processes of FeTi-oxides (e.g., decreasing Nb/U) others require a reaction of the melt with residual amphibole and clinopyroxene (Cl/K, Tb/Yb, Hf/Sm, Ce/Yb). The initial onset of FeTi oxide crystallisation is associated with a reduced oxygen fugacity causing sulphide saturation and significant loss of S, Cu, and Co from the evolved melts. This change to more reducing melts as a result of oxide crystallisation is supported by the strong development of a negative Eu anomaly in the andesites and dacites indicating stronger partitioning of Eu into plagioclase. Reverse mineral zoning in the evolved lavas also indicates that replenishment by mafic melts occurs in the shallow melt lens. (C) 2013 Elsevier B.V. All rights reserved.</t>
  </si>
  <si>
    <t>[Freund, Sarah; Beier, Christoph; Krumm, Stefan; Haase, Karsten M.] Univ Erlangen Nurnberg, GeoZentrum Nordbayern, D-91054 Erlangen, Germany</t>
  </si>
  <si>
    <t>University of Erlangen Nuremberg</t>
  </si>
  <si>
    <t>Freund, S (corresponding author), Univ Erlangen Nurnberg, GeoZentrum Nordbayern, Schlossgarten 5, D-91054 Erlangen, Germany.</t>
  </si>
  <si>
    <t>sarah.freund@gzn.uni-erlangen.de</t>
  </si>
  <si>
    <t>Beier, Christoph/A-3522-2014; Beier, Christoph/F-5604-2012</t>
  </si>
  <si>
    <t>Beier, Christoph/0000-0001-7014-7049; Beier, Christoph/0000-0001-7014-7049; Haase, Karsten/0000-0003-4768-5978</t>
  </si>
  <si>
    <t>German Ministry of Science and Technology (BMBF); DFG [HA2568/21]</t>
  </si>
  <si>
    <t>German Ministry of Science and Technology (BMBF)(Federal Ministry of Education &amp; Research (BMBF)); DFG(German Research Foundation (DFG))</t>
  </si>
  <si>
    <t>We gratefully acknowledge the help of the captains and crews of RV Sonne and RV Atalante and the chief scientists for access to the samples, particularly P. Stoffers. We thank P. Appel and B. Mader for helping with electron microprobe analyses in Kiel and D. Garbe-Schonberg, U. Westernstroer (Bremen) and M. Regelous (Erlangen) for ICP-MS trace element analyses. We also thank the Editor K. Mezger and two anonymous reviews for their constructive comments that considerably improved the quality of this work. We acknowledge the encouraging words and helpful points of M. Meyer, M. Erdmann and F. Genske. We thank P. Brandl for spiritual support during EMP problems and ChB acknowledges frequent delays of German rail allowing him to work on this manuscript. The cruises were funded by the German Ministry of Science and Technology (BMBF) and S.F. was funded by DFG grant HA2568/21.</t>
  </si>
  <si>
    <t>JUN 6</t>
  </si>
  <si>
    <t>10.1016/j.chemgeo.2013.04.013</t>
  </si>
  <si>
    <t>175LV</t>
  </si>
  <si>
    <t>WOS:000321233100024</t>
  </si>
  <si>
    <t>Zahid, KM; Barbeau, DL</t>
  </si>
  <si>
    <t>Zahid, Khandaker M.; Barbeau, David L., Jr.</t>
  </si>
  <si>
    <t>Geochemical signatures from the Atlantic coast of Tierra del Fuego and their provenance implications for Magallanes basin sediments</t>
  </si>
  <si>
    <t>Geochemistry; Rare earth elements; Nd isotopes; Provenance; South America</t>
  </si>
  <si>
    <t>DARWIN METAMORPHIC COMPLEX; RARE-EARTH-ELEMENTS; CORDILLERA-DARWIN; FORELAND BASIN; BACK-ARC; ANTARCTIC PENINSULA; SOUTHERNMOST CHILE; CORE COMPLEX; ISOTOPIC CONSTRAINTS; PATAGONIAN BATHOLITH</t>
  </si>
  <si>
    <t>The Magallanes foreland basin, located along the northern periphery of the Scotia Arc and extending up to 51 degrees S to its northern terminus, contains a near-complete sedimentary record of Fuegian Andes tectonics since the Early Cretaceous. Herein we report trace- and rare-earth-element (REE) geochemistry and Nd isotope ratios from Upper Cretaceous to lower Oligocene mudstones of the eastern Magallanes basin, Argentina. The REE patterns of all of these samples are typical of average post-Archean upper continental crust. The older Upper Cretaceous to middle Eocene samples contain an overall lower concentration of light REE (smaller La-N:Sm-N ratio) than do the younger, middle-upper Eocene and lower Oligocene samples, although a strict temporal change is not observed. These REE patterns suggest a Patagonian Batholith and mafic volcanic provenance for the older successions and an Eastern Andean metamorphic complex provenance for the younger sediments. The lower Th:Sc ratio of the older samples suggests a mafic origin, whereas the higher Th:Sc ratio of younger samples indicates a felsic origin. Nd isotope data show a broadly coeval shift in epsilon Nd values from less negative to more negative. These data, combined with previously reported geochronological and mineral composition provenance analysis, suggest an increased Eocene Oligocene tectonic exhumation of the southern Andes, concurrent with independent evidence of the opening of the adjacent Drake Passage. (C) 2013 Elsevier B.V. All rights reserved.</t>
  </si>
  <si>
    <t>[Zahid, Khandaker M.; Barbeau, David L., Jr.] Univ S Carolina, Dept Earth &amp; Ocean Sci, Columbia, SC 29208 USA</t>
  </si>
  <si>
    <t>University of South Carolina System; University of South Carolina Columbia</t>
  </si>
  <si>
    <t>Zahid, KM (corresponding author), Univ Texas Austin, Bur Econ Geol, Univ Stn, Box 10, Austin, TX 78713 USA.</t>
  </si>
  <si>
    <t>khandaker.zahid@beg.utexas.edu</t>
  </si>
  <si>
    <t>Zahid, Khandaker M/B-3800-2011</t>
  </si>
  <si>
    <t>National Science Foundation Office of Polar Programs [ANT-0732995]; University of South Carolina Research and Productive Scholarship program awarded; Geological Society of America Research Grant awarded</t>
  </si>
  <si>
    <t>National Science Foundation Office of Polar Programs(National Science Foundation (NSF)NSF - Directorate for Geosciences (GEO)); University of South Carolina Research and Productive Scholarship program awarded; Geological Society of America Research Grant awarded</t>
  </si>
  <si>
    <t>This research was funded primarily by the National Science Foundation Office of Polar Programs Grant (ANT-0732995) awarded to DLB. Other sources of funding were the University of South Carolina Research and Productive Scholarship program awarded to DLB and a Geological Society of America Research Grant awarded to KMZ. Michael Bizimis and Howie Scher helped analyze the samples in their labs and provided further assistance in the post-analysis stage. We appreciate the two reviewers and the editor for substantially improving this manuscript by their thoughtful comments and suggestions.</t>
  </si>
  <si>
    <t>10.1016/j.chemgeo.2013.03.004</t>
  </si>
  <si>
    <t>WOS:000321233100007</t>
  </si>
  <si>
    <t>Hanna, E; Navarro, FJ; Pattyn, F; Domingues, CM; Fettweis, X; Ivins, ER; Nicholls, RJ; Ritz, C; Smith, B; Tulaczyk, S; Whitehouse, PL; Zwally, HJ</t>
  </si>
  <si>
    <t>Hanna, Edward; Navarro, Francisco J.; Pattyn, Frank; Domingues, Catia M.; Fettweis, Xavier; Ivins, Erik R.; Nicholls, Robert J.; Ritz, Catherine; Smith, Ben; Tulaczyk, Slawek; Whitehouse, Pippa L.; Zwally, H. Jay</t>
  </si>
  <si>
    <t>Ice-sheet mass balance and climate change</t>
  </si>
  <si>
    <t>NATURE</t>
  </si>
  <si>
    <t>SEA-LEVEL RISE; RECONCILED ESTIMATE; RADAR ALTIMETRY; GREENLAND; GLACIERS; DYNAMICS; MODEL; ANTARCTICA; VELOCITY; WATER</t>
  </si>
  <si>
    <t>Since the 2007 Intergovernmental Panel on Climate Change Fourth Assessment Report, new observations of ice-sheet mass balance and improved computer simulations of ice-sheet response to continuing climate change have been published. Whereas Greenland is losing ice mass at an increasing pace, current Antarctic ice loss is likely to be less than some recently published estimates. It remains unclear whether East Antarctica has been gaining or losing ice mass over the past 20 years, and uncertainties in ice-mass change for West Antarctica and the Antarctic Peninsula remain large. We discuss the past six years of progress and examine the key problems that remain.</t>
  </si>
  <si>
    <t>[Hanna, Edward] Univ Sheffield, Dept Geog, Sheffield S10 2TN, S Yorkshire, England; [Navarro, Francisco J.] Univ Politecn Madrid, Dept Matemat Aplicada Tecnol Informac, E-28040 Madrid, Spain; [Pattyn, Frank] Univ Libre Bruxelles, Lab Glaciol, B-1050 Brussels, Belgium; [Domingues, Catia M.] Univ Tasmania, Antarctic Climate &amp; Ecosyst Cooperat Res Ctr, Aspendale, Vic 3195, Australia; [Fettweis, Xavier] Univ Liege, Dept Geog, B-4000 Liege, Belgium; [Ivins, Erik R.] CALTECH, Jet Prop Lab, Pasadena, CA 91109 USA; [Nicholls, Robert J.] Univ Southampton, Fac Engn &amp; Environm, Southampton SO17 1BJ, Hants, England; [Ritz, Catherine] Univ Grenoble 1, CNRS, Lab Glaciol &amp; Geophys Environm, F-38402 St Martin Dheres, France; [Smith, Ben] Univ Washington, Appl Phys Lab, Polar Sci Ctr, Seattle, WA 98105 USA; [Tulaczyk, Slawek] Univ Calif Santa Cruz, Dept Earth &amp; Planetary Sci, Santa Cruz, CA 95064 USA; [Whitehouse, Pippa L.] Univ Durham, Dept Geog, Durham DH1 3LE, England; [Zwally, H. Jay] NASA, Goddard Space Flight Ctr, Cryospher Sci Lab, Greenbelt, MD 20771 USA</t>
  </si>
  <si>
    <t>University of Sheffield; Universidad Politecnica de Madrid; Universite Libre de Bruxelles; Antarctic Climate &amp; Ecosystems Cooperative Research Centre (ACE CRC); University of Tasmania; University of Liege; National Aeronautics &amp; Space Administration (NASA); NASA Jet Propulsion Laboratory (JPL); California Institute of Technology; University of Southampton; Communaute Universite Grenoble Alpes; Universite Grenoble Alpes (UGA); Centre National de la Recherche Scientifique (CNRS); University of Washington; University of Washington Seattle; University of California System; University of California Santa Cruz; Durham University; National Aeronautics &amp; Space Administration (NASA); NASA Goddard Space Flight Center</t>
  </si>
  <si>
    <t>Hanna, E (corresponding author), Univ Sheffield, Dept Geog, Sheffield S10 2TN, S Yorkshire, England.</t>
  </si>
  <si>
    <t>ehanna@sheffield.ac.uk</t>
  </si>
  <si>
    <t>Ivins, Erik R/C-2416-2011; Navarro, Francisco/L-2941-2014; Hanna, Edward/H-2219-2016; Nicholls, Robert James/G-3898-2010; Domingues, Catia M./A-2901-2015; Pattyn, Frank/AAA-9640-2019; Nicholls, Robert James/ABD-1481-2020; Hanna, Edward/W-5927-2019; Tulaczyk, Slawek/O-7375-2018</t>
  </si>
  <si>
    <t>Navarro, Francisco/0000-0002-5147-0067; Hanna, Edward/0000-0002-8683-182X; Nicholls, Robert James/0000-0002-9715-1109; Domingues, Catia M./0000-0001-5100-4595; Pattyn, Frank/0000-0003-4805-5636; Nicholls, Robert James/0000-0002-9715-1109; Hanna, Edward/0000-0002-8683-182X; Ritz, Catherine/0000-0003-0785-8571; Whitehouse, Pippa/0000-0002-9092-3444; Fettweis, Xavier/0000-0002-4140-3813; Tulaczyk, Slawek/0000-0002-9711-4332</t>
  </si>
  <si>
    <t>International Council for Science (ICSU); SCAR; IASC; WCRP; International Glaciological Society (IGS); International Association of Cryospheric Sciences (IACS); Climate and Cryosphere (CliC); Association of Polar Early Career Scientists (APECS); Directorate For Geosciences [0839142] Funding Source: National Science Foundation; Directorate For Geosciences; Office of Polar Programs (OPP) [0838947] Funding Source: National Science Foundation; Office of Polar Programs (OPP) [0839142] Funding Source: National Science Foundation</t>
  </si>
  <si>
    <t>International Council for Science (ICSU); SCAR; IASC; WCRP; International Glaciological Society (IGS); International Association of Cryospheric Sciences (IACS); Climate and Cryosphere (CliC); Association of Polar Early Career Scientists (APECS);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</si>
  <si>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The work presented here is based on the Ice-Sheet Mass Balance and Sea Level (ISMASS) workshop that was held in Portland, Oregon, USA, on 14 July 2012. This workshop was jointly organized by the Scientific Committee on Antarctic Research (SCAR), the International Arctic Science Committee (IASC) and the Word Climate Research Programme (WCRP), and was co-sponsored by the International Council for Science (ICSU), SCAR, IASC, WCRP, the International Glaciological Society (IGS) and the International Association of Cryospheric Sciences (IACS), with support from Climate and Cryosphere (CliC) and the Association of Polar Early Career Scientists (APECS).</t>
  </si>
  <si>
    <t>0028-0836</t>
  </si>
  <si>
    <t>1476-4687</t>
  </si>
  <si>
    <t>Nature</t>
  </si>
  <si>
    <t>10.1038/nature12238</t>
  </si>
  <si>
    <t>158DC</t>
  </si>
  <si>
    <t>WOS:000319947800031</t>
  </si>
  <si>
    <t>Chatterjee, T; Kotov, AA; Van Damme, K; Chandrasekhar, SVA; Padhye, S</t>
  </si>
  <si>
    <t>Chatterjee, Tapas; Kotov, Alexey A.; Van Damme, Kay; Chandrasekhar, S. V. A.; Padhye, Sameer</t>
  </si>
  <si>
    <t>An annotated checklist of the Cladocera (Crustacea: Branchiopoda) from India</t>
  </si>
  <si>
    <t>Cladocera; checklist; systematics; taxonomy; India; Oriental zone</t>
  </si>
  <si>
    <t>DAPHNIA-CARINATA KING; MOINA-MICRURA KURZ; DIAPHANOSOMA-CELEBENSIS CRUSTACEA; CHYDORUS-VENTRICOSUS DADAY; LEYDIGIA-CILIATA GAUTHIER; LIFE-HISTORY PARAMETERS; SUB-ANTARCTIC ISLANDS; BASIN (AMUR REGION; N-SP CLADOCERA; MADHYA-PRADESH</t>
  </si>
  <si>
    <t>Based on a revision of available literature on the Indian Cladocera (Crustacea: Branchiopoda), we present an updated checklist, with taxonomical updates and comments for all taxa recorded since the start of research of this group in the country since 1860. We have listed a total of 137 valid taxa, of which most records belong to species groups that need revision worldwide. The situation in Indian Cladocera taxonomy is, at present, insufficient for realistic conclusions on biodiversity, ecology and biogeography. We list suggestions for an improvement of the current situation.</t>
  </si>
  <si>
    <t>[Chatterjee, Tapas] ISM Annexe, Indian Sch Learning, Dept Biol, Dhanbad 826004, Jharkhand, India; [Kotov, Alexey A.] AN Severtsov Inst Ecol &amp; Evolut, Moscow 119071, Russia; [Van Damme, Kay] Univ Birmingham, Sch Biosci, Environm Genom Grp, Birmingham B15 2TT, W Midlands, England; [Chandrasekhar, S. V. A.] Zool Survey India, Hyderabad 500048, Andhra Pradesh, India; [Padhye, Sameer] Univ Pune, Dept Zool, Lab Zooplankton Studies, Pune 411007, Maharashtra, India</t>
  </si>
  <si>
    <t>Indian Institute of Technology System (IIT System); Indian Institute of Technology (Indian School of Mines) Dhanbad; Russian Academy of Sciences; Saratov Scientific Center of the Russian Academy of Sciences; Severtsov Institute of Ecology &amp; Evolution; University of Birmingham; Zoological survey of India; Savitribai Phule Pune University</t>
  </si>
  <si>
    <t>Chatterjee, T (corresponding author), ISM Annexe, Indian Sch Learning, Dept Biol, PO ISM, Dhanbad 826004, Jharkhand, India.</t>
  </si>
  <si>
    <t>drtchatterjee@yahoo.co.in; alexey-a-kotov@yandex.ru; kay.vandamme@gmail.com; svacsekhar@yahoo.co.in; sameer.m.padhye@gmail.com</t>
  </si>
  <si>
    <t>Padhye, Sameer M/M-8416-2017; Kotov, Alexey A./B-1549-2010; Van Damme, Kay/R-9983-2019</t>
  </si>
  <si>
    <t>Padhye, Sameer M/0000-0002-2125-3213; Kotov, Alexey A./0000-0002-8863-6438; Van Damme, Kay/0000-0002-8215-3398; Chatterjee, Tapas/0000-0001-5532-2726</t>
  </si>
  <si>
    <t>Council for Scientific and Industrial Research (CSIR) India; Russian Foundation for Basic Research [12-04-00207-a]; Program of the Presidium of Russian Academy of Sciences Biodiversity: State and Dynamics</t>
  </si>
  <si>
    <t>Council for Scientific and Industrial Research (CSIR) India(Council of Scientific &amp; Industrial Research (CSIR) - India); Russian Foundation for Basic Research(Russian Foundation for Basic Research (RFBR)Spanish Government); Program of the Presidium of Russian Academy of Sciences Biodiversity: State and Dynamics</t>
  </si>
  <si>
    <t>We are grateful to Dr. Y. Ranga Reddy, Acharya Nagarjuna University, Andhra Pradesh (India); Dr. C. Annapurna, Andhra University, Andhra Pradesh (India); Dr. Sabitry Bordoloi, Institute of Advanced Study in Science and Technology, Assam (India), Dr. B.C. Guru, Utkal University, Orissa (India), Late Dr. M.S. Kodarkar, Vivek Vardhini College, Hyderabad, Andhra Pradesh (India), Dr. D.V. Subba Rao, Bedford Institute of Oceanography, Dartmouth (Canada), Dr. B. Ingole, National Institute of Oceanography, Goa (India), Dr. Hemant Ghate, Departments of Zoology, Modern College, Pune (India), Dr, Kalpana Pai, Department of Zoology, Pune University (India), and Dr. I. Dimante-Deimantovica, Norsk Institut for Naturforsking, Oslo (Norway) for their help to collect some Indian literature. The work of SP is supported by the Council for Scientific and Industrial Research (CSIR) India. The work of AAK is supported by the Russian Foundation for Basic Research (grant 12-04-00207-a) and the Program of the Presidium of Russian Academy of Sciences Biodiversity: State and Dynamics.</t>
  </si>
  <si>
    <t>JUN 5</t>
  </si>
  <si>
    <t>157BT</t>
  </si>
  <si>
    <t>WOS:000319871100001</t>
  </si>
  <si>
    <t>Zhang, L; Dickhut, R; DeMaster, D; Pohl, K; Lohmann, R</t>
  </si>
  <si>
    <t>Zhang, Lin; Dickhut, Rebecca; DeMaster, Dave; Pohl, Kari; Lohmann, Rainer</t>
  </si>
  <si>
    <t>Organochlorine Pollutants in Western Antarctic Peninsula Sediments and Benthic Deposit Feeders</t>
  </si>
  <si>
    <t>PERSISTENT ORGANIC POLLUTANTS; LONG-RANGE TRANSPORT; KING-GEORGE ISLAND; DIBENZO-P-DIOXINS; BLACK CARBON; ARTHUR HARBOR; POLYCHLORINATED-BIPHENYLS; AROMATIC-HYDROCARBONS; SOUTHERN-OCEAN; MCMURDO SOUND</t>
  </si>
  <si>
    <t>Sediments and benthic deposit feeding holothurians were collected near the Palmer Long Term Ecological Research grid during the austral winter of 2008. Polychlorinatted biphenyls (PCBs) and organochlorine pesticides (OCPs) were measured in western Antarctic Peninsula continental shelf sediments, porewater, and benthic biota. Concentrations and fluxes in sediments decreased sharply away from the tip of the peninsula toward its interior. Sedimentary PCB fluxes were an order of magnitude lower than reported elsewhere, supporting the notion of a pristiner Antarctic environment. Hexa-chlorinated biphenlys dominated (40-100%) the PCB profiles in the sediments, while trichlorinated biphenyl 28 was the most abundant PCB congener in the porewater. PCB and OCP concentrations in holothurians were comparable to concentrations in the low trophic level biota in Antarctic food web (i.e., krill). The partitioning of PCBs and OCPs between the sediments and porewater can be explained by a dual-mode model, which included both organic carbon and black carbon as partitioning media. Alternatively, a simpler one-parameter prediction assuming coal tar-like organic carbon performed equally well in explaining porewater concentrations. The majorities of PCBs (63-94%) in the Western Antarctic Peninsula sediments were bound to black carbon or recalcitrant tar-like organic carbon, thereby lowering porewater concentrations. PCBs and OCPs in the holothurians were in equilibrium with those in the porewater.</t>
  </si>
  <si>
    <t>[Zhang, Lin; Pohl, Kari; Lohmann, Rainer] Univ Rhode Isl, Grad Sch Oceanog, Narragansett, RI 02882 USA; [Dickhut, Rebecca] Coll William &amp; Mary, Virginia Inst Marine Sci, Gloucester Point, VA USA; [DeMaster, Dave] N Carolina State Univ, Dept Marine Earth &amp; Atmospher Sci, Raleigh, NC 27695 USA</t>
  </si>
  <si>
    <t>University of Rhode Island; William &amp; Mary; Virginia Institute of Marine Science; North Carolina State University</t>
  </si>
  <si>
    <t>Lohmann, R (corresponding author), Univ Rhode Isl, Grad Sch Oceanog, Narragansett, RI 02882 USA.</t>
  </si>
  <si>
    <t>lohmann@gso.uri.edu</t>
  </si>
  <si>
    <t>Lohmann, Rainer/B-1511-2008</t>
  </si>
  <si>
    <t>Lohmann, Rainer/0000-0001-8796-3229</t>
  </si>
  <si>
    <t>National Science Foundation under OPP; ARRA [ANT-0838860]; Antarctic Organisms and Ecosystems Program in the Antarctic Sciences Division of NSF; National Science Foundation Experimental Program to Stimulate Competitive Research (EPSCoR) [0554548]</t>
  </si>
  <si>
    <t>National Science Foundation under OPP; ARRA; Antarctic Organisms and Ecosystems Program in the Antarctic Sciences Division of NSF(National Science Foundation (NSF)NSF - Directorate for Geosciences (GEO)); National Science Foundation Experimental Program to Stimulate Competitive Research (EPSCoR)</t>
  </si>
  <si>
    <t>This research is supported by the National Science Foundation under OPP, ARRA No. ANT-0838860 and the Antarctic Organisms and Ecosystems Program in the Antarctic Sciences Division of NSF. L.Z. acknowledges a travel award from the National Science Foundation Experimental Program to Stimulate Competitive Research (EPSCoR) Cooperative Agreement #EPS-1004057 (EPSCoR Grant No. 0554548). Thanks to Dr. Mark Cantwell (U.S. EPA) for help with black carbon and stable isotope measurements.</t>
  </si>
  <si>
    <t>JUN 4</t>
  </si>
  <si>
    <t>10.1021/es303553h</t>
  </si>
  <si>
    <t>160DO</t>
  </si>
  <si>
    <t>WOS:000320097400019</t>
  </si>
  <si>
    <t>Galbán-Malagón, CJ; Del Vento, S; Berrojalbiz, N; Ojeda, MJ; Dachs, J</t>
  </si>
  <si>
    <t>Galban-Malagon, Cristobal J.; Del Vento, Sabino; Berrojalbiz, Naiara; Ojeda, Maria-Jose; Dachs, Jordi</t>
  </si>
  <si>
    <t>Polychlorinated Biphenyls, Hexachlorocyclohexanes and Hexachlorobenzene in Seawater and Phytoplankton from the Southern Ocean (Weddell, South Scotia, and Bellingshausen Seas)</t>
  </si>
  <si>
    <t>PERSISTENT ORGANIC POLLUTANTS; POLYCYCLIC AROMATIC-HYDROCARBONS; LONG-RANGE TRANSPORT; AIR-WATER EXCHANGE; ORGANOCHLORINE PESTICIDES; ATMOSPHERIC CONCENTRATIONS; MICROBIAL-DEGRADATION; MARINE ZOOPLANKTON; SURFACE MICROLAYER; ANTARCTIC KRILL</t>
  </si>
  <si>
    <t>The Southern Ocean is one of the most pristine environments in the world, but is nonetheless affected by inputs of persistent organic pollutants (POPs). In the present work, we report the concentrations of hexacorocycohexanes (HCHs), hexachlorobenzene (HCB), and 26 polychlorinated biphenyl (PCBs) congeners in seawater and phytoplankton from samples obtained during three Antarctic cruises 2005,, 2008, and 2009. The levels of PCBs, HCHs, and HCB are low in comparison to the few previous reports for this region and studies from other oceans. The long-term decline of POP concentrations in the Southern Ocean seawater since early 1980 is consistent with half-lives of 3.4 and 5.7 years for HCHs and PCBs, respectively. There is a large variability of PCBs, HCHs, and HCB concentrations in water and phytoplankton within the Bransfield Strait, South Scotia, Weddell, and Bellingshausen Seas that masks the differences between the studied Seas. However, the variability of PCBs concentrations in phytoplankton is significantly correlated with phytoplankton biomass, with lower concentrations in the most productive waters. This trend is more apparent for the more hydrophobic congeners, consistent with the role of settling fluxes of organic matter decreasing the concentrations of hydrophobic POPs in productive waters. The present work reports the most extensive data set on concentrations in Seawater and phytoplankton for the Southern Ocean, and points to the important biogeochemical drivers, such, as settling and degradation, influencing the occurrence of POPs in the ocean.</t>
  </si>
  <si>
    <t>[Galban-Malagon, Cristobal J.; Del Vento, Sabino; Berrojalbiz, Naiara; Ojeda, Maria-Jose; Dachs, Jordi] IDAEA CSIC, Dept Environm Chem, Barcelona 08034, Catalunya, Spain</t>
  </si>
  <si>
    <t>Consejo Superior de Investigaciones Cientificas (CSIC); CSIC - Centro de Investigacion y Desarrollo Pascual Vila (CID-CSIC); CSIC - Instituto de Diagnostico Ambiental y Estudios del Agua (IDAEA)</t>
  </si>
  <si>
    <t>Dachs, J (corresponding author), IDAEA CSIC, Dept Environm Chem, Jordi Girona 18-26, Barcelona 08034, Catalunya, Spain.</t>
  </si>
  <si>
    <t>jordi.dachs@idaea.csic.es</t>
  </si>
  <si>
    <t>Galbán-Malagón, Cristobal/B-2170-2017; Galbán-Malagón, Cristobal/J-2384-2015; Berrojalbiz, Naiara/R-4832-2016</t>
  </si>
  <si>
    <t>Galbán-Malagón, Cristobal/0000-0001-8397-5804; Berrojalbiz, Naiara/0000-0002-1097-8235; Dachs, Jordi/0000-0002-4237-169X</t>
  </si>
  <si>
    <t>ICEPOS; ESSASI; ATOS projects of the Spanish Ministry of Science and Innovation; Spanish Ministry of Science and Innovation</t>
  </si>
  <si>
    <t>ICEPOS; ESSASI; ATOS projects of the Spanish Ministry of Science and Innovation; Spanish Ministry of Science and Innovation(Spanish Government)</t>
  </si>
  <si>
    <t>The crew of R/V Hesperides and UTM-CSIC team are acknowledged for support during the ICEPOS, ESSASI, and ATOS-II, sampling cruise and Profs. Carlos Duarte and Damia Gomis for their contribution as cruise chief scientists of the ICEPOS and ESSASSI campaigns, respectively. This work was funded by ICEPOS, ESSASI, and ATOS projects of the Spanish Ministry of Science and Innovation and special actions DEPAND and BIOAEROMAR provided by the Spanish Ministry of Science and Innovation. is grateful for a predoctoral fellowship provided by the Spanish Ministry of Science and Innovation.</t>
  </si>
  <si>
    <t>10.1021/es400030q</t>
  </si>
  <si>
    <t>WOS:000320097400011</t>
  </si>
  <si>
    <t>Jadhav, VV; Yadav, A; Shouche, YS; Aphale, S; Moghe, A; Pillai, S; Arora, A; Bhadekar, RK</t>
  </si>
  <si>
    <t>Jadhav, Vipra Vijay; Yadav, Amit; Shouche, Yogesh S.; Aphale, Shama; Moghe, Alpana; Pillai, Sruthy; Arora, Aditi; Bhadekar, Rama Kaustubh</t>
  </si>
  <si>
    <t>Studies on biosurfactant from Oceanobacillus sp BRI 10 isolated from Antarctic sea water</t>
  </si>
  <si>
    <t>DESALINATION</t>
  </si>
  <si>
    <t>Antimicrobial activity; Bioremediation; Cytotoxicity; Glycolipoprotein; Optimization; Stability</t>
  </si>
  <si>
    <t>LIPOPEPTIDE BIOSURFACTANT; GLYCOLIPID BIOSURFACTANT; MICROBIAL-PRODUCTION; SP NOV.; OIL; SURFACTANTS; MICROORGANISMS; HALOTOLERANT; CONSORTIUM; BACTERIA</t>
  </si>
  <si>
    <t>The search for new biosurfactant producing strains from uncommon or extreme microbial habitats has become increasingly important due to their biotechnological and environmental significance. In view of this, fourteen bacterial strains were isolated from eight different sea water samples obtained from various locations of Antarctica. All of them were screened for biosurfactant production and only the isolate BRI 10 was found to be positive in all the tests. It was identified as Oceanobacillus sp. BRI 10 based on 16S rRNA sequencing and phylogenetic analysis. The production of biosurfactant was found to be maximum (E24 = 55%) in the medium containing glucose (3%) and ammonium chloride (0.48%) at 30 degrees C, pH 8.0 at the end of 48 h. The biosurfactant was stable at higher temperature and at alkaline pH. TLC and FTIR analysis revealed that biosurfactant is a glycolipoprotein. It exhibited antimicrobial activity against Escherichia coli and no cytotoxicity against normal cell line. It is found to emulsify lubricant oil, crude oil, diesel and kerosene in the order kerosene &gt; lubricant oil &gt; diesel &gt; crude oil. The emulsification activity (D-610) of biosurfactant was 0.64 as compared to 0.31 with SDS. Crude oil biodegradation experiments resulted in 56 and 90% degradation on 9th and 27th day respectively. These results suggested its applicability against diverse hydrocarbon pollution. (C) 2013 Elsevier B.V. All rights reserved.</t>
  </si>
  <si>
    <t>[Jadhav, Vipra Vijay; Pillai, Sruthy; Arora, Aditi; Bhadekar, Rama Kaustubh] Bharati Vidyapeeth Deemed Univ, Rajiv Gandhi Inst IT &amp; Biotechnol, Dept Microbial Biotechnol, Pune 411046, Maharashtra, India; [Aphale, Shama; Moghe, Alpana] Bharati Vidyapeeth Deemed Univ, Rajiv Gandhi Inst IT &amp; Biotechnol, Dept Mol Biol, Pune 411046, Maharashtra, India; [Yadav, Amit; Shouche, Yogesh S.] Natl Ctr Cell Sci, Mol Biol Unit, Pune 411007, Maharashtra, India</t>
  </si>
  <si>
    <t>Bharati Vidyapeeth Deemed University; Bharati Vidyapeeth Deemed University; Department of Biotechnology (DBT) India; National Centre for Cell Science, Pune (NCCS)</t>
  </si>
  <si>
    <t>Bhadekar, RK (corresponding author), Bharati Vidyapeeth Deemed Univ, Rajiv Gandhi Inst IT &amp; Biotechnol, Dept Microbial Biotechnol, Pune 411046, Maharashtra, India.</t>
  </si>
  <si>
    <t>neeta.bhadekar@gmail.com</t>
  </si>
  <si>
    <t>Bhadekar, Rama/GPC-4358-2022; Moghe, Alpana/JFL-0989-2023</t>
  </si>
  <si>
    <t>Department of Biotechnology, New Delhi, Govt. of India</t>
  </si>
  <si>
    <t>Department of Biotechnology, New Delhi, Govt. of India(Department of Biotechnology (DBT) India)</t>
  </si>
  <si>
    <t>This work is supported by the Department of Biotechnology, New Delhi, Govt. of India. We are thankful to Director, National Centre for Antarctic and Ocean Research, Goa. Shri Bhupesh Sharma and Shri Narendra Pal of Shriram Institute of Industrial Research are acknowledged for their help in collecting sea water samples during the expedition.</t>
  </si>
  <si>
    <t>0011-9164</t>
  </si>
  <si>
    <t>1873-4464</t>
  </si>
  <si>
    <t>Desalination</t>
  </si>
  <si>
    <t>JUN 3</t>
  </si>
  <si>
    <t>10.1016/j.desal.2013.03.017</t>
  </si>
  <si>
    <t>Engineering, Chemical; Water Resources</t>
  </si>
  <si>
    <t>Engineering; Water Resources</t>
  </si>
  <si>
    <t>154BN</t>
  </si>
  <si>
    <t>WOS:000319646600008</t>
  </si>
  <si>
    <t>Von Clarmann, T</t>
  </si>
  <si>
    <t>Von Clarmann, T.</t>
  </si>
  <si>
    <t>Chlorine in the stratosphere</t>
  </si>
  <si>
    <t>ATMOSFERA</t>
  </si>
  <si>
    <t>Stratosphere; chlorine</t>
  </si>
  <si>
    <t>ARCTIC POLAR VORTEX; MICROWAVE LIMB SOUNDER; IN-SITU MEASUREMENTS; SOLAR PROTON EVENTS; NEAR-ULTRAVIOLET SPECTROSCOPY; ANTARCTIC SPRING STRATOSPHERE; REMOTE-SENSING MEASUREMENTS; GROUND-BASED MEASUREMENTS; LONG-TERM TRENDS; CRYOGENIC INFRARED SPECTROMETERS</t>
  </si>
  <si>
    <t>This paper reviews the various aspects of chlorine compounds in the stratosphere, both their roles as reactants and as tracers of dynamical processes. In the stratosphere, reactive chlorine is released from chlorofluorocarbons and other chlorine-containing organic source gases. To a large extent reactive chlorine is then sequestered in reservoir species ClONO2 and HCl. Re-activation of chlorine happens predominantly in polar winter vortices by heterogeneous reaction in combination with sunlight. Catalytic cycles involving Cl, ClO, BrO, Cl2O2, ClO2, and others like NO, NO2, OH, and HO2 remove odd oxygen (ozone and atomic oxygen) from the atmosphere. Under an ozone hole condition, the ClO dimer cycle is particularly important, while in mid-latitudes the short-lived reservoir HOCl has some importance. Solar proton events can also affect stratospheric chlorine chemistry, but whether solar protons effectively activate or deactivate chlorine was shown to depend on illumination conditions. The lifetime of chlorofluorocarbons has an impact on the availability of ozone destructing substances in the stratosphere and depends on the Brewer-Dobson circulation which controls at which altitudes and how long an air parcel is exposed to photochemistry. In turn, the chlorine-containing source gases can be used as tracers to constrain the age of stratospheric air and thus to diagnose the Brewer-Dobson circulation. The use of complementary measurement systems was essential to extend our knowledge on chlorine-containing compounds in the stratosphere. ClO is best measured by remote sensing in its rotational bands in the far infrared and microwave region. For HOCl the far infrared bands are ideal, but some substantial information was also gained with microwave and mid-infrared measurements. ClONO2 is only measured in the thermal infrared, while HCl has a measurable signal in the microwave, far infrared and mid-infrared regions. The mid-infrared HCl lines, however, are situated at wavelengths where blackbody emission at terrestrial temperatures is so low that infrared measurements of HCl are possible only in solar absorption geometry, but not in thermal emission. Chlorine source gases are most accurately measured by air sampling techniques, while global coverage can only be achieved by satellite-borne thermal infrared measurements. In epistemological terms, research on stratospheric chemistry and particularly the role of chlorine compounds used various scientific concepts from deductive reasoning, falsificationism, abductive reasoning and so-called puzzle-solving within normal science. The structuralist theory of science with the concept of non-statement view of theories, however, seems to be best applicable to stratospheric chlorine research of the recent decades.</t>
  </si>
  <si>
    <t>Karlsruhe Inst Technol, IMK, D-76021 Karlsruhe, Germany</t>
  </si>
  <si>
    <t>Helmholtz Association; Karlsruhe Institute of Technology</t>
  </si>
  <si>
    <t>Von Clarmann, T (corresponding author), Karlsruhe Inst Technol, IMK, POB 3640, D-76021 Karlsruhe, Germany.</t>
  </si>
  <si>
    <t>thomas.clarmann@kit.edu</t>
  </si>
  <si>
    <t>CENTRO CIENCIAS ATMOSFERA UNAM</t>
  </si>
  <si>
    <t>MEXICO CITY</t>
  </si>
  <si>
    <t>CIRCUITO EXTERIOR, MEXICO CITY CU 04510, MEXICO</t>
  </si>
  <si>
    <t>0187-6236</t>
  </si>
  <si>
    <t>2395-8812</t>
  </si>
  <si>
    <t>Atmosfera</t>
  </si>
  <si>
    <t>JUN</t>
  </si>
  <si>
    <t>10.1016/S0187-6236(13)71086-5</t>
  </si>
  <si>
    <t>269UA</t>
  </si>
  <si>
    <t>WOS:000328266300010</t>
  </si>
  <si>
    <t>Tenzer, R; Bagherbandi, M</t>
  </si>
  <si>
    <t>Tenzer, Robert; Bagherbandi, Mohammad</t>
  </si>
  <si>
    <t>Reference crust-mantle density contrast beneath Antarctica based on the Vening Meinesz-Moritz isostatic inverse problem and CRUST2.0 seismic model</t>
  </si>
  <si>
    <t>EARTH SCIENCES RESEARCH JOURNAL</t>
  </si>
  <si>
    <t>Antarctica; crust; gravity; isostasy; mantle; Moho interface</t>
  </si>
  <si>
    <t>TRANSANTARCTIC MOUNTAINS; EAST ANTARCTICA; GLACIER REGION; EARTHS CRUST; RIFT SYSTEM; WEST; THICKNESS; PLATEAU</t>
  </si>
  <si>
    <t>The crust-mantle (Moho) density contrast beneath Antarctica was estimated based on solving the Vening Meinesz-Moritz isostatic problem and using constraining information from a seismic global crustal model (CRUST2.0). The solution was found by applying a least-squares adjustment by elements method. Global geopotential model (GOCO02S), global topographic/bathymetric model (DTM2006.0), ice-thickness data for Antarctica (assembled by the BEDMAP project) and global crustal model (CRUST2.0) were used for computing isostatic gravity anomalies. Since CRUST2.0 data for crustal structures under Antarctica are not accurate (due to a lack of seismic data in this part of the world), Moho density contrast was determined relative to a reference homogenous crustal model having 2,670 kg/m(3) constant density. Estimated values of Moho density contrast were between 160 and 682 kg/m(3). The spatial distribution of Moho density contrast resembled major features of the Antarctic's continental and surrounding oceanic tectonic plate configuration; maxima exceeding 500 kg/m(3) were found throughout the central part of East Antarctica, with an extension beneath the Transantarctic mountain range. Moho density contrast in West Antarctica decreased to 400-500 kg/m(3), except for local maxima up to similar to 550 kg/m(3) in the central Antarctic Peninsula.</t>
  </si>
  <si>
    <t>[Tenzer, Robert] Wuhan Univ, Sch Geodesy &amp; Geomat, Inst Geodesy &amp; Geophys, Wuhan 430072, Peoples R China; [Bagherbandi, Mohammad] Royal Inst Technol KTH, Div Geodesy &amp; Geoinformat, SE-10044 Stockholm, Sweden; [Bagherbandi, Mohammad] Univ Gavle, Dept Ind Dev IT &amp; Land Management, SE-80176 Gavle, Sweden</t>
  </si>
  <si>
    <t>Chinese Academy of Sciences; Innovation Academy for Precision Measurement Science &amp; Technology, CAS; Wuhan University; Royal Institute of Technology; University of Gavle</t>
  </si>
  <si>
    <t>Tenzer, R (corresponding author), Wuhan Univ, Sch Geodesy &amp; Geomat, Inst Geodesy &amp; Geophys, 129 Luoyu Rd, Wuhan 430072, Peoples R China.</t>
  </si>
  <si>
    <t>TENZER, Robert/C-3960-2019</t>
  </si>
  <si>
    <t>TENZER, Robert/0000-0002-9915-4960</t>
  </si>
  <si>
    <t>UNIV NACIONAL DE COLOMBIA</t>
  </si>
  <si>
    <t>BOGOTA</t>
  </si>
  <si>
    <t>EDIFICIO MANUAL ANCIZAR AA, BOGOTA, 14490, COLOMBIA</t>
  </si>
  <si>
    <t>1794-6190</t>
  </si>
  <si>
    <t>2339-3459</t>
  </si>
  <si>
    <t>EARTH SCI RES J</t>
  </si>
  <si>
    <t>Earth Sci. Res. J.</t>
  </si>
  <si>
    <t>274BM</t>
  </si>
  <si>
    <t>WOS:000328580100002</t>
  </si>
  <si>
    <t>Dierking, W</t>
  </si>
  <si>
    <t>Dierking, Wolfgang</t>
  </si>
  <si>
    <t>Sea Ice Monitoring by Synthetic Aperture Radar</t>
  </si>
  <si>
    <t>OCEANOGRAPHY</t>
  </si>
  <si>
    <t>SAR; IMAGES</t>
  </si>
  <si>
    <t>Satellite-borne synthetic aperture radar (SAR) data are highly valuable not only for observing the open ocean but also for monitoring seasonally or permanently ice-covered ocean regions in the Arctic, Antarctic, and other areas such as the Baltic Sea, the Bohai Sea, or the Sea of Okhotsk. Fundamentals of sea ice monitoring by SAR that address the following questions,are introduced: Which sea ice properties influence the radar backscattering signal directly? Which geophysical sea ice parameters are retrieved from SAR images? Important fields of recent sea ice observation activities, such as ice type classification, ice drift retrieval, and melt detection, are described. Modern satellite sensor technologies offer possibilities for significant improvements of retrieval methods, especially for more complex tasks of sea ice monitoring such as determination of ice thickness. These technologies cover enhancements of the SAR instruments themselves (multipolarization and multifrequency systems), modified mission designs (satellite constellations), and the combined use of different passive and active sensors operated in the optical, thermal, and microwave regimes.</t>
  </si>
  <si>
    <t>Alfred Wegener Inst Polar &amp; Marine Res, Bremerhaven, Germany</t>
  </si>
  <si>
    <t>Dierking, W (corresponding author), Alfred Wegener Inst Polar &amp; Marine Res, Bremerhaven, Germany.</t>
  </si>
  <si>
    <t>wolfgang.dierking@awi.de</t>
  </si>
  <si>
    <t>project SIDARUS (Sea Ice Downstream services for Arctic and Antarctic Users and Stakeholders) in the Seventh Framework Programme of the European Community for Research, Technological Development and Demonstration Activitie [262922]</t>
  </si>
  <si>
    <t>project SIDARUS (Sea Ice Downstream services for Arctic and Antarctic Users and Stakeholders) in the Seventh Framework Programme of the European Community for Research, Technological Development and Demonstration Activitie</t>
  </si>
  <si>
    <t>I would like to thank my colleagues Stefanie Linow and Thomas Hollands for providing parts of the figures. I express my gratitude to Matt Arkett and two anonymous reviewers. Because of their constructive comments, nonspecialists will find the text easier to read. This work was supported by the project SIDARUS (Sea Ice Downstream services for Arctic and Antarctic Users and Stakeholders) in the Seventh Framework Programme of the European Community for Research, Technological Development and Demonstration Activities under the funding scheme of Collaborative Project: Grant 262922.</t>
  </si>
  <si>
    <t>OCEANOGRAPHY SOC</t>
  </si>
  <si>
    <t>ROCKVILLE</t>
  </si>
  <si>
    <t>P.O. BOX 1931, ROCKVILLE, MD USA</t>
  </si>
  <si>
    <t>1042-8275</t>
  </si>
  <si>
    <t>250KX</t>
  </si>
  <si>
    <t>WOS:000326852800014</t>
  </si>
  <si>
    <t>Gillies, JA; Nickling, WG; Tilson, M</t>
  </si>
  <si>
    <t>Gillies, John A.; Nickling, William G.; Tilson, Michael</t>
  </si>
  <si>
    <t>Frequency, magnitude, and characteristics of aeolian sediment transport: McMurdo Dry Valleys, Antarctica</t>
  </si>
  <si>
    <t>JOURNAL OF GEOPHYSICAL RESEARCH-EARTH SURFACE</t>
  </si>
  <si>
    <t>aeolian; transport; dry valleys; Antarctica</t>
  </si>
  <si>
    <t>LARGE-SCALE VARIABILITY; SOUTHERN-VICTORIA-LAND; MASS FLUX RATES; SAND TRANSPORT; CHIHUAHUAN DESERT; EOLIAN SEDIMENT; TAYLOR VALLEY; WRIGHT VALLEY; NEW-MEXICO; ICE COVER</t>
  </si>
  <si>
    <t>Due, in part, to the challenging environment of Earth's high-latitude regions, available information on cold climate effects on aeolian processes in these areas remains limited. Data from these areas, however, provide insight into the physics of sediment transport by wind and the controls on erosive winds in proximity to ice caps and topographic influences. This study presents a 2 year record of meteorological, saltation activity, horizontal saltation flux, and particle size distribution data from four sites in the McMurdo Dry Valleys of Antarctica, 2008 to 2010. Saltation measurements revealed daily and seasonal patterns with spring and summer sediment transport events occurring between 09:00 and 24:00 hours due to thermally generated winds. Fall and winter events occur at any time of day with the strongest associated with foehn winds. Threshold wind speed at 4.2 m in all seasons for all locations was approximate to 10 m s(-1). Saltation occurred in the temperature range -40 degrees C to +5 degrees C. Westerly winds in the fall/winter and easterly winds in spring/summer are associated with the majority of transport events. The sand in transport is mainly 250 to 500 mu m in diameter and poorly sorted. The integrated saltation flux varies over three orders of magnitude among the sites, with the lowest mean flux recorded in the Taylor Valley (2.9 kg m(-1) day(-1)) and the highest in the eastern Victoria Valley (2271 kg m(-1) day(-1)) for 24 hours of continuous saltation. The percentage of time saltation active at these locations annually is approximate to 2%, approximate to 4%, and approximate to 13%, respectively, for the Victoria, Taylor, and Wright Valleys.</t>
  </si>
  <si>
    <t>[Gillies, John A.] Desert Res Inst, Div Atmospher Sci, Reno, NV 89512 USA; [Nickling, William G.; Tilson, Michael] Univ Guelph, Dept Geog, Wind Eros Lab, Guelph, ON N1G 2W1, Canada</t>
  </si>
  <si>
    <t>Nevada System of Higher Education (NSHE); Desert Research Institute NSHE; University of Guelph</t>
  </si>
  <si>
    <t>Gillies, JA (corresponding author), Desert Res Inst, Div Atmospher Sci, 2215 Raggio Pkwy, Reno, NV 89512 USA.</t>
  </si>
  <si>
    <t>Jack.Gillies@dri.edu</t>
  </si>
  <si>
    <t>U.S. National Science Foundation's Office of Polar Programs [ANT-063621]; National Sciences and Engineering Council, Canada</t>
  </si>
  <si>
    <t>U.S. National Science Foundation's Office of Polar Programs(National Science Foundation (NSF)); National Sciences and Engineering Council, Canada</t>
  </si>
  <si>
    <t>This research was supported by the U.S. National Science Foundation's Office of Polar Programs Grant ANT-063621 to J. A. Gillies. W. G. Nickling acknowledges support from the National Sciences and Engineering Council, Canada. We are also grateful for the outstanding logistical and technical support provided by the U.S. Antarctic Program. We also thank Becky Peace (BFC, USAP) for her invaluable assistance in the field, and the USAP volunteers who joined us at various times. Finally, we thank Mario Finoro and Sandy McClaren (Dept. of Geography, University of Guelph) for their outstanding technical assistance in helping to create the instruments that withstood the Antarctic weather.</t>
  </si>
  <si>
    <t>2169-9003</t>
  </si>
  <si>
    <t>2169-9011</t>
  </si>
  <si>
    <t>J GEOPHYS RES-EARTH</t>
  </si>
  <si>
    <t>J. Geophys. Res.-Earth Surf.</t>
  </si>
  <si>
    <t>10.1002/jgrf.20007</t>
  </si>
  <si>
    <t>225VU</t>
  </si>
  <si>
    <t>WOS:000324993900009</t>
  </si>
  <si>
    <t>Lumpkin, R; Johnson, GC</t>
  </si>
  <si>
    <t>Lumpkin, Rick; Johnson, Gregory C.</t>
  </si>
  <si>
    <t>Global ocean surface velocities from drifters: Mean, variance, El Nino-Southern Oscillation response, and seasonal cycle</t>
  </si>
  <si>
    <t>surface currents; climatology; drifters</t>
  </si>
  <si>
    <t>EQUATORIAL CURRENT BIFURCATION; TROPICAL PACIFIC; ATLANTIC-OCEAN; CIRCULATION; VARIABILITY; NORTH; CURRENTS; SATELLITE; WATER; WIND</t>
  </si>
  <si>
    <t>Global near-surface currents are calculated from satellite-tracked drogued drifter velocities on a 0.5 degrees x 0.5 degrees latitude-longitude grid using a new methodology. Data used at each grid point lie within a centered bin of set area with a shape defined by the variance ellipse of current fluctuations within that bin. The time-mean current, its annual harmonic, semiannual harmonic, correlation with the Southern Oscillation Index (SOI), spatial gradients, and residuals are estimated along with formal error bars for each component. The time-mean field resolves the major surface current systems of the world. The magnitude of the variance reveals enhanced eddy kinetic energy in the western boundary current systems, in equatorial regions, and along the Antarctic Circumpolar Current, as well as three large eddy deserts, two in the Pacific and one in the Atlantic. The SOI component is largest in the western and central tropical Pacific, but can also be seen in the Indian Ocean. Seasonal variations reveal details such as the gyre-scale shifts in the convergence centers of the subtropical gyres, and the seasonal evolution of tropical currents and eddies in the western tropical Pacific Ocean. The results of this study are available as a monthly climatology.</t>
  </si>
  <si>
    <t>[Lumpkin, Rick] NOAA, Atlantic Oceanog &amp; Meteorol Lab, Miami, FL 33149 USA; [Johnson, Gregory C.] NOAA, Pacific Marine Environm Lab, Seattle, WA 98115 USA</t>
  </si>
  <si>
    <t>National Oceanic Atmospheric Admin (NOAA) - USA; Atlantic Oceanographic &amp; Meteorological Laboratory (AOML); National Oceanic Atmospheric Admin (NOAA) - USA</t>
  </si>
  <si>
    <t>Lumpkin, R (corresponding author), NOAA, Atlantic Oceanog &amp; Meteorol Lab, 4301 Rickenbacker Causeway, Miami, FL 33149 USA.</t>
  </si>
  <si>
    <t>Rick.Lumpkin@noaa.gov</t>
  </si>
  <si>
    <t>Johnson, Gregory C/I-6559-2012; Lumpkin, Rick/C-9615-2009</t>
  </si>
  <si>
    <t>Johnson, Gregory C/0000-0002-8023-4020; Lumpkin, Rick/0000-0002-6690-1704</t>
  </si>
  <si>
    <t>NOAA Research; NOAA Climate Program Office; Atlantic Oceanographic and Meteorological Laboratory; Pacific Marine Environmental Laboratory; Division Of Ocean Sciences; Directorate For Geosciences [1031278] Funding Source: National Science Foundation</t>
  </si>
  <si>
    <t>NOAA Research(National Oceanic Atmospheric Admin (NOAA) - USA); NOAA Climate Program Office(National Oceanic Atmospheric Admin (NOAA) - USA); Atlantic Oceanographic and Meteorological Laboratory(National Oceanic Atmospheric Admin (NOAA) - USA); Pacific Marine Environmental Laboratory; Division Of Ocean Sciences; Directorate For Geosciences(National Science Foundation (NSF)NSF - Directorate for Geosciences (GEO))</t>
  </si>
  <si>
    <t>NOAA Research and the NOAA Climate Program Office funded this work. R. L. received additional support from the Atlantic Oceanographic and Meteorological Laboratory and G.C.J. from the Pacific Marine Environmental Laboratory. Conversations and input from Chris Meinen, Carlisle Thacker, Kathleen Dohan, Semyon Grodsky, Jacob Wenegrat, Frank Bryan, and three anonymous reviewers helped improve the original manuscript. The drifter data were collected and made freely available by the Global Drifter Program (http://www.aoml.noaa.gov/envids/gld/index.php). OSCAR data are available at http://www.oscar.noaa.gov. PMEL publication 3902.</t>
  </si>
  <si>
    <t>10.1002/jgrc.20210</t>
  </si>
  <si>
    <t>224KZ</t>
  </si>
  <si>
    <t>WOS:000324885500017</t>
  </si>
  <si>
    <t>Behnisch, M; Macrander, A; Boebel, O; Wolff, JO; Schröter, J</t>
  </si>
  <si>
    <t>Behnisch, M.; Macrander, A.; Boebel, O.; Wolff, J. -O.; Schroeter, J.</t>
  </si>
  <si>
    <t>Barotropic and deep-referenced baroclinic SSH variability derived from Pressure Inverted Echo Sounders (PIES) south of Africa</t>
  </si>
  <si>
    <t>PIES; SSH anomaly; GEM; barocline; barotrope</t>
  </si>
  <si>
    <t>ANTARCTIC CIRCUMPOLAR CURRENT; GLOBAL OCEAN; SATELLITE ALTIMETRY; DATA ASSIMILATION; ATLANTIC CURRENT; KALMAN FILTER; TIME-SERIES; MODEL; CIRCULATION; TRANSPORT</t>
  </si>
  <si>
    <t>The objective of this paper is to evaluate the baroclinic and barotropic components of sea surface height (SSH) anomalies in the Southern Ocean and investigates the causes for the weak correlation between hydrographically derived and satellite measured SSH anomalies. To this end, data obtained by six Pressure Inverted Echo Sounders (PIES) deployed south of Africa were used to derive baroclinic and barotropic SSH anomalies. Our results show that the barotropic component accounts for 30%-60% of the variability between the jets of the Antarctic Circumpolar Current (ACC). In contrast, the jets associated with the major ACC fronts are predominantly baroclinic. The deep baroclinic component is important in the ACC and accounts for the major part of the baroclinic variability. The comparison with along-track satellite altimetry (Jason 1/2) shows correlations coefficients of 0.24-0.92, with low values in regions of high-barotropic variability. The comparison with gridded Aviso satellite altimetry generally shows higher correlation coefficients (0.33-0.92) and lower root mean square (RMS) errors compared to the along-track product. In conclusion the barotropic SSH anomaly plays a major role in this region and has to be accounted for when assimilating SSH into ocean models. Due to their high-baroclinic component, the correct representation of the time and space varying ACC fronts seems to be crucial for the right SSH anomaly partitioning used for assimilation purposes. Gridded products, namely Aviso, seems to be more suitable compared to along-track products (Jason 1/2) in representing the variability of SSH anomalies.</t>
  </si>
  <si>
    <t>[Behnisch, M.; Boebel, O.; Schroeter, J.] Alfred Wegener Inst Polar &amp; Marine Res, D-27570 Bremerhaven, Germany; [Macrander, A.] Hafrannsoknastofnunin Marine Res Inst, Reykjavik, Iceland; [Wolff, J. -O.] Carl von Ossietzky Univ Oldenburg, Inst Chem &amp; Biol Marine Environm, D-26111 Oldenburg, Germany</t>
  </si>
  <si>
    <t>Helmholtz Association; Alfred Wegener Institute, Helmholtz Centre for Polar &amp; Marine Research; Marine &amp; Freshwater Research Institute (MFRI); Carl von Ossietzky Universitat Oldenburg</t>
  </si>
  <si>
    <t>Behnisch, M (corresponding author), Alfred Wegener Inst Polar &amp; Marine Res, POB 120161, D-27570 Bremerhaven, Germany.</t>
  </si>
  <si>
    <t>madlen.behnisch@loop.de</t>
  </si>
  <si>
    <t>Schröter, Jens G/H-8806-2016; Wolff, Joerg-Olaf/F-8248-2010</t>
  </si>
  <si>
    <t>Schröter, Jens G/0000-0002-9240-5798; Wolff, Joerg-Olaf/0000-0001-7037-7688</t>
  </si>
  <si>
    <t>German Research Foundation (DFG) [SCHR 779/4-3, SPP 1257]</t>
  </si>
  <si>
    <t>German Research Foundation (DFG)(German Research Foundation (DFG))</t>
  </si>
  <si>
    <t>The authors wish to thank the three anonymous reviewers for their helpful comments which greatly improved the quality of the manuscript. This study was supported by the German Research Foundation (DFG) under grant SCHR 779/4-3 within the Special Priority Program SPP 1257 Mass Transport and Mass Distribution in the System Earth. Further the authors acknowledge the excellent support of the officers and crews of R. V. Polarstern during deployment and recovering of the PIES.</t>
  </si>
  <si>
    <t>10.1002/jgrc.20195</t>
  </si>
  <si>
    <t>WOS:000324885500020</t>
  </si>
  <si>
    <t>Robertson, R</t>
  </si>
  <si>
    <t>Robertson, Robin</t>
  </si>
  <si>
    <t>Tidally induced increases in melting of Amundsen Sea ice shelves</t>
  </si>
  <si>
    <t>ice shelves; surface waves and tides; topographic; bathymetric interactions; critical latitude</t>
  </si>
  <si>
    <t>PINE ISLAND GLACIER; OCEAN CIRCULATION; BAROTROPIC TIDES; BENEATH</t>
  </si>
  <si>
    <t>Tidal effects on the circulation under the ice shelves and ice shelf melting in the Amundsen Sea were investigated using a numerical model, through comparison of simulations with and without tides. In the Amundsen Sea, tidal impacts were dependant on the location of the ice shelf front with respect to the M-2 effective critical latitude. The critical latitude is the latitude where the tidal frequency equals the inertial frequency. The effective critical latitude is where the tidal frequency equals the inertial frequency adjusted by relative vorticity, such as that associated with a wind-driven gyre. For ice shelves located equatorward of the M-2 effective critical latitude, tides increased both mixing in front of and under the ice shelf and flow into the ice shelf cavities by as much as 50%, despite weak tides compared with the mean flows. Tides also increased melting for these ice shelves by 1-3.5 m yr(-1), a 50% increase for Dotson Ice Shelf and 25% for Pine Island Ice Shelf. These enhancements were not a result of tidal residual flows, but instead originated from resonant effects, increases in the baroclinity of the velocities, and higher mixing, all of which are associated with critical latitude effects on internal tides. For ice shelves located poleward of the effective critical latitude, tides very slightly retarded flow into the cavity and slightly reduced melting.</t>
  </si>
  <si>
    <t>Univ New S Wales, Sch Phys Environm &amp; Math Sci, Canberra, ACT 2610, Australia</t>
  </si>
  <si>
    <t>University of New South Wales Sydney</t>
  </si>
  <si>
    <t>Robertson, R (corresponding author), Univ New S Wales, Sch Phys Environm &amp; Math Sci, POB 7916, Canberra, ACT 2610, Australia.</t>
  </si>
  <si>
    <t>r.robertson@adfa.edu.au</t>
  </si>
  <si>
    <t>Robertson, Robin/T-5491-2019</t>
  </si>
  <si>
    <t>Australian Antarctic Division [2944]; US National Science Foundation [ANT-06-32282]</t>
  </si>
  <si>
    <t>Australian Antarctic Division; US National Science Foundation(National Science Foundation (NSF))</t>
  </si>
  <si>
    <t>I would like to thank Stan Jacobs and Adrian Jenkins for many insightful conversations on the NBP0901 voyage. I also greatly appreciated the comments of several anonymous reviewers. This project was funded partially by both the Australian Antarctic Division, project 2944, and the US National Science Foundation, grant ANT-06-32282.</t>
  </si>
  <si>
    <t>10.1002/jgrc.20236</t>
  </si>
  <si>
    <t>WOS:000324885500027</t>
  </si>
  <si>
    <t>Mitchell, EJ; Newell, PT; Gjerloev, JW; Liou, K</t>
  </si>
  <si>
    <t>Mitchell, E. J.; Newell, P. T.; Gjerloev, J. W.; Liou, K.</t>
  </si>
  <si>
    <t>OVATION-SM: A model of auroral precipitation based on SuperMAG generalized auroral electrojet and substorm onset times</t>
  </si>
  <si>
    <t>Auroral Precipitation; SuperMAG; Substorm; Ion precipitation</t>
  </si>
  <si>
    <t>PLASMA SHEET ION; STATISTICAL-MODEL; ALFVEN WAVES; EMISSIONS; IMAGER</t>
  </si>
  <si>
    <t>OVATION-SM, an empirical model for different types of auroral energy flux, has been developed. OVATION-SM is a linear combination of the SME index (or square root of SME index for monoenergetic auroras), time since the last substorm onset, and time until the next substorm onset. Because OVATION-SM is based on ground magnetometer data and products of that data, it is possible to calculate continuous auroral power at a 1min cadence for 30+ years. OVATION-SM captures the gross auroral morphology, including onsets and other brightening and dimming events. The detailed spatial auroral morphology is beyond the scope of the current version of OVATION-SM. OVATION-SM explains more than 70% of the variance in Polar UV Imager nightside auroral power, which makes it a better predictor of nightside auroral power than any other model currently available.</t>
  </si>
  <si>
    <t>[Mitchell, E. J.; Newell, P. T.; Gjerloev, J. W.; Liou, K.] Johns Hopkins Univ, Appl Phys Lab, Laurel, MD 20723 USA; [Gjerloev, J. W.] Univ Bergen, Dept Phys &amp; Technol, Bergen, Norway</t>
  </si>
  <si>
    <t>Johns Hopkins University; Johns Hopkins University Applied Physics Laboratory; University of Bergen</t>
  </si>
  <si>
    <t>Mitchell, EJ (corresponding author), Johns Hopkins Univ, Appl Phys Lab, 11100 Johns Hopkins Rd 200-W254, Laurel, MD 20723 USA.</t>
  </si>
  <si>
    <t>elizabeth.mitchell@jhuapl.edu</t>
  </si>
  <si>
    <t>Gjerloev, Jesper/C-2116-2016; Mitchell, Elizabeth/E-6156-2017; Liou, Kan/C-2089-2016</t>
  </si>
  <si>
    <t>Mitchell, Elizabeth/0000-0001-5014-9493; Liou, Kan/0000-0001-5277-7688</t>
  </si>
  <si>
    <t>NSF [ANT-1043010, AGS-1132361, AGS-1045638]; Directorate For Geosciences; Office of Polar Programs (OPP) [1043010] Funding Source: National Science Foundation; Div Atmospheric &amp; Geospace Sciences; Directorate For Geosciences [1132361] Funding Source: National Science Foundation; Div Atmospheric &amp; Geospace Sciences; Directorate For Geosciences [1045638] Funding Source: National Science Foundation</t>
  </si>
  <si>
    <t>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 Div Atmospheric &amp; Geospace Sciences; Directorate For Geosciences(National Science Foundation (NSF)NSF - Directorate for Geosciences (GEO))</t>
  </si>
  <si>
    <t>This work was supported in part by NSF grants ANT-1043010, AGS-1132361, and AGS-1045638 to the Johns Hopkins University. For the ground magnetometer data, we gratefully acknowledge the following: Intermagnet; USGS, Jeffrey J. Love; Danish Meteorological Institute;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Conners; Greenland magnetometers operated by DTU Space; South Pole and McMurdo Magnetometer, PI's Louis J. Lanzarotti, and Alan T. Weatherwax; ICESTAR; RAPIDMAG; PENGUIn; British Antarctic Survey; McMac, PI Peter Chi; BGS, PI Susan Macmillan; Pushkov Institute of Terrestrial Magnetism, Ionosphere and Radio Wave Propagation (IZMIRAN); SuperMAG, PI Jesper W. Gjerloev.</t>
  </si>
  <si>
    <t>10.1002/jgra.50343</t>
  </si>
  <si>
    <t>228UQ</t>
  </si>
  <si>
    <t>WOS:000325217100093</t>
  </si>
  <si>
    <t>Laskowski, Z; Jezewski, W; Zdzitowiecki, K</t>
  </si>
  <si>
    <t>Laskowski, Zdzislaw; Jezewski, Witold; Zdzitowiecki, Krzysztof</t>
  </si>
  <si>
    <t>DESCRIPTION OF A NEW OPECOELID TREMATODE SPECIES FROM NOTOTHENIID FISH IN THE BEAGLE CHANNEL (SUB-ANTARCTICA)</t>
  </si>
  <si>
    <t>JOURNAL OF PARASITOLOGY</t>
  </si>
  <si>
    <t>DIGENEA; GENUS; LEPOCREADIIDAE; PARASITES</t>
  </si>
  <si>
    <t>Macvicaria magellanica n. sp. (Digenea: Opecoelidae) is the third representative of this genus occurring in fish in the Magellanic sub-region of sub-Antarctica and the first one found in sub-coastal waters in this area (the Beagle Channel). Its main taxonomic features include an elongate body, oral: ventral sucker ratio based on widths of 1.0:1.52-1.98, cirrus sac reaching to level of posterior half of the ventral sucker, testes arranged in tandem, numerous vitelline follicles divided into 2 groups separated by a gap parallel to the ventral sucker, vitelline follicles dorsally not confluent at the uterus and gonads, and egg dimensions of 40-51 x 25-32 mu m. The most similar species is Macvicaria antarctica, but it differs from the newly described species in having vitelline follicles dorsally confluent at the level of the uterus and by occurring in fish associated with the Falkland-Patagonian shelf at greater depths (at the North Scotia Ridge, 300-500 m). A key to 9 Antarctic and sub-Antarctic species of Macvicaria is included.</t>
  </si>
  <si>
    <t>[Laskowski, Zdzislaw; Jezewski, Witold; Zdzitowiecki, Krzysztof] Polish Acad Sci, W Stefanski Inst Parasitol, PL-00818 Warsaw, Poland</t>
  </si>
  <si>
    <t>Polish Academy of Sciences</t>
  </si>
  <si>
    <t>Laskowski, Z (corresponding author), Polish Acad Sci, W Stefanski Inst Parasitol, Twarda 51-55, PL-00818 Warsaw, Poland.</t>
  </si>
  <si>
    <t>laskowz@twarda.pan.pl</t>
  </si>
  <si>
    <t>; Laskowski, Zdzislaw/V-5682-2018</t>
  </si>
  <si>
    <t>Jezewski, Witold/0000-0002-1966-294X; Laskowski, Zdzislaw/0000-0001-8542-6307</t>
  </si>
  <si>
    <t>ALLEN PRESS INC</t>
  </si>
  <si>
    <t>810 E 10TH ST, LAWRENCE, KS 66044 USA</t>
  </si>
  <si>
    <t>0022-3395</t>
  </si>
  <si>
    <t>1937-2345</t>
  </si>
  <si>
    <t>J PARASITOL</t>
  </si>
  <si>
    <t>J. Parasitol.</t>
  </si>
  <si>
    <t>10.1645/GE-3167.1</t>
  </si>
  <si>
    <t>Parasitology</t>
  </si>
  <si>
    <t>192XR</t>
  </si>
  <si>
    <t>WOS:000322521800018</t>
  </si>
  <si>
    <t>Pankratov, FF; Konoplev, AV; Makhura, A; Kats, OV</t>
  </si>
  <si>
    <t>Pankratov, F. F.; Konoplev, A. V.; Makhura, A.; Kats, O. V.</t>
  </si>
  <si>
    <t>Analysis of the data of long-term monitoring of atmospheric mercury content and meteorological parameters at Amderma polar station</t>
  </si>
  <si>
    <t>RUSSIAN METEOROLOGY AND HYDROLOGY</t>
  </si>
  <si>
    <t>Mercury is one of the most hazardous heavy metals and the mercury contamination is of serious danger for the Arctic environment. Mercury compounds are rather mobile and can easily migrate both to the water and to the air. Mercury is removed most intensively from the atmosphere during the polar springtime (so-called AMDE effect, i.e., the Atmospheric Mercury Depletion Event). This phenomenon was observed from the beginning of the polar sunrise till the end of the snowmelt, i.e., from April to early June. In 2000-2001, the depletion of atmospheric mercury was discovered in the Antarctic. In 2001, the mercury analyzer was installed at Amderma station located on the Yugor Peninsula, and AMDE cases were registered there during the measurements. The study in the Arctic region demonstrated that the effect of mercury depletion is observed at the rather limited space along the coast of the Arctic seas. The activation of AMDE is associated both with the intensive UV-radiation and with such meteorological parameters as temperature, wind speed and humidity in the surface layer that favors the mercury depletion in the atmosphere. This process is typical for the high latitudes only and is observed during about two-three months from the beginning of the polar sunrise until the end of the snowmelt.</t>
  </si>
  <si>
    <t>[Pankratov, F. F.; Konoplev, A. V.] Taifun Sci Ind Assoc, Obninsk 249020, Kaluga Oblast, Russia; [Makhura, A.] Danish Meteorol Inst, DK-2100 Copenhagen, Denmark; [Kats, O. V.] Byt Servis Closed Corp, Obninsk 249035, Kaluga Oblast, Russia</t>
  </si>
  <si>
    <t>Danish Meteorological Institute DMI</t>
  </si>
  <si>
    <t>Pankratov, FF (corresponding author), Taifun Sci Ind Assoc, Pr Lenina 82, Obninsk 249020, Kaluga Oblast, Russia.</t>
  </si>
  <si>
    <t>Konoplev, Aleksei/E-7281-2016</t>
  </si>
  <si>
    <t>Konoplev, Aleksei/0000-0002-9930-8739</t>
  </si>
  <si>
    <t>PLEIADES PUBLISHING INC</t>
  </si>
  <si>
    <t>MOSCOW</t>
  </si>
  <si>
    <t>PLEIADES PUBLISHING INC, MOSCOW, 00000, RUSSIA</t>
  </si>
  <si>
    <t>1068-3739</t>
  </si>
  <si>
    <t>1934-8096</t>
  </si>
  <si>
    <t>RUSS METEOROL HYDRO+</t>
  </si>
  <si>
    <t>Russ. Meteorol. Hydrol.</t>
  </si>
  <si>
    <t>10.3103/S1068373913060058</t>
  </si>
  <si>
    <t>191CB</t>
  </si>
  <si>
    <t>WOS:000322389100005</t>
  </si>
  <si>
    <t>Whittaker, JM; Williams, SE; Müller, RD</t>
  </si>
  <si>
    <t>Whittaker, Joanne M.; Williams, Simon E.; Mueller, R. Dietmar</t>
  </si>
  <si>
    <t>Revised tectonic evolution of the Eastern Indian Ocean</t>
  </si>
  <si>
    <t>plate tectonics; LIPs; Kerguelen Plateau; mantle plume; triple junction</t>
  </si>
  <si>
    <t>NORTHWEST PACIFIC-OCEAN; KERGUELEN PLATEAU; HOT-SPOT; FLOOD BASALTS; CONTINENTAL-CRUST; FINITE-ROTATIONS; AGULHAS PLATEAU; SHATSKY RISE; AUSTRALIA; BASIN</t>
  </si>
  <si>
    <t>Published plate tectonic models for the Australian-Antarctic plate pair imply geologically improbable scenarios at either or both ends of the Cretaceous rift and spreading system. Controversy also exists around the location of and motion at the plate boundary extending west of Australia-Antarctica, through the Kerguelen Plateau region. We present a plate tectonic model of relative motions among India, Australia, and Antarctica from the onset of continental rifting to the establishment of rapid seafloor spreading, at similar to 43 Ma. The model conforms to a wide range of geological/geophysical evidence and reconstructs the formation of both the western Kerguelen region and the eastern Tasman region. The incorporation of spatiotemporally continuous plate boundaries reveals the presence of a plate boundary beneath the contiguous Central Kerguelen Plateau and Broken Ridge for similar to 65 Ma. To investigate the relationship between the plate boundary system and the Kerguelen plume, we test three alternative absolute reference frames. Using a fixed hot spot reference frame, the Indian Ocean mid-ocean ridge system remains within 500 km of the Kerguelen plume, while the proximity of the plate boundaries and the plume is more variable with a moving hot spot reference frame. Proximity between the plume, plate boundaries, and the Central Kerguelen Plateau/Broken Ridge for similar to 65 Myr suggests that these specific features were not formed by a single, short-lived (5-10 Myr) pulse of magmatic activity, but rather by a similar to 25 Myr period of relatively high magma flux followed by similar to 40 Myr period of lower volume magmatic activity, an interpretation not excluded by the relatively sparse dredge and drill ages.</t>
  </si>
  <si>
    <t>[Whittaker, Joanne M.; Williams, Simon E.; Mueller, R. Dietmar] Univ Sydney, Sch Geosci, EarthByte Grp, Sydney, NSW 2006, Australia</t>
  </si>
  <si>
    <t>University of Sydney</t>
  </si>
  <si>
    <t>Whittaker, JM (corresponding author), Univ Tasmania, Inst Marine &amp; Antarctic Studies, Hobart, Tas 7001, Australia.</t>
  </si>
  <si>
    <t>Müller, Dietmar/L-1200-2019; Whittaker, Joanne/B-3695-2010</t>
  </si>
  <si>
    <t>Müller, Dietmar/0000-0002-3334-5764; Whittaker, Joanne/0000-0002-3170-3935; Williams, Simon/0000-0003-4670-8883</t>
  </si>
  <si>
    <t>Statoil; ARC [FL0992245]</t>
  </si>
  <si>
    <t>Statoil; ARC(Australian Research Council)</t>
  </si>
  <si>
    <t>The figures in this paper were created using GPlates [Boyden et al., 2011], GMT [Wessel and Smith, 1998], and ArcGISTM. JW would like to gratefully acknowledge support from Statoil. SEW and RDM were supported by ARC grant FL0992245. We would like to thank Bernhard Steinberger, Jerome Dyment, and an anonymous reviewer for their constructive comments, which have greatly improved this paper. We had helpful discussions with Jennie Totterdell, Carmen Gaina, and Alexey Goncharov.</t>
  </si>
  <si>
    <t>10.1002/ggge.20120</t>
  </si>
  <si>
    <t>185IC</t>
  </si>
  <si>
    <t>WOS:000321960000014</t>
  </si>
  <si>
    <t>Meessen, J; Sánchez, FJ; Brandt, A; Balzer, EM; de la Torre, R; Sancho, LG; de Vera, JP; Ott, S</t>
  </si>
  <si>
    <t>Meessen, J.; Sanchez, F. J.; Brandt, A.; Balzer, E. -M.; de la Torre, R.; Sancho, L. G.; de Vera, J. -P.; Ott, S.</t>
  </si>
  <si>
    <t>Extremotolerance and Resistance of Lichens: Comparative Studies on Five Species Used in Astrobiological Research I. Morphological and Anatomical Characteristics</t>
  </si>
  <si>
    <t>ORIGINS OF LIFE AND EVOLUTION OF BIOSPHERES</t>
  </si>
  <si>
    <t>Buellia frigida; Circinaria gyrosa; Lichen morphology; Lichen anatomy; Extremotolerance; BIOMEX</t>
  </si>
  <si>
    <t>SIMULATED MARS CONDITIONS; OUTER-SPACE; SURVIVAL; LIFE; ORGANISMS; CAPACITY</t>
  </si>
  <si>
    <t>Lichens are symbioses of two organisms, a fungal mycobiont and a photoautotrophic photobiont. In nature, many lichens tolerate extreme environmental conditions and thus became valuable models in astrobiological research to fathom biological resistance towards non-terrestrial conditions; including space exposure, hypervelocity impact simulations as well as space and Martian parameter simulations. All studies demonstrated the high resistance towards non-terrestrial abiotic factors of selected extremotolerant lichens. Besides other adaptations, this study focuses on the morphological and anatomical traits by comparing five lichen species-Circinaria gyrosa, Rhizocarpon geographicum, Xanthoria elegans, Buellia frigida, Pleopsidium chlorophanum-used in present-day astrobiological research. Detailed investigation of thallus organization by microscopy methods allows to study the effect of morphology on lichen resistance and forms a basis for interpreting data of recent and future experiments. All investigated lichens reveal a common heteromerous thallus structure but diverging sets of morphological-anatomical traits, as intra-/extra-thalline mucilage matrices, cortices, algal arrangements, and hyphal strands. In B. frigida, R. geographicum, and X. elegans the combination of pigmented cortex, algal arrangement, and mucilage seems to enhance resistance, while subcortex and algal clustering seem to be crucial in C. gyrosa, as well as pigmented cortices and basal thallus protrusions in P. chlorophanum. Thus, generalizations on morphologically conferred resistance have to be avoided. Such differences might reflect the diverging evolutionary histories and are advantageous by adapting lichens to prevalent abiotic stressors. The peculiar lichen morphology demonstrates its remarkable stake in resisting extreme terrestrial conditions and may explain the high resistance of lichens found in astrobiological research.</t>
  </si>
  <si>
    <t>[Meessen, J.; Brandt, A.; Balzer, E. -M.; Ott, S.] Univ Dusseldorf, Inst Bot, D-40225 Dusseldorf, Germany; [Sanchez, F. J.; de la Torre, R.] INTA, Madrid 28850, Spain; [Sancho, L. G.] Univ Complutense Madrid, Fac Farm, Dept Biol Vegetal 2, E-28040 Madrid, Spain; [de Vera, J. -P.] Deutsch Zentrum Luft &amp; Raumfahrt DLR, Inst Planetenforsch, D-12489 Berlin, Germany</t>
  </si>
  <si>
    <t>Heinrich Heine University Dusseldorf; Consejo Superior de Investigaciones Cientificas (CSIC); CSIC - Centro de Astrobiologia (INTA); Complutense University of Madrid; Helmholtz Association; German Aerospace Centre (DLR)</t>
  </si>
  <si>
    <t>Meessen, J (corresponding author), Univ Dusseldorf, Inst Bot, Univ Str 1, D-40225 Dusseldorf, Germany.</t>
  </si>
  <si>
    <t>joachimmeessen@gmx.de</t>
  </si>
  <si>
    <t>Nechaeva, Polina Y/N-1148-2015; de la Torre Noetzel, Rosa/AAA-2920-2019; SANCHO, LEOPOLDO/G-9120-2015</t>
  </si>
  <si>
    <t>Nechaeva, Polina Y/0000-0002-5910-4117; SANCHO, LEOPOLDO/0000-0002-4751-7475; de la Torre Noetzel, Maria Rosa/0000-0003-2394-0268; Sanchez Inigo, Francisco Javier/0000-0002-6822-5180</t>
  </si>
  <si>
    <t>German Federal Ministry of Economics and Technology (BMWi); German Aerospace Center (DLR) [50BW1153, 50BW1216, ILSRA ESA-ILSRA 2009-0834]; Spanish Instituto Nacional de Tecnica Aeroespacial (INTA); German Research Foundation (DFG) [OT 96/10-3, 1158]</t>
  </si>
  <si>
    <t>German Federal Ministry of Economics and Technology (BMWi)(Federal Ministry for Economic Affairs and Energy (BMWi)); German Aerospace Center (DLR)(Helmholtz AssociationGerman Aerospace Centre (DLR)); Spanish Instituto Nacional de Tecnica Aeroespacial (INTA); German Research Foundation (DFG)(German Research Foundation (DFG))</t>
  </si>
  <si>
    <t>The authors would like to express their sincere gratitude to the German Federal Ministry of Economics and Technology (BMWi) and the German Aerospace Center (DLR) for funding the work of Joachim Meessen (50BW1153) and Annette Brandt (50BW1216), to the Spanish Instituto Nacional de Tecnica Aeroespacial (INTA) for granting a PhD scholarship to Francisco Javier Sanchez Inigo, and to the German Aerospace Center (DLR) for supporting the ESA-space experiment BIOMEX (ILSRA ESA-ILSRA 2009-0834, P-I Dr. J.-P. de Vera). Samples of B. frigida and P. chlorophanum were collected by S. Ott during the GANOVEX 10 expedition which was funded by the German Research Foundation (DFG, OT 96/10-3) in the framework of the Antarctic Priority Program 1158. We would also like to thank the reviewers for their comments and suggestions. Results of this study were presented on the 12th European Workshop on Astrobiology (P6.16, EANA 2012).</t>
  </si>
  <si>
    <t>0169-6149</t>
  </si>
  <si>
    <t>1573-0875</t>
  </si>
  <si>
    <t>ORIGINS LIFE EVOL B</t>
  </si>
  <si>
    <t>Orig. Life Evol. Biosph.</t>
  </si>
  <si>
    <t>10.1007/s11084-013-9337-2</t>
  </si>
  <si>
    <t>190WK</t>
  </si>
  <si>
    <t>WOS:000322373300007</t>
  </si>
  <si>
    <t>Marr, JP; Carter, L; Bostock, HC; Bolton, A; Smith, E</t>
  </si>
  <si>
    <t>Marr, Julene P.; Carter, Lionel; Bostock, Helen C.; Bolton, Annette; Smith, Euan</t>
  </si>
  <si>
    <t>Southwest Pacific Ocean response to a warming world: Using Mg/Ca, Zn/Ca, and Mn/Ca in foraminifera to track surface ocean water masses during the last deglaciation</t>
  </si>
  <si>
    <t>PALEOCEANOGRAPHY</t>
  </si>
  <si>
    <t>Mg; Ca; Mn; Ca; Ba; Ca; Zn; Ca; Southwest Pacific Ocean; Globigerina bulloides; Globigerinoides ruber; surface ocean; stratification; temperature; nutrient</t>
  </si>
  <si>
    <t>NEW-ZEALAND; PLANKTONIC-FORAMINIFERA; CLIMATE-CHANGE; PHYSICAL OCEANOGRAPHY; SUBTROPICAL FRONT; SOUTHERN-OCEAN; VARIABILITY; TEMPERATURE; BARIUM; SEA</t>
  </si>
  <si>
    <t>In situ measurements of Mg/Ca, Zn/Ca, Mn/Ca, and Ba/Ca in Globigerinoides bulloides and Globigerina ruber from southwest Pacific core top sites and plankton tow are reported and their potential as paleoproxies is explored. The modern samples cover 20 degrees of latitude from 34 degrees S to 54 degrees S, 7-19 degrees C water temperature, and variable influence of subantarctic (SAW) and subtropical (STW) surface waters. Trace element signatures recorded in core top and plankton tow planktic foraminifera are examined in the context of the chemistry and nutrient profiles of their modern water masses. Our observations suggest that Zn/Ca and Mn/Ca may have the potential to trace SAW and STW. Intraspecies and interspecies offsets identified by in situ measurements of Mg/Ca and Zn/Ca indicate that these ratios may also record changes in thermal and nutrient stratification in the upper ocean. We apply these potential proxies to fossilized foraminifera from the high-resolution core MD97 2121. At the Last Glacial Maximum, surface water Mg/Ca temperature estimates indicate that temperatures were approximately 6-7 degrees C lower than those of the present, accompanied by low levels of Mn/Ca and Zn/Ca and minimal thermal and nutrient stratification. This is consistent with regional dominance of SAW and reduced STW inflow associated with a reduced South Pacific Gyre (SPG). Upper ocean thermal and nutrient stratification collapsed during the Antarctic Cold Reversal, before poleward migration of the zonal winds and ocean fronts invigorated the SPG and increased STW inflow in the early Holocene. Together with reduced winds, this favored a stratified upper ocean from circa 10ka to the present.</t>
  </si>
  <si>
    <t>[Marr, Julene P.; Smith, Euan] Victoria Univ Wellington, Sch Geog Environm &amp; Earth Sci, Wellington, New Zealand; [Marr, Julene P.; Carter, Lionel] Victoria Univ Wellington, Antarctic Res Ctr, Sch Geog Environm &amp; Earth Sci, Wellington, New Zealand; [Bostock, Helen C.] Natl Inst Water &amp; Atmospher Res, Wellington 6241, New Zealand; [Bolton, Annette] Nanyang Technol Univ, Earth Observ Singapore, Singapore 639798, Singapore</t>
  </si>
  <si>
    <t>Victoria University Wellington; Victoria University Wellington; National Institute of Water &amp; Atmospheric Research (NIWA) - New Zealand; Nanyang Technological University</t>
  </si>
  <si>
    <t>Bostock, HC (corresponding author), Natl Inst Water &amp; Atmospher Res, POB 14-901, Wellington 6241, New Zealand.</t>
  </si>
  <si>
    <t>Helen.Bostock@niwa.co.nz</t>
  </si>
  <si>
    <t>Marr, Julene/O-2382-2013; Bostock, Helen/A-6834-2013; Bolton, Annette/C-6520-2013</t>
  </si>
  <si>
    <t>Marr, Julene/0000-0001-6441-2838; Bostock, Helen/0000-0002-8903-8958; Bolton, Annette/0000-0002-7252-2049</t>
  </si>
  <si>
    <t>0883-8305</t>
  </si>
  <si>
    <t>1944-9186</t>
  </si>
  <si>
    <t>Paleoceanography</t>
  </si>
  <si>
    <t>10.1002/palo.20032</t>
  </si>
  <si>
    <t>Geosciences, Multidisciplinary; Oceanography; Paleontology</t>
  </si>
  <si>
    <t>Geology; Oceanography; Paleontology</t>
  </si>
  <si>
    <t>186AP</t>
  </si>
  <si>
    <t>WOS:000322013900012</t>
  </si>
  <si>
    <t>Okita, H; Ichikawa, T; Ashley, MCB; Takato, N; Motoyama, H</t>
  </si>
  <si>
    <t>Okita, H.; Ichikawa, T.; Ashley, M. C. B.; Takato, N.; Motoyama, H.</t>
  </si>
  <si>
    <t>Excellent daytime seeing at Dome Fuji on the Antarctic plateau</t>
  </si>
  <si>
    <t>ASTRONOMY &amp; ASTROPHYSICS</t>
  </si>
  <si>
    <t>site testing</t>
  </si>
  <si>
    <t>DIFFERENTIAL IMAGE MOTION; BOUNDARY-LAYER; SITE</t>
  </si>
  <si>
    <t>Context. Dome Fuji, the second highest region on the Antarctic plateau, is expected to have some of the best astronomical seeing on Earth. However, site testing at Dome Fuji is still in its very early stages. Aims. We investigate the astronomical seeing in the free atmosphere above Dome Fuji and determine the height of the surface boundary layer. Methods. A Differential Image Motion Monitor was used to measure the seeing in the visible (472 nm) at a height of 11 m above the snow surface at Dome Fuji during the austral summer of 2012/2013. Results. Seeing below 0.2 '' has been observed. The seeing often has a local minimum of similar to 0.3 '' near 18 h local time. Some periods of excellent seeing, 0.3 '' or smaller, were also observed, sometimes extending for several hours around local midnight. The median seeing is larger, at 0.52 ''. This high value is believed to be caused by periods when the telescope was within the turbulent boundary layer. Conclusions. The diurnal variation in the daytime seeing at Dome Fuji is similar to what is reported for Dome C, and the height of the surface boundary layer is consistent with previous simulations for Dome Fuji. The free atmosphere seeing is similar to 0.2 '', and the height of the surface boundary layer can be as low as similar to 11 m.</t>
  </si>
  <si>
    <t>[Okita, H.; Ichikawa, T.] Tohoku Univ, Astron Inst, Aoba Ku, Sendai, Miyagi 9808578, Japan; [Ashley, M. C. B.] Univ New S Wales, Sch Phys, Sydney, NSW 2052, Australia; [Takato, N.] Subaru Telescope, Hilo, HI 96720 USA; [Motoyama, H.] Natl Inst Polar Res, Tachikawa, Tokyo 1908518, Japan</t>
  </si>
  <si>
    <t>Tohoku University; University of New South Wales Sydney; National Institutes of Natural Sciences (NINS) - Japan; National Astronomical Observatory of Japan (NAOJ); Research Organization of Information &amp; Systems (ROIS); National Institute of Polar Research (NIPR) - Japan</t>
  </si>
  <si>
    <t>Okita, H (corresponding author), Tohoku Univ, Astron Inst, Aoba Ku, 6-3 Aramaki, Sendai, Miyagi 9808578, Japan.</t>
  </si>
  <si>
    <t>h-okita@astr.tohoku.ac.jp</t>
  </si>
  <si>
    <t>Okita, Hirofumi/0000-0002-6656-1631; Ashley, Michael/0000-0003-1412-2028</t>
  </si>
  <si>
    <t>National Institute of Polar Research [KP-12, 18340050, 23103002]; Australian Research Council; Australian government; Japan Science Society; Tohoku University International Advanced Research and Education Organization; Grants-in-Aid for Scientific Research [18340050, 23103002, 21340130] Funding Source: KAKEN</t>
  </si>
  <si>
    <t>National Institute of Polar Research(National Institute of Polar Research (NIPR) - Japan); Australian Research Council(Australian Research Council); Australian government(Australian Government); Japan Science Society; Tohoku University International Advanced Research and Education Organization; Grants-in-Aid for Scientific Research(Ministry of Education, Culture, Sports, Science and Technology, Japan (MEXT)Japan Society for the Promotion of ScienceGrants-in-Aid for Scientific Research (KAKENHI))</t>
  </si>
  <si>
    <t>We acknowledge the National Institute of Polar Research and the 51st-54th Japanese Antarctic Research Expeditions. This research is supported by the National Institute of Polar Research through Project Research No. KP-12, the Grants-in-Aid for Scientific Research 18340050 and 23103002, the Australian Research Council and Australian government infrastructure funding managed by Astronomy Australia Limited. Hirofumi Okita thanks the Sasakawa Scientific Research Grant from The Japan Science Society, and Tohoku University International Advanced Research and Education Organization for scholarships and research expenses.</t>
  </si>
  <si>
    <t>EDP SCIENCES S A</t>
  </si>
  <si>
    <t>LES ULIS CEDEX A</t>
  </si>
  <si>
    <t>17, AVE DU HOGGAR, PA COURTABOEUF, BP 112, F-91944 LES ULIS CEDEX A, FRANCE</t>
  </si>
  <si>
    <t>0004-6361</t>
  </si>
  <si>
    <t>ASTRON ASTROPHYS</t>
  </si>
  <si>
    <t>Astron. Astrophys.</t>
  </si>
  <si>
    <t>L5</t>
  </si>
  <si>
    <t>10.1051/0004-6361/201321937</t>
  </si>
  <si>
    <t>164XA</t>
  </si>
  <si>
    <t>WOS:000320444200149</t>
  </si>
  <si>
    <t>Haussmann, NS; Rudolph, EM; Kalwij, JM; McIntyre, T</t>
  </si>
  <si>
    <t>Haussmann, Natalie S.; Rudolph, Elizabeth M.; Kalwij, Jesse M.; McIntyre, Trevor</t>
  </si>
  <si>
    <t>Fur seal populations facilitate establishment of exotic vascular plants</t>
  </si>
  <si>
    <t>BIOLOGICAL CONSERVATION</t>
  </si>
  <si>
    <t>Exotic plants; Fur seals; Marion Island; Nutrient enrichment; Physical soil disturbance; sub-Antarctic</t>
  </si>
  <si>
    <t>MARION ISLAND; TERRESTRIAL ECOSYSTEMS; VEGETATION; INVASION; DISTURBANCE; CONSERVATION; IMPACT</t>
  </si>
  <si>
    <t>The cessation of seal harvesting has prompted a recovery of previously decimated fur seal (Arctocephalus gazella and Arctocephalus tropicalis) populations across the Southern Ocean region. Although the associated increase in seal-related soil disturbance is known to impact indigenous vegetation, the effect of increasing fur seal numbers on exotic plant species is not yet clear. Here, we compare plant species composition and cover between 26 sites with high fur seal impact paired with nearby control sites on sub-Antarctic Marion Island. Seal-affected sites had a significantly higher number and cover of exotic plants, specifically of the widespread sub-Antarctic invaders, Poa annua and Sagina procumbens, than control sites. Furthermore, some of the native species, most notably the disturbance-sensitive species, Blechnum penna-marina, were significantly less abundant in seal-affected sites compared to controls. We propose that this is a result of both physical trampling, which opens up niches for exotics by damaging natives, and nutrient enrichment of the soils, giving exotic species a competitive advantage over natives. While other studies have noticed associations between exotic plant species and indigenous animal disturbance, this is, to the best of our knowledge, the first study to empirically show that the successful recovery of fur seal populations can have undesirable side-effects such as the enhanced persistence of exotic plant species. We recommend that alien plant management plans specifically include areas of increased animal disturbance into their programmes. (C) 2013 Elsevier Ltd. All rights reserved.</t>
  </si>
  <si>
    <t>[Haussmann, Natalie S.; Rudolph, Elizabeth M.] Univ Pretoria, Dept Geog Geoinformat &amp; Meteorol, ZA-0028 Hatfield, South Africa; [Kalwij, Jesse M.] Univ Tartu, Inst Ecol &amp; Earth Sci, EE-51005 Tartu, Estonia; [Kalwij, Jesse M.] Univ Johannesburg, Dept Zool, ZA-2006 Auckland Pk, South Africa; [McIntyre, Trevor] Univ Pretoria, Dept Zool &amp; Entomol, Mammal Res Inst, ZA-0028 Hatfield, South Africa; [McIntyre, Trevor] Alfred Wegener Inst Polar &amp; Marine Res, D-27515 Bremerhaven, Germany</t>
  </si>
  <si>
    <t>University of Pretoria; University of Tartu; Tartu University Institute of Ecology &amp; Earth Sciences; University of Johannesburg; University of Pretoria; Helmholtz Association; Alfred Wegener Institute, Helmholtz Centre for Polar &amp; Marine Research</t>
  </si>
  <si>
    <t>Haussmann, NS (corresponding author), Univ Pretoria, Dept Geog Geoinformat &amp; Meteorol, Private Bag X20, ZA-0028 Hatfield, South Africa.</t>
  </si>
  <si>
    <t>natalie.haussmann@up.ac.za; liezelru-dolph@hotmail.com; jesse.kalwij@ut.ee; tmcintyre@-zoology.up.ac.za</t>
  </si>
  <si>
    <t>Kalwij, Jesse/H-2571-2012; McIntyre, Trevor/E-6846-2010; Haussmann, Natalie/A-5665-2011; Haussmann, Natalie/AFK-4732-2022</t>
  </si>
  <si>
    <t>Kalwij, Jesse/0000-0002-8685-9603; McIntyre, Trevor/0000-0001-8395-7550; Haussmann, Natalie/0000-0002-0314-0266; Rudolph, Elizabeth M./0000-0002-3823-3278</t>
  </si>
  <si>
    <t>Research Development Programme (RDP) of the University of Pretoria; South African National Research Foundation (NRF); South African National Antarctic Programme (SANAP); European Regional Development Fund (Centre of Excellence FIBIR)</t>
  </si>
  <si>
    <t>Research Development Programme (RDP) of the University of Pretoria; South African National Research Foundation (NRF)(National Research Foundation - South Africa); South African National Antarctic Programme (SANAP); European Regional Development Fund (Centre of Excellence FIBIR)(European Union (EU))</t>
  </si>
  <si>
    <t>Project costs were funded by The Research Development Programme (RDP) of the University of Pretoria. Further financial and logistical support was provided by the South African National Research Foundation (NRF) and South African National Antarctic Programme (SANAP). Jesse Kalwij is supported by the European Regional Development Fund (Centre of Excellence FIBIR). Gareth Isenegger is thanked for his help in the field, and Prof. Valdon Smith and Marius Roussouw for their help in species identification and useful discussion on the island. All methods used in this study have been endorsed by the ethics committee of the Faculty of Natural and Agricultural Sciences of the University of Pretoria (Reference EC110315-018). The research also conformed to Antarctic Treaty legislation and to the SCAR Code of Conduct for Use of Animals for Scientific Purposes in Antarctica (Appendix 16.7, Laws 1993).</t>
  </si>
  <si>
    <t>0006-3207</t>
  </si>
  <si>
    <t>1873-2917</t>
  </si>
  <si>
    <t>BIOL CONSERV</t>
  </si>
  <si>
    <t>Biol. Conserv.</t>
  </si>
  <si>
    <t>10.1016/j.biocon.2013.03.024</t>
  </si>
  <si>
    <t>174OT</t>
  </si>
  <si>
    <t>WOS:000321166000005</t>
  </si>
  <si>
    <t>LeMasurier, W</t>
  </si>
  <si>
    <t>LeMasurier, Wesley</t>
  </si>
  <si>
    <t>Shield volcanoes of Marie Byrd Land, West Antarctic rift: oceanic island similarities, continental signature, and tectonic controls</t>
  </si>
  <si>
    <t>BULLETIN OF VOLCANOLOGY</t>
  </si>
  <si>
    <t>Shield volcanoes; Alkaline oceanic islands; Evolutionary stages; Order of eruption</t>
  </si>
  <si>
    <t>EAST-AFRICAN RIFT; CRUSTAL STRUCTURE; GRAN-CANARIA; EVOLUTION; TRACHYTE; ICE; PANTELLERITE; PHONOLITE; MURPHY; MAGMA</t>
  </si>
  <si>
    <t>The Marie Byrd Land volcanic province is largely defined by 18 large (up to similar to 1,800 km(3)) alkaline shield volcanoes, each surmounted by a summit section of varied felsic rocks dominated by trachytic flows. They are distributed over a 500x800-km block-faulted dome within the West Antarctic rift. The basement contact of volcanic sections is similar to 500 masl at one site and 3,000 mbsl at another, 70 km away, which illustrates the scale of block faulting but complicates an understanding of volcanic structure. Furthermore, the continental ice sheet buries 16 volcanoes to progressively greater heights inland. However, five are sufficiently exposed to allow meaningful comparisons with alkaline oceanic island volcanoes; these comparisons are used as a guide to estimate the structure of Marie Byrd Land volcanoes. The type example for this study is Mt. Murphy, the most completely exposed volcano. It consists of a 1,400-m section of alkaline basalt overlain by trachyte and benmoreite flows that make up similar to 7-13 % of the volcano volume. In gross structure and composition, Mt. Murphy is similar to Gran Canaria volcano, Canary Islands, but the percent of felsic rock may be three times that of Gran Canaria, if the estimate is approximately correct. Departures from the oceanic island example are believed to represent the imprint of the Marie Byrd Land lithosphere and tectonic environment on volcano evolution. These include a lack of order in the sequence of felsic rock types, lack of progression toward more silica undersaturated compositions with time, absence of a highly undersaturated mafic resurgent stage, and perhaps, a relatively large volume of felsic rock.</t>
  </si>
  <si>
    <t>Univ Colorado, Inst Arctic &amp; Alpine Res INSTAAR, Boulder, CO 80309 USA</t>
  </si>
  <si>
    <t>University of Colorado System; University of Colorado Boulder</t>
  </si>
  <si>
    <t>LeMasurier, W (corresponding author), Univ Colorado, Inst Arctic &amp; Alpine Res INSTAAR, Boulder, CO 80309 USA.</t>
  </si>
  <si>
    <t>wesley.lemasurier@colorado.edu</t>
  </si>
  <si>
    <t>National Science Foundation [536526]</t>
  </si>
  <si>
    <t>I am pleased to acknowledge the support of the National Science Foundation through grant # 536526, administered by the Office of Polar Programs. John Andrews and Cristina de Ignacio San Jose provided much appreciated critiques of an early draft of the manuscript. Formal reviews by Jim Cole, Valentin Troll, and two anonymous reviewers provided helpful and authoritative critiques of Gran Canaria, Mt. Murphy, and other sections, for which I am very grateful. I am much obliged to Associate Editor Ben van Wyk de Vries for well-balanced reviews and thoughtful editorial oversight that greatly improved the manuscript.</t>
  </si>
  <si>
    <t>0258-8900</t>
  </si>
  <si>
    <t>1432-0819</t>
  </si>
  <si>
    <t>B VOLCANOL</t>
  </si>
  <si>
    <t>Bull. Volcanol.</t>
  </si>
  <si>
    <t>10.1007/s00445-013-0726-1</t>
  </si>
  <si>
    <t>182WS</t>
  </si>
  <si>
    <t>WOS:000321776100009</t>
  </si>
  <si>
    <t>Liu, JJ; Hu, HQ; Han, DS; Xing, ZY; Hu, ZJ; Huang, DH; Yang, HG</t>
  </si>
  <si>
    <t>Liu Jian-Jun; Hu Hong-Qiao; Han De-Sheng; Xing Zan-Yang; Hu Ze-Jun; Huang De-Hong; Yang Hui-Gen</t>
  </si>
  <si>
    <t>Response of nightside aurora to interplanetary shock from ground optical observation</t>
  </si>
  <si>
    <t>Aurora; Interplanetary shock; Auroral breakup; Zhongshan station; Yellow River station</t>
  </si>
  <si>
    <t>SUBSTORMS; WAVES; MODEL</t>
  </si>
  <si>
    <t>Interaction between interplanetary shock and magnetosphere frequently induces dayside enhancements of auroral activity, and subsequent enhancement of auroral precipitation referred as shock aurora propagating dawnward and duskward from noon to the night sector. In some cases, these interplanetary shocks also induce enhanced activity during which the power precipitated into the night sector may reach values as high as observed during typical magnetospheric substorms. Present study analyze the nightside auroral responses to the interplanetary shock sudden compression based-on the ground optical auroral observations from Chinese Antarctic Zhongshan and Arctic Yellow River stations for the first time. Of 18 shock associated aurora cases indicated that nightside auroral responses can be classified into auroral breakup and weak intensification or null events. Epoch time analysis showed that both the solar wind-magnetosphere coupling efficiency and electro-magnetic environment inside magnetosphere determine the nightside auroral responses.</t>
  </si>
  <si>
    <t>[Liu Jian-Jun] Wuhan Univ, Sch Elect Informat, Wuhan 430079, Peoples R China; [Liu Jian-Jun; Hu Hong-Qiao; Han De-Sheng; Xing Zan-Yang; Hu Ze-Jun; Huang De-Hong; Yang Hui-Gen] Polar Res Inst China, SOA Key Lab Polar Sci, Shanghai 200136, Peoples R China; [Xing Zan-Yang] Xidian Univ, Sch Sci, Xian 710071, Peoples R China</t>
  </si>
  <si>
    <t>Wuhan University; Polar Research Institute of China; Xidian University</t>
  </si>
  <si>
    <t>Liu, JJ (corresponding author), Wuhan Univ, Sch Elect Informat, Wuhan 430079, Peoples R China.</t>
  </si>
  <si>
    <t>liujianjun@pric.gov.cn</t>
  </si>
  <si>
    <t>Hu, Ze-Jun/X-8090-2019; Han, Desheng/P-2663-2017; Han, Desheng/H-6971-2018</t>
  </si>
  <si>
    <t>Hu, Ze-Jun/0000-0003-2448-2094; Han, Desheng/0000-0002-6635-9214</t>
  </si>
  <si>
    <t>10.6038/cjg20130601</t>
  </si>
  <si>
    <t>177ZZ</t>
  </si>
  <si>
    <t>WOS:000321415200001</t>
  </si>
  <si>
    <t>Ricaud, P; Carminati, F; Attié, JL; Courcoux, Y; Rose, T; Genthon, C; Pellegrini, A; Tremblin, P; August, T</t>
  </si>
  <si>
    <t>Ricaud, Philippe; Carminati, Fabien; Attie, Jean-Luc; Courcoux, Y.; Rose, Thomas; Genthon, Christophe; Pellegrini, Andrea; Tremblin, Pascal; August, Thomas</t>
  </si>
  <si>
    <t>Quality Assessment of the First Measurements of Tropospheric Water Vapor and Temperature by the HAMSTRAD Radiometer Over Concordia Station, Antarctica</t>
  </si>
  <si>
    <t>Antarctica; atmospheric measurements; humidity measurements; least squares methods; microwave measurements; microwave radiometry; temperature measurements; time series analysis</t>
  </si>
  <si>
    <t>MILLIMETER-WAVE; DOME-C; 183-GHZ RADIOMETER; SUBMILLIMETER; MICROWAVE; SITE; PLATEAU; OZONE</t>
  </si>
  <si>
    <t>The HAMSTRAD microwave instrument operates at 60 and 183 GHz and measures temperature and water vapor, respectively, from 0- to 10-km altitude with a time resolution of 7 min. The radiometer has been successfully deployed at Dome C (Concordia Station), Antarctica (75 degrees 06' S, 123 degrees 21' E, 3233 m amsl) during the first summertime campaign for 12 days in January-February 2009. The radiometer has been continuously running since January 2010, hosted within a dedicated shelter. We have used the very first set of HAMSTRAD data, recorded when the instrument was outdoors, to assess its potential to sound the troposphere over Dome C, from the planetary boundary layer (PBL) up to the tropopause (similar to 6 km above surface, similar to 9 km amsl). We have compared the HAMSTRAD measurements to several sets of measurements performed at the Dome-C station or in its vicinity: meteorological radiosondes, in situ PT100 and Humicap sondes along the vertical extent of a 45-m tower, meteorological sensor attached to the HAMSTRAD instrument, and the space-borne Infrared Atmospheric Sounding Interferometer (IASI) instrument onboard the EUMETSAT MetOp-A satellite in polar orbit. The variability of integrated water vapor (IWV) observed by HAMSTRAD with extremely low values of 0.5 kg . m(-2) was also measured by the radiosondes (very high HAMSTRAD versus radiosonde correlation of 0.98), whereas IASI cloud-free measurements did not reproduce well the HAMSTRAD IWV variation (weak HAMSTRAD versus IASI correlation of 0.58). The measurements of absolute humidity (H2O) from HAMSTRAD at Dome C cover a large vertical extent from the surface to about 6 km above surface with a high sensitivity in the free troposphere. The strong diurnal variation of H2O observed by the in situ sensors in the PBL is not well detected by the radiometer. In the free troposphere, the HAMSTRAD versus radiosonde H2O correlation can reach 0.8-0.9. Around the tropopause, HAMSTRAD shows the same variability as IASI and radiosondes but with a dry bias of 0.01 g . m(-3). HAMSTRAD tends to show a wetter atmosphere by 0.1-0.3 g . m(-3) compared with radiosondes from the surface to similar to 2-km altitude and a drier atmosphere above by similar to 0.1 g . m(-3). The sensitivity of the temperature profiles from HAMSTRAD is very high in the PBL and in the free troposphere but degrades around the tropopause. The strong diurnal signal measured above the surface by HAMSTRAD (3-6 K) is consistent with all the other in situ data sets. The temporal evolution over the 12-day period in the PBL is also consistent with all other data sets (radiosondes, IASI, in situ sondes, and meteorological sensors). In the free troposphere and around the tropopause, the HAMSTRAD temporal evolution is consistent with that observed by radiosondes and IASI, although a cold bias exists compared with IASI and radiosondes around the tropopause. For heights less than 4 km above surface, HAMSTRAD correlates very well with radiosondes and in situ sensors (correlation better than 0.8) but less well with IASI (0.4). Below the tropopause, the IASI and HAMSTRAD correlation reaches 0.9, whereas above the tropopause, the correlation of IASI and radiosondes with HAMSTRAD is rather low (&lt; 0.5). Throughout the 12-day period (except on January 23), in the lowermost troposphere for heights less than 500 m above surface, the HAMSTRAD temperature profiles agree with the profiles measured by the radiosondes. From 500 m up to 5 km above the surface, the HAMSTRAD temperature profile has a cold bias from 1 to 5 K compared with the radiosondes, but for some dates (e. g., on January 25 and 29), the HAMSTRAD temperature is very close to the radiosonde temperature. HAMSTRAD generally measures a tropopause lower and warmer than the radiosondes except on some occasions, for instance, on January 23, 30, and 31. In the lower stratosphere, HAMSTRAD measurements of H2O and temperature have little sensitivity. Based upon 5-day back trajectory analyses, the great variability of H2O and temperature above Dome C as measured by the different instruments from the surface up to the tropopause over the 12-day period can be explained by the origin of air masses. The Dome-C site is found to be under the influence of the oceanic middle latitudes and the Antarctic coastal latitudes, but on some occasions, the air masses originated from the Antarctic continent are associated with colder and drier episodes.</t>
  </si>
  <si>
    <t>[Ricaud, Philippe; Carminati, Fabien; Attie, Jean-Luc] Meteo France, GAME CNRS, UMR Toulouse 3589, Toulouse, France; [Carminati, Fabien] Univ Maryland, College Pk, MD 20742 USA; [Attie, Jean-Luc] Toulouse Univ, Lab Aerol, F-31400 Toulouse, France; [Rose, Thomas] Radiometer Phys GmbH, D-53340 Meckenheim, Germany; [Genthon, Christophe] Lab Glaciol &amp; Geophys Environm, Grenoble, France; [Pellegrini, Andrea] Energy &amp; Sustainable Econ Dev ENEA, I-00196 Rome, Italy; [Tremblin, Pascal] Commissariat Energie Atom, Saclay, France; [August, Thomas] European Org Exploitat Meteorol Satellites, Darmstadt, Germany</t>
  </si>
  <si>
    <t>Meteo France; University System of Maryland; University of Maryland College Park; Universite de Toulouse; Universite Toulouse III - Paul Sabatier; Centre National de la Recherche Scientifique (CNRS); Universite Federale Toulouse Midi-Pyrenees (ComUE); Communaute Universite Grenoble Alpes; Universite Grenoble Alpes (UGA); Italian National Agency New Technical Energy &amp; Sustainable Economics Development; Communaute Universite Grenoble Alpes; Universite Grenoble Alpes (UGA); CEA; European Organisation for the Exploitation of Meteorological Satellites</t>
  </si>
  <si>
    <t>Ricaud, P (corresponding author), Meteo France, GAME CNRS, UMR Toulouse 3589, Toulouse, France.</t>
  </si>
  <si>
    <t>philippe.ricaud@meteo.fr</t>
  </si>
  <si>
    <t>Carminati, Fabien/V-9592-2019; Ricaud, Philippe/AAC-2991-2020; Pellegrini, Andrea/O-3094-2015</t>
  </si>
  <si>
    <t>Carminati, Fabien/0000-0002-2638-1927; Pellegrini, Andrea/0000-0001-5577-7472; Tremblin, Pascal/0000-0001-6172-3403</t>
  </si>
  <si>
    <t>the Institut National des Sciences de l'Univers (INSU)/Centre National de la Recherche Scientifique (CNRS); Institut polaire francais Paul-Emile Victor (IPEV); Centre National d'Etudes Spatiales (CNES)</t>
  </si>
  <si>
    <t>the Institut National des Sciences de l'Univers (INSU)/Centre National de la Recherche Scientifique (CNRS); Institut polaire francais Paul-Emile Victor (IPEV); Centre National d'Etudes Spatiales (CNES)(Centre National D'etudes Spatiales)</t>
  </si>
  <si>
    <t>The HAMSTRAD program was supported by the Institut National des Sciences de l'Univers (INSU)/Centre National de la Recherche Scientifique (CNRS), the Institut polaire francais Paul-Emile Victor (IPEV) and the Centre National d'Etudes Spatiales (CNES).</t>
  </si>
  <si>
    <t>10.1109/TGRS.2012.2225627</t>
  </si>
  <si>
    <t>171PE</t>
  </si>
  <si>
    <t>WOS:000320940600002</t>
  </si>
  <si>
    <t>Parapar, J; Moreira, J; Gambi, MC; Caramelo, C</t>
  </si>
  <si>
    <t>Parapar, J.; Moreira, J.; Gambi, M. C.; Caramelo, C.</t>
  </si>
  <si>
    <t>Morphology and biology of Laetmonice producta producta Grube (Polychaeta: Aphroditidae) in the Bellingshausen Sea and Antarctic Peninsula (Southern Ocean, Antarctica)</t>
  </si>
  <si>
    <t>ITALIAN JOURNAL OF ZOOLOGY</t>
  </si>
  <si>
    <t>Laetmonice producta; diet; epibiosis; endobiosis; BENTART</t>
  </si>
  <si>
    <t>ANNELIDA POLYCHAETA; REDESCRIPTION; APICOMPLEXA; SHETLAND; ACULEATA; ISLAND</t>
  </si>
  <si>
    <t>The present paper reports on some morphological and biological features of the scale-worm Laetmonice producta producta Grube, 1877 (Polychaeta: Aphroditidae) in the northwestern sector of Antarctica. A total of 114 specimens were collected during the 2003 and 2006 cruises of the BENTART project on the shelf and upper slope of the Antarctic Peninsula and the Bellingshausen Sea. Specimens were collected using an Agassiz trawl at 22 stations covering a depth ranging from 115 to 1431 m. Bathymetric distribution, abundance and sizes, diet, presence of endosymbionts and epibionts, and some observations related to parapodial structure and chaetal types are discussed in relation to taxonomy and environmental characteristics and compared to previous data.</t>
  </si>
  <si>
    <t>[Parapar, J.; Caramelo, C.] Univ A Coruna, Fac Ciencias, Dept Biol Anim Bioloxia Vexetal &amp; Ecoloxia, La Coruna 15008, Spain; [Moreira, J.] Univ Autonoma Madrid, Fac Ciencias, Dept Biol Zool, E-28049 Madrid, Spain; [Gambi, M. C.] Lab Ecol Benthos, Stn Zool A Dohrn, Naples, Italy</t>
  </si>
  <si>
    <t>Universidade da Coruna; Autonomous University of Madrid; Stazione Zoologica Anton Dohrn di Napoli</t>
  </si>
  <si>
    <t>Parapar, J (corresponding author), Univ A Coruna, Fac Ciencias, Dept Biol Anim Bioloxia Vexetal &amp; Ecoloxia, Rua Fraga 10, La Coruna 15008, Spain.</t>
  </si>
  <si>
    <t>jparapar@udc.es</t>
  </si>
  <si>
    <t>Moreira, Juan/D-4462-2013; Caramelo, Carlos/AAA-9347-2019; Gambi, Maria Cristina/AFO-0958-2022; Gambi, Maria Cristina/L-8246-2014; Parapar, Julio/J-4150-2014</t>
  </si>
  <si>
    <t>Moreira, Juan/0000-0002-1374-2033; Gambi, Maria Cristina/0000-0002-0168-776X; Parapar, Julio/0000-0001-7585-6995; Caramelo, Carlos/0000-0002-1928-5582</t>
  </si>
  <si>
    <t>Spanish Ministerio de Ciencia y Tecnologia [REN2001-1074/ANT, CGL2004/01856]</t>
  </si>
  <si>
    <t>Spanish Ministerio de Ciencia y Tecnologia(Spanish Government)</t>
  </si>
  <si>
    <t>The present study was financially supported by the Spanish Ministerio de Ciencia y Tecnologia through the research projects REN2001-1074/ANT and CGL2004/01856. The authors wish to express their gratitude to R. Barnich, C. Besteiro, J. Cristobo, A. Jimeno, C. M. Lopez-Fe, T. Munilla, F. Ramil and I. Saiz-Salinas for their help with the identification of some epibionts and preys, to J. S. Troncoso for providing data from the Agassiz samples, and to A. Ramos, leader of the BENTART project, J. A. Moya (author) for giving permission to publish the pictures of L. p. producta in the aquarium. Thanks are also due to three anonymous referees and especially the TIZO editors, who made helpful comments that improved the manuscript.</t>
  </si>
  <si>
    <t>1125-0003</t>
  </si>
  <si>
    <t>1748-5851</t>
  </si>
  <si>
    <t>ITAL J ZOOL</t>
  </si>
  <si>
    <t>Ital. J. Zoolog.</t>
  </si>
  <si>
    <t>JUN 1</t>
  </si>
  <si>
    <t>10.1080/11250003.2012.758783</t>
  </si>
  <si>
    <t>169BP</t>
  </si>
  <si>
    <t>WOS:000320752200013</t>
  </si>
  <si>
    <t>Singh, RKB</t>
  </si>
  <si>
    <t>Singh, R. K. Bikramaditya</t>
  </si>
  <si>
    <t>Origin and emplacement of the Higher Himalayan Leucogranite in the eastern Himalaya: Constraints from geochemistry and mineral chemistry</t>
  </si>
  <si>
    <t>JOURNAL OF THE GEOLOGICAL SOCIETY OF INDIA</t>
  </si>
  <si>
    <t>Leucogranite; Geochemistry; Mineral chemistry; Arunachal Himalaya; Eastern India</t>
  </si>
  <si>
    <t>WESTERN ARUNACHAL HIMALAYA; METAMORPHIC SEQUENCE; DUCTILE EXTRUSION; MAJOR-ELEMENT; HEAT-SOURCES; GRANITES; CHANNEL; EXHUMATION; GARHWAL; ROCKS</t>
  </si>
  <si>
    <t>The Higher Himalayan Leucogranites (HHLG) intruded into the high grade rocks of the Higher Himalayan Crystallines (HHC) in western Arunachal Pradesh, eastern Himalaya, yield distinctive field data, petrography, geochemical and mineral chemistry data. The HHLG mostly occur as sill like bodies of limited thickness and lateral extent within the HHC. The Arunachal HHLG are characterized by the presence of two micas; normative corundum; high contents of SiO2 (67-78 wt.%), Al2O3 (13-18 wt.%), A/CNK (0.98-1.44) and Rb (154-412 ppm); low contents of CaO (0.33-1.91 wt.%) and Sr (19-171 ppm), and a high ratio of FeO(tot)/MgO in biotite (2.54-4.82). These distinctive features, along with their strong depletion in high field strength elements (HFSE), suggest their affinity to peraluminous S-type granite generated by the partial melting of crustal material. Since the HHLG associated with high grade rocks of HHC and lack of basaltic magmatism, strongly suggests that the high grade rocks of HHC might represent the melt source and HHLG are product of pure crustal melt without any contamination of mantle material. Geothermobarometric estimations and mineral assemblages of the HHC metapelites confirm that the HHLG were probably generated in the middle crust (similar to 20 km) and the produced melts intruded the HHC in the form of sills/dykes.</t>
  </si>
  <si>
    <t>[Singh, R. K. Bikramaditya] Wadia Inst Himalayan Geol, Dehra Dun 248001, Uttar Pradesh, India</t>
  </si>
  <si>
    <t>Department of Science &amp; Technology (India); Wadia Institute of Himalayan Geology (WIHG)</t>
  </si>
  <si>
    <t>Singh, RKB (corresponding author), Natl Ctr Antarctic &amp; Ocean Res, Vasco Da Gama 403804, Goa, India.</t>
  </si>
  <si>
    <t>rkaditya17@rediffmail.com</t>
  </si>
  <si>
    <t>SPRINGER INDIA</t>
  </si>
  <si>
    <t>NEW DELHI</t>
  </si>
  <si>
    <t>7TH FLOOR, VIJAYA BUILDING, 17, BARAKHAMBA ROAD, NEW DELHI, 110 001, INDIA</t>
  </si>
  <si>
    <t>0016-7622</t>
  </si>
  <si>
    <t>0974-6889</t>
  </si>
  <si>
    <t>J GEOL SOC INDIA</t>
  </si>
  <si>
    <t>J. Geol. Soc. India</t>
  </si>
  <si>
    <t>10.1007/s12594-013-0104-9</t>
  </si>
  <si>
    <t>173XM</t>
  </si>
  <si>
    <t>WOS:000321116000008</t>
  </si>
  <si>
    <t>Casas, D; Ercilla, G; García, M; Yenes, M; Estrada, F</t>
  </si>
  <si>
    <t>Casas, D.; Ercilla, G.; Garcia, M.; Yenes, M.; Estrada, F.</t>
  </si>
  <si>
    <t>Post-rift sedimentary evolution of the Gebra Debris Valley. A submarine slope failure system in the Central Bransfield Basin (Antarctica)</t>
  </si>
  <si>
    <t>Gebra Valley; Antarctic Peninsula; morphology; mass transport deposits</t>
  </si>
  <si>
    <t>SEISMIC-REFLECTION DATA; STOREGGA SLIDE; CONTINENTAL MARGINS; TECTONIC EVOLUTION; PENINSULA MARGIN; GLACIAL HISTORY; NORTH-ATLANTIC; MORPHOLOGY; FLOW; SEA</t>
  </si>
  <si>
    <t>The combined analysis of paleomorphology, stratigraphy and seismic facies allows us to present new insights into the formation and evolution of the Gebra Valley, located on the lower continental slope of the Central Bransfield Basin (NE Antarctic Peninsula). Repeated large-scale slope failure events were responsible for the cut-and-fill features forming the Gebra Valley. This study revealed a mid-Pleistocene Gebra paleovalley that was progressively and completely infilled. During the last glacial cycle the infilled paleovalley was reoccupied, forming the present day Gebra Valley. Both valley incisions are genetically related to large-scale failures associated with high-energy gravity flows or mass flows. The infilling of the valley involved channelized mass flows of various dimensions and channelized and unchannelized turbidity currents. Alternating erosive periods, during which the valley evacuated sediment from the slope toward the basin, and depositional periods, during which it was fully infilled, allows it to be defined as the Gebra Debris Valley. Taking into account the presence of faults controlling the headwall locations and the stratigraphic correlation established with glacial periods, the genesis of the Gebra Debris Valley could have been controlled by the interplay of both the tectonic history of the Bransfield Basin and the glacial cycles that allowed grounding events to reach the upper continental slope. (C) 2013 Elsevier B.V. All rights reserved.</t>
  </si>
  <si>
    <t>[Casas, D.] Inst Geol &amp; Minero Espana, Madrid 28003, Spain; [Ercilla, G.; Estrada, F.] CSIC, Inst Ciencias Mar, E-08003 Barcelona, Spain; [Garcia, M.] CSIC, Inst Andaluz Ciencias Tierra, Armilla 18100, Spain; [Yenes, M.] Univ Salamanca, Escuela Politecn Super Zamora, E-37008 Salamanca, Spain</t>
  </si>
  <si>
    <t>Consejo Superior de Investigaciones Cientificas (CSIC); CSIC - Centro Mediterraneo de Investigaciones Marinas y Ambientales (CMIMA); CSIC - Instituto de Ciencias del Mar (ICM); Consejo Superior de Investigaciones Cientificas (CSIC); CSIC - Instituto Andaluz de Ciencias de la Tierra (IACT); University of Salamanca</t>
  </si>
  <si>
    <t>Casas, D (corresponding author), Inst Geol &amp; Minero Espana, Rios Rosas 23, Madrid 28003, Spain.</t>
  </si>
  <si>
    <t>d.casas@igme.es</t>
  </si>
  <si>
    <t>Casas, David/B-9576-2009; Yenes, Mariano/H-1948-2015; Estrada, Ferran/G-8255-2015; Ercilla, Gemma/G-8180-2015; Garcia, Marga/L-7410-2014</t>
  </si>
  <si>
    <t>Casas, David/0000-0001-5258-7067; Garcia, Marga/0000-0003-2632-6132; Yenes, Mariano/0000-0003-3435-1688; Estrada, Ferran/0000-0001-5536-0183; Ercilla, Gemma/0000-0002-9709-2938</t>
  </si>
  <si>
    <t>Spanish Ministry of Education and Science [ANT97-0584, CTM2008-06399-C04-04/1VIAR, CTM2011-13902/ANT, CIM2011-30241-C02-01/02]; Generalitat de Catalunya (government of Catalonia) [SGR1071]</t>
  </si>
  <si>
    <t>Spanish Ministry of Education and Science(Spanish Government); Generalitat de Catalunya (government of Catalonia)</t>
  </si>
  <si>
    <t>This study was supported by the projects MAGIA (ANT97-0584), CONTOURIBER (CTM2008-06399-C04-04/1VIAR), COREDEC (CTM2011-13902/ANT), and CONPACA (CIM2011-30241-C02-01/02) of the Spanish Ministry of Education and Science. The Continental Margins Group (GMC) thank the Generalitat de Catalunya (government of Catalonia) for the economic support they provided as part of 2009 SGR1071. We also thank Seismic Micro-Technology Inc. for supporting us with the Kingdom Suite program. The authors also wish to thank Dr. T. Vazquez, Dr. F. Bohoyo and the anonymous reviewers for their constructive comments which helped to improve the manuscript.</t>
  </si>
  <si>
    <t>10.1016/j.margeo.2013.04.011</t>
  </si>
  <si>
    <t>180OF</t>
  </si>
  <si>
    <t>WOS:000321603800002</t>
  </si>
  <si>
    <t>Renaudie, J; Lazarus, DB</t>
  </si>
  <si>
    <t>Renaudie, Johan; Lazarus, David B.</t>
  </si>
  <si>
    <t>On the accuracy of paleodiversity reconstructions: a case study in Antarctic Neogene radiolarians</t>
  </si>
  <si>
    <t>PALEOBIOLOGY</t>
  </si>
  <si>
    <t>LATE MIOCENE; EARLY PLIOCENE; CARBON SHIFT; SAMPLE-SIZE; EXTINCTION; DIVERSITY; CLIMATE; ORIGINATION; OCEAN; TRAJECTORIES</t>
  </si>
  <si>
    <t>The deep-sea Cenozoic planktonic microfossil record has the unique characteristics of continuously well-preserved populations of most species, with virtually unlimited sample size, and therefore constitutes, in principle, a major resource for macroevolutionary research. Antarctic Neogene radiolarians in particular, are diverse, abundant and consistently well-preserved and evolved rapidly. This fauna is, in theory, a near-perfect testing ground for paleodiversity reconstructions. In this study. we determined the diversity history of these faunas from a new quantitative, taxonomically complete data set from Neogene and Quaternary sections at several Antarctic sites. The pattern retrieved by our whole-fauna data set shows a significant, largely extinctionless ecological change in faunal composition and decrease in the evenness of species' abundances during the late Miocene, followed 3 Myr later, at around 5 Ma, by a significant drop in diversity. We tentatively associate this ecological event with a synchronous, regional change in the composition of the primary producers, but as yet cannot identify any environmental changes associated with the later extinction. Further, our whole-fauna diversity history was compared to diversity computed from much less complete, biostratigraphically oriented studies of species' occurrences, compiled in the Neptune database and reconstructed by using subsampling methodologies. Comparison of our Whole-fauna and subsampling-reconstructed diversity patterns shows that the first-order trends are the same in both, suggesting that, to some degree, such literature compilations can be used to explore diversity history of plankton. However, our results also highlight substantial errors and distortions in the reconstructed diversity which make it poorly suited to more-detailed studies (e.g., for comparison of diversity history with paleoenvironmental history). We conclude that detailed studies of plankton diversity, and particularly those attempting to understand the relation between diversity and paleoceanographic change, should be based on taxonomically comprehensive, quantitative data.</t>
  </si>
  <si>
    <t>[Renaudie, Johan; Lazarus, David B.] Humboldt Univ, Museum Nat Kunde, Leibniz Inst Evolut &amp; Biodiversitatsforsch, D-10115 Berlin, Germany</t>
  </si>
  <si>
    <t>Humboldt University of Berlin; Leibniz Institut fur Evolutions und Biodiversitatsforschung</t>
  </si>
  <si>
    <t>Renaudie, J (corresponding author), Humboldt Univ, Museum Nat Kunde, Leibniz Inst Evolut &amp; Biodiversitatsforsch, Invalidenstr 43, D-10115 Berlin, Germany.</t>
  </si>
  <si>
    <t>johan.renaudie@mfn-berlin.de</t>
  </si>
  <si>
    <t>Renaudie, Johan/D-9077-2012</t>
  </si>
  <si>
    <t>Renaudie, Johan/0000-0002-9107-1984</t>
  </si>
  <si>
    <t>DFG (German Science Foundation) [LA1191/8-1, LA1191/8-2]</t>
  </si>
  <si>
    <t>DFG (German Science Foundation)(German Research Foundation (DFG))</t>
  </si>
  <si>
    <t>We would like to thank the associate editor as well as the two reviewers for their constructive comments. We would also like to thank P. Mannion and C. Simpson, as well as John Alroy and all the participants of the 2010 Paleobiology Database Intensive Workshop in Analytical Methods. We would finally like to thank IODP for providing the samples and the DFG (German Science Foundation) for their support (this work was supported by DFG grants LA1191/8-1 and 8-2.</t>
  </si>
  <si>
    <t>0094-8373</t>
  </si>
  <si>
    <t>1938-5331</t>
  </si>
  <si>
    <t>Paleobiology</t>
  </si>
  <si>
    <t>SUM</t>
  </si>
  <si>
    <t>10.1666/12016</t>
  </si>
  <si>
    <t>Biodiversity Conservation; Ecology; Evolutionary Biology; Paleontology</t>
  </si>
  <si>
    <t>Biodiversity &amp; Conservation; Environmental Sciences &amp; Ecology; Evolutionary Biology; Paleontology</t>
  </si>
  <si>
    <t>179PM</t>
  </si>
  <si>
    <t>WOS:000321533800008</t>
  </si>
  <si>
    <t>Pnyushkov, AV; Polyakov, IV; Ivanov, VV; Kikuchi, T</t>
  </si>
  <si>
    <t>Pnyushkov, Andrey V.; Polyakov, Igor V.; Ivanov, Vladimir V.; Kikuchi, Takashi</t>
  </si>
  <si>
    <t>Structure of the Fram Strait branch of the boundary current in the Eurasian Basin of the Arctic Ocean</t>
  </si>
  <si>
    <t>POLAR SCIENCE</t>
  </si>
  <si>
    <t>Arctic Ocean; Boundary current; Current observations; Numerical model</t>
  </si>
  <si>
    <t>WEST SPITSBERGEN CURRENT; ATLANTIC WATER; NORDIC SEAS; HISTORICAL DATA; HEAT-TRANSPORT; GULF STREAM; CIRCULATION; VARIABILITY; MODEL; MASS</t>
  </si>
  <si>
    <t>Recent mooring-based observations at several locations along the continental slope of the Arctic Ocean's Eurasian Basin showed a transformation of the Boundary Current (BC) from a mostly barotropic flow in Fram Strait to a jet-like baroclinic current northeast of Svalbard, and the reemergence of the barotropic structure of the flow in the eastern Eurasian Basin. This transformation is accompanied by a weakening of the flow from similar to 24 cm/s in Pram Strait to similar to 5 cm/s at the Lomonosov Ridge. The maximum of the baroclinic component of the BC at an intermediate depth (similar to 200-370 m) is associated with the Atlantic Water core. The depth range of the baroclinic current maximum is controlled by cross-slope density gradients above and below the baroclinic velocity maximum as follows from the geostrophic balance of forces. According to the model simulations, the BC splits into shallow and deep branches in the proximity of Svalbard due to a divergence of isobaths, confirming topographically-controlled BC behavior. The shallow branch is located at a shelf break with a typical bottom depth of similar to 200 m and current speed of up to similar to 24 cm/s. The discussed results, which provide insight on some basic aspects of the dynamics of the BC (the major oceanic heat source for the Arctic Ocean), may be of importance for understanding of the ocean's role in shaping the arctic climate system state. (C) 2013 Elsevier B.V. and NIPR. All rights reserved.</t>
  </si>
  <si>
    <t>[Pnyushkov, Andrey V.; Polyakov, Igor V.; Ivanov, Vladimir V.] Univ Alaska Fairbanks, Int Arctic Res Ctr, Fairbanks, AK 99775 USA; [Ivanov, Vladimir V.] Arctic &amp; Antarctic Res Inst, St Petersburg 199226, Russia; [Kikuchi, Takashi] Japan Agcy Marine Earth Sci Technol JAMSTEC, Yokosuka, Kanagawa, Japan</t>
  </si>
  <si>
    <t>University of Alaska System; University of Alaska Fairbanks; Arctic &amp; Antarctic Research Institute; Japan Agency for Marine-Earth Science &amp; Technology (JAMSTEC)</t>
  </si>
  <si>
    <t>Pnyushkov, AV (corresponding author), Univ Alaska Fairbanks, Int Arctic Res Ctr, 930 Koyukuk Dr, Fairbanks, AK 99775 USA.</t>
  </si>
  <si>
    <t>andrey@iarc.uaf.edu</t>
  </si>
  <si>
    <t>Ivanov, Vladimir/AAX-6830-2020; Pnyushkov, Andrey/J-4153-2014; Ivanov, Vladimir/J-5979-2014; Pnyushkov, Andrey/M-3156-2019</t>
  </si>
  <si>
    <t>Pnyushkov, Andrey/0000-0001-9112-6458; Ivanov, Vladimir/0000-0003-2569-6027; Pnyushkov, Andrey/0000-0001-9112-6458</t>
  </si>
  <si>
    <t>NASA [NNX08A050G]; JAMSTEC</t>
  </si>
  <si>
    <t>NASA(National Aeronautics &amp; Space Administration (NASA)); JAMSTEC</t>
  </si>
  <si>
    <t>This study was supported by NASA grant #NNX08A050G (AP, IP, VI) and JAMSTEC (IP, VI) grant. The authors thank A. Beszczynska-Moller, U. Schauer (both AWI, Germany), and R. Woodgate (APL, USA) for help with current observations in Fram Strait and at the Lomonosov Ridge.</t>
  </si>
  <si>
    <t>1873-9652</t>
  </si>
  <si>
    <t>1876-4428</t>
  </si>
  <si>
    <t>POLAR SCI</t>
  </si>
  <si>
    <t>Polar Sci.</t>
  </si>
  <si>
    <t>10.1016/j.polar.2013.02.001</t>
  </si>
  <si>
    <t>Ecology; Geosciences, Multidisciplinary</t>
  </si>
  <si>
    <t>Environmental Sciences &amp; Ecology; Geology</t>
  </si>
  <si>
    <t>180KZ</t>
  </si>
  <si>
    <t>WOS:000321595400002</t>
  </si>
  <si>
    <t>Lefebvre, V; Donnadieu, Y; Goddéris, Y; Fluteau, F; Hubert-Théou, L</t>
  </si>
  <si>
    <t>Lefebvre, Vincent; Donnadieu, Yannick; Godderis, Yves; Fluteau, Frederic; Hubert-Theou, Lucie</t>
  </si>
  <si>
    <t>Was the Antarctic glaciation delayed by a high degassing rate during the early Cenozoic?</t>
  </si>
  <si>
    <t>Cenozoic cooling; Antarctic glaciations; carbon cycle modeling; Cenozoic CO2; silicate weathering</t>
  </si>
  <si>
    <t>ORGANIC-CARBON BURIAL; ATMOSPHERIC CO2; GLOBAL CLIMATE; IMPACT; EVOLUTION; DIOXIDE; MA; GEOCHEMISTRY; CONSTRAINTS; SR-87/SR-86</t>
  </si>
  <si>
    <t>The Cenozoic is a period of major climatic changes marked by the formation of the Antarctic ice sheet at the Eocene/Oligocene (E/O) boundary. The opening of the southern ocean seaways and the decrease in atmospheric CO2 are two processes generally evoked to explain this E/O cooling. The debate is still ongoing but modeling studies tend to demonstrate that the decrease in atmospheric CO2 is the main driver of the cooling. However, uncertainties persist on what drove the decrease in atmospheric CO2 during the Cenozoic. In this study, we investigate the impact of continental drift, lithology distribution and volcanic degassing rates on the atmospheric carbon dioxide concentration over the Cenozoic within a coupled climate-carbon model (GEOCLIM). In the model, the continental drift results in driving low atmospheric CO2 levels during the Eocene and the Oligocene. The dispersed configuration and the location of a large continental area (North Africa, northern South America) within the Inter Tropical Convergence Zone (ITCZ) promote CO2 consumption by weathering, forcing CO2 to remain low. Icehouse conditions are also promoted by the drifting of India and the weathering of the Deccan basalts in the ITCZ during the Eocene, and by the weathering of the Ethiopian traps during the Oligocene. To prevent the building up of the Antarctic ice sheet at the Eocene, the model needs enhanced solid Earth degassing flux by 50% so that atmospheric CO2 levels stay above the glacial threshold (750 ppm). We find that the decrease in atmospheric CO2 from the Eocene to the Oligocene is probably due to a reduction in the source of volcanic CO2 rather than an increase in silicate weathering. The model results furthermore suggest that during the Miocene period, the northward drifting of both the African plate and India (including the Deccan traps) might have decreased the continental surface exposed to chemical weathering, therefore generating higher CO2 values. Finally, the uplift of the Tibetan plateau from the Miocene to the present-day induces in the model an increase in silicate weathering through the intensification of the South-Eastern Asian monsoon, causing atmospheric CO2 to come back to a pre-industrial value. (c) 2013 Elsevier B.V. All rights reserved.</t>
  </si>
  <si>
    <t>[Lefebvre, Vincent; Donnadieu, Yannick] CEA Saclay, CEA, CNRS, Lab Sci Climat &amp; Environm, F-91190 Gif Sur Yvette, France; [Lefebvre, Vincent; Godderis, Yves] Observ Midi Pyrenees, CNRS, Geosci Environm Toulouse, F-31400 Toulouse, France; [Fluteau, Frederic] Sorbonne Paris Cite, UMR 7154, Inst Phys Globe Paris, F-75238 Paris, France; [Hubert-Theou, Lucie] McGill Univ, Dept Earth &amp; Planetary Sci, Montreal, PQ, Canada</t>
  </si>
  <si>
    <t>Universite Paris Saclay; CEA; Centre National de la Recherche Scientifique (CNRS); Universite de Toulouse; Universite Toulouse III - Paul Sabatier; Centre National de la Recherche Scientifique (CNRS); Universite Paris Cite; Centre National de la Recherche Scientifique (CNRS); CNRS - National Institute for Earth Sciences &amp; Astronomy (INSU); McGill University</t>
  </si>
  <si>
    <t>Lefebvre, V (corresponding author), CEA Saclay, CEA, CNRS, Lab Sci Climat &amp; Environm, F-91190 Gif Sur Yvette, France.</t>
  </si>
  <si>
    <t>vincent.lefebvre@lsce.ipsl.fr</t>
  </si>
  <si>
    <t>Lefebvre, Vincent/F-4900-2013; donnadieu, yannick/G-7546-2016; fluteau, frederic/A-7523-2011</t>
  </si>
  <si>
    <t>donnadieu, yannick/0000-0002-7315-2684; fluteau, frederic/0000-0002-9952-7325</t>
  </si>
  <si>
    <t>ANR project COLORS [ANR-09-JCJC-0105]; ANR project CALIMERO [ANR-09-BLAN-0221]; Agence Nationale de la Recherche (ANR) [ANR-09-JCJC-0105, ANR-09-BLAN-0221] Funding Source: Agence Nationale de la Recherche (ANR)</t>
  </si>
  <si>
    <t>ANR project COLORS(Agence Nationale de la Recherche (ANR)); ANR project CALIMERO(Agence Nationale de la Recherche (ANR)); Agence Nationale de la Recherche (ANR)(Agence Nationale de la Recherche (ANR))</t>
  </si>
  <si>
    <t>This work was supported by the ANR project COLORS (No. ANR-09-JCJC-0105) and by the ANR project CALIMERO (No. ANR-09-BLAN-0221). We thank two anonymous reviewers for their constructive comments. We thank F. Monteiro, N. MacBean and S. Taylor for improving the readability of this contribution.</t>
  </si>
  <si>
    <t>10.1016/j.epsl.2013.03.049</t>
  </si>
  <si>
    <t>173KC</t>
  </si>
  <si>
    <t>WOS:000321077400020</t>
  </si>
  <si>
    <t>Shell, KM</t>
  </si>
  <si>
    <t>Shell, Karen M.</t>
  </si>
  <si>
    <t>Consistent Differences in Climate Feedbacks between Atmosphere-Ocean GCMs and Atmospheric GCMs with Slab-Ocean Models</t>
  </si>
  <si>
    <t>Climate sensitivity; Feedback; Radiative fluxes; Temperature; Water vapor; Climate models</t>
  </si>
  <si>
    <t>RADIATIVE KERNEL TECHNIQUE; TRANSIENT-RESPONSES; CARBON-DIOXIDE; SENSITIVITY; CO2; STATE; EQUILIBRIUM; CCSM3; AOGCM</t>
  </si>
  <si>
    <t>Climate sensitivity is generally studied using two types of models. Atmosphere-ocean general circulation models (AOGCMs) include interactive ocean dynamics and detailed heat uptake. Atmospheric GCMs (AGCMs) with slab ocean models (SOMs) cannot fully simulate the ocean's response to and influence on climate. However, AGCMs are computationally cheaper and thus are often used to quantify and understand climate feedbacks and sensitivity. Here, physical climate feedbacks are compared between AOGCMs and SOM-AGCMs from the Coupled Model Intercomparison Project phase 3 (CMIP3) using the radiative kernel technique. Both the global-average (positive) water vapor and (negative) lapse-rate feedbacks are consistently stronger in AOGCMs. Water vapor feedback differences result from an essentially constant relative humidity and peak in the tropics, where temperature changes are larger for AOGCMs. Differences in lapse-rate feedbacks extend to midlatitudes and correspond to a larger ratio of tropical- to global-average temperature changes. Global-average surface albedo feedbacks are similar between models types because of a near cancellation of Arctic and Antarctic differences. In AOGCMs, the northern high latitudes warm faster than the southern latitudes, resulting in interhemispheric differences in albedo, water vapor, and lapse-rate feedbacks lacking in the SOM-AGCMs. Meridional heat transport changes also depend on the model type, although there is a large intermodel spread. However, there are no consistent global or zonal differences in cloud feedbacks. Effects of the forcing scenario [Special Report on Emissions Scenarios A1B (SRESa1b) or the 1% CO2 increase per year to doubling (1%to2x) experiments] on feedbacks are model dependent and generally of lesser importance than the model type. Care should be taken when using SOM-AGCMs to understand AOGCM feedback behavior.</t>
  </si>
  <si>
    <t>[Shell, Karen M.] Oregon State Univ, Coll Earth Ocean &amp; Atmospher Sci, Corvallis, OR USA</t>
  </si>
  <si>
    <t>Oregon State University</t>
  </si>
  <si>
    <t>Shell, KM (corresponding author), Coll Earth Ocean &amp; Atmospher Sci, 104 CEOAS Adm Bldg, Corvallis, OR 97331 USA.</t>
  </si>
  <si>
    <t>kshell@coas.oregonstate.edu</t>
  </si>
  <si>
    <t>Shell, Karen M/C-5161-2009</t>
  </si>
  <si>
    <t>Shell, Karen/0000-0002-9059-6842</t>
  </si>
  <si>
    <t>National Science Foundation Grant [ATM-0904092]; Office of Science, U.S. Department of Energy; Div Atmospheric &amp; Geospace Sciences; Directorate For Geosciences [0904092] Funding Source: National Science Foundation</t>
  </si>
  <si>
    <t>National Science Foundation Grant(National Science Foundation (NSF)); Office of Science, U.S. Department of Energy(United States Department of Energy (DOE)); Div Atmospheric &amp; Geospace Sciences; Directorate For Geosciences(National Science Foundation (NSF)NSF - Directorate for Geosciences (GEO))</t>
  </si>
  <si>
    <t>This work was supported by National Science Foundation Grant ATM-0904092. We acknowledge the modeling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Discussions with Cecilia Bitz, Isaac Held, Mark Zelinka, and Alex Jonko and comments from anonymous reviewers contributed to this work.</t>
  </si>
  <si>
    <t>10.1175/JCLI-D-12-00519.1</t>
  </si>
  <si>
    <t>170WI</t>
  </si>
  <si>
    <t>WOS:000320885300019</t>
  </si>
  <si>
    <t>Carillo, S; Pieretti, G; Lindner, B; Parrilli, E; Filomena, S; Tutino, ML; Lanzetta, R; Parrilli, M; Corsaro, MM</t>
  </si>
  <si>
    <t>Carillo, Sara; Pieretti, Giuseppina; Lindner, Buko; Parrilli, Ermenegilda; Filomena, Sannino; Tutino, Maria Luisa; Lanzetta, Rosa; Parrilli, Michelangelo; Corsaro, Maria Michela</t>
  </si>
  <si>
    <t>Structural Characterization of the Core Oligosaccharide Isolated from the Lipopolysaccharide of the Psychrophilic Bacterium Colwellia psychrerythraea Strain 34H</t>
  </si>
  <si>
    <t>EUROPEAN JOURNAL OF ORGANIC CHEMISTRY</t>
  </si>
  <si>
    <t>Bacteria; Lipopolysaccharides; Carbohydrates; Oligosaccharides; Structure elucidation; NMR spectroscopy</t>
  </si>
  <si>
    <t>ABSOLUTE-CONFIGURATION; CHEMICAL-STRUCTURE; ESCHERICHIA-COLI; LIPOOLIGOSACCHARIDE; PHOSPHORYLATION; POLYSACCHARIDE; MICROORGANISMS; TEMPERATURE; ADAPTATION; LIFE</t>
  </si>
  <si>
    <t>Cold-adapted bacteria are microorganisms that thrive at very low temperatures in permanently cold environments (0-10 degrees C). Their ability to survive under these harsh conditions is the result of molecular evolution and adaptations, which include the structural modification of the phospholipid membrane. To give insight into the role of the membrane in the mechanisms of adaptation to low temperature, the characterization of other cell-wall components is necessary. Among these components, the lipopolysaccharides are complex amphiphilic macromolecules embedded in the outer leaflet of the external membrane, of which they are the major constituents. The cold-adapted Colwellia psychrerythraea 34H bacterium, living in deep sea and Arctic and Antarctic sea ice, was cultivated at 4 degrees C. The lipooligosaccharide (LOS) was isolated and analysed by means of chemical analysis. Then it was degraded either by mild hydrazinolysis (O-deacylation) or hot KOH (4 M; N-deacylation). Both products were investigated in detail by 1H and 13C NMR spectroscopy and by ESI FT-ICR mass spectrometry. The oligosaccharide portion consists of a unique and very short species with the following general structure: -L-Col-(12)--D-GalA-(12)--D-Man-[3-P-D-Gro]-(15)--D-Kdo-4-P-Lipid-A.</t>
  </si>
  <si>
    <t>[Carillo, Sara; Pieretti, Giuseppina; Parrilli, Ermenegilda; Filomena, Sannino; Tutino, Maria Luisa; Lanzetta, Rosa; Parrilli, Michelangelo; Corsaro, Maria Michela] Complesso Univ Monte S Angelo, Dipartimento Sci Chim, Univ Naples Federico II, I-80126 Naples, Italy; [Lindner, Buko] Leibniz Ctr Med &amp; Biosci, Div Immunochem, Res Ctr Borstel, D-23845 Borstel, Germany</t>
  </si>
  <si>
    <t>University of Naples Federico II; Forschungszentrum Borstel</t>
  </si>
  <si>
    <t>Corsaro, MM (corresponding author), Complesso Univ Monte S Angelo, Dipartimento Sci Chim, Univ Naples Federico II, I-80126 Naples, Italy.</t>
  </si>
  <si>
    <t>corsaro@unina.it</t>
  </si>
  <si>
    <t>TUTINO, MARIA LUISA/L-1834-2013; Corsaro, Maria Michela/T-6190-2019; Lindner, Buko/G-9731-2014; parrilli, ermenegilda/K-4616-2016; parrilli, ermenegilda/JAZ-0586-2023; Carillo, Sara/IYS-3306-2023</t>
  </si>
  <si>
    <t>Corsaro, Maria Michela/0000-0002-6834-8682; parrilli, ermenegilda/0000-0002-9002-5409; Sannino, Filomena/0000-0002-3013-8321; Carillo, Sara/0000-0002-5943-8993; Tutino, Maria Luisa/0000-0002-4978-6839; LANZETTA, Rosa/0000-0002-1472-5825; Parrilli, Michelangelo/0000-0001-8858-3623</t>
  </si>
  <si>
    <t>Programma Nazionale di Ricerca in Antartide [PNRA 2010/A1.05]</t>
  </si>
  <si>
    <t>Programma Nazionale di Ricerca in Antartide</t>
  </si>
  <si>
    <t>The authors thank the Centro Interdipartimentale Metodologie Chimico Fisiche Universita di Napoli and BioTekNet for the use of the 600 MHz NMR spectrometer. This work was supported by the Programma Nazionale di Ricerca in Antartide 2010 ( grant PNRA 2010/A1.05).</t>
  </si>
  <si>
    <t>1434-193X</t>
  </si>
  <si>
    <t>1099-0690</t>
  </si>
  <si>
    <t>EUR J ORG CHEM</t>
  </si>
  <si>
    <t>Eur. J. Org. Chem.</t>
  </si>
  <si>
    <t>10.1002/ejoc.201300005</t>
  </si>
  <si>
    <t>Chemistry, Organic</t>
  </si>
  <si>
    <t>164BY</t>
  </si>
  <si>
    <t>WOS:000320385000022</t>
  </si>
  <si>
    <t>Niessen, F; Gebhardt, AC; Kuhn, G; Magens, D; Monien, D</t>
  </si>
  <si>
    <t>Niessen, F.; Gebhardt, A. C.; Kuhn, G.; Magens, D.; Monien, D.</t>
  </si>
  <si>
    <t>Porosity and density of the AND-1B sediment core, McMurdo Sound region, Antarctica: Field consolidation enhanced by grounded ice</t>
  </si>
  <si>
    <t>GEOSPHERE</t>
  </si>
  <si>
    <t>CONTINENTAL-SHELF; SHEET; HISTORY; STREAM; PRECONSOLIDATION; CALIBRATION; COMPACTION; BENEATH; RIDGE</t>
  </si>
  <si>
    <t>A study of density and porosity is presented for the 1285-m-long AND-1B core recovered from a flexural moat in the McMurdo Sound (Antarctica) in order to interpret sediment consolidation in an ice-proximal location on the Antarctic shelf. Various lithologies imply environmental changes from open marine to subglacial, and are numerically expressed in high-resolution whole-core wet-bulk density (WBD). Grain density data interpolated from discrete samples range from 2.14 to 3.85 g/cm(3) and are used to calculate porosity from WBD in order to avoid the 5%-15% overestimation and underestimation of porosities obtained by standard methods. The trend of porosity extends from 0.5 near the top (Pleistocene) to 0.2 at the bottom (Miocene). Porosity fluctuations in different lithologies are superimposed with 0.2-0.3 in sequences younger than ca. 1 Ma and 0.5-0.8 in Pliocene diatomites. The AND-1B porosities and void ratios of Pliocene diatomites and Pleistocene mudstones exhibit a large negative offset compared to modern lithological analogs and their consolidation trends. This offset cannot be explained in terms of the effective stress at the AND-1B site. The effective stress ranges from 0 to 4000 kPa in the upper 600 m, and reaches 13,000 kPa at the base of the AND-1B hole. We suggest an excess of effective overburden stress of similar to 1700 and similar to 6000 kPa to explain porosities in Pliocene diatomites and Pleistocene mudstones, respectively. This is interpreted as glacial preconsolidation by subsequently grounded ice sheets under subpolar to polar, followed by colder polar types of glaciations. Information on Miocene consolidation is sparse due to alteration by diagenesis.</t>
  </si>
  <si>
    <t>[Niessen, F.; Gebhardt, A. C.; Kuhn, G.; Magens, D.] Helmholtz Ctr Polar &amp; Marine Res, Alfred Wegener Inst, D-27568 Bremerhaven, Germany; [Monien, D.] Carl von Ossietzky Univ Oldenburg, Inst Chem &amp; Biol Marine Environm, D-26111 Oldenburg, Germany</t>
  </si>
  <si>
    <t>Helmholtz Association; Alfred Wegener Institute, Helmholtz Centre for Polar &amp; Marine Research; Carl von Ossietzky Universitat Oldenburg</t>
  </si>
  <si>
    <t>Niessen, F (corresponding author), Helmholtz Ctr Polar &amp; Marine Res, Alfred Wegener Inst, Alten Hafen 26, D-27568 Bremerhaven, Germany.</t>
  </si>
  <si>
    <t>frank.niessen@awi.de</t>
  </si>
  <si>
    <t>Gebhardt, Catalina/AHI-6432-2022</t>
  </si>
  <si>
    <t>Gebhardt, Catalina/0000-0002-3227-0676; Niessen, Frank/0000-0001-6453-0594; Kuhn, Gerhard/0000-0001-6069-7485</t>
  </si>
  <si>
    <t>Alfred Wegener Institute (AWI); Bremen International Graduate School for Marine Sciences (GLOMAR); German Research Foundation (DFG) within the frame of the Excellence Initiative by the German federal and state governments; DFG [KU 683/8]</t>
  </si>
  <si>
    <t>Alfred Wegener Institute (AWI); Bremen International Graduate School for Marine Sciences (GLOMAR); German Research Foundation (DFG) within the frame of the Excellence Initiative by the German federal and state governments(German Research Foundation (DFG)); DFG(German Research Foundation (DFG))</t>
  </si>
  <si>
    <t>The ANDRILL (Antarctic Drilling) Project is a multinational collaboration between the Antarctic programs of Germany, Italy, New Zealand, and the United States. We acknowledge the ANDRILL MIS (McMurdo Ice Shelf) Science Team as well as cochiefs Tim Naish and Ross Powell for their contribution to the successful drilling project, and all technicians and research assistants for their laboratory help. This study was supported by the budget of the Alfred Wegener Institute (AWI) and partly supported by the Bremen International Graduate School for Marine Sciences (GLOMAR) funded by the German Research Foundation (DFG) within the frame of the Excellence Initiative by the German federal and state governments and by DFG grant KU 683/8. The bathymetric map base for Figure 1 is courtesy of N. Ott and D. Graffe (AWI). Johann Philipp Klages compiled data for, and prepared an earlier version of, Figure 3, and Olivia Thomas kindly improved the phrasing of the original manuscript. We thank Matt O'Regan and two anonymous reviewers for fruitful comments and suggestions that improved the manuscript significantly.</t>
  </si>
  <si>
    <t>1553-040X</t>
  </si>
  <si>
    <t>Geosphere</t>
  </si>
  <si>
    <t>10.1130/GES00704.1</t>
  </si>
  <si>
    <t>168JQ</t>
  </si>
  <si>
    <t>gold</t>
  </si>
  <si>
    <t>WOS:000320702100006</t>
  </si>
  <si>
    <t>Richard, Y; Rouault, M; Pohl, B; Crétat, J; Duclot, I; Taboulot, S; Reason, CJC; Macron, C; Buiron, D</t>
  </si>
  <si>
    <t>Richard, Y.; Rouault, M.; Pohl, B.; Cretat, J.; Duclot, I.; Taboulot, S.; Reason, C. J. C.; Macron, C.; Buiron, D.</t>
  </si>
  <si>
    <t>Temperature changes in the mid- and high- latitudes of the Southern Hemisphere</t>
  </si>
  <si>
    <t>INTERNATIONAL JOURNAL OF CLIMATOLOGY</t>
  </si>
  <si>
    <t>climate change; temperature; Southern Hemisphere; regionalization; Sub-Antarctic islands; Southern Annular Mode; sea surface temperature</t>
  </si>
  <si>
    <t>ANNULAR MODE; SURFACE-TEMPERATURE; CLIMATE-CHANGE; INDIAN-OCEAN; EXTRATROPICAL CIRCULATION; ATMOSPHERIC CIRCULATION; ANTARCTIC OSCILLATION; JULIAN OSCILLATION; WEATHER REGIMES; MARION ISLAND</t>
  </si>
  <si>
    <t>A Hierarchical Ascending Classification is used to regionalize monthly temperature anomalies measured at 24 weather stations in Antarctica and the Sub-Antarctic and mid-latitude southern islands from 1973 to 2002. Three principal regions are identified that are geographically coherent: Eastern Antarctica, the Antarctic Peninsula and the Sub-Antarctic and mid-latitude islands. Within each region, consistent trends are observed: namely, stationary temperatures in East-Antarctica'; a robust warming in the Sub-Antarctic and mid-latitude islands', most pronounced in austral summer (nearly 0.5 degrees C per decade); and a strong but more recent warming in the Antarctic Peninsula'. Austral summer temperature anomalies are related to (1) the Southern Annular Mode (SAM) indexes computed using two reanalysis products (20th Century Reanalyses and ERA40) over two periods (1958-2002 and 1973-2002), (2) the seasonal frequencies of four recurrent daily weather regimes identified with a k-means algorithm applied on the 500hPa geopotential height (DJF 1958-2002) and (3) HadSST2 sea surface temperature (SST) anomalies (DJF 1958-2002). East-Antarctica interannual temperature anomalies are associated with the SAM variability. In the Antarctic Peninsula, only the long-term trend is common with the SAM. The SAM does impact significantly the temperature anomalies of the Sub-Antarctic and mid-latitude islands. Trend and interannual variability of the islands' temperatures are associated with the nearby SST. For the Indian Ocean stations, warming in the Agulhas Current system could also have led to these changes. Copyright (c) 2012 Royal Meteorological Society</t>
  </si>
  <si>
    <t>[Richard, Y.; Pohl, B.; Cretat, J.; Duclot, I.; Macron, C.; Buiron, D.] Univ Bourgogne, Ctr Rech Climatol, CNRS, Biogeosci UMR6282, F-21000 Dijon, France; [Rouault, M.; Reason, C. J. C.] Univ Cape Town, Dept Oceanog, Mare Inst, ZA-7700 Rondebosch, South Africa; [Rouault, M.] Univ Cape Town, Nansen Tutu Ctr Marine Environm Res, ZA-7925 Cape Town, South Africa; [Taboulot, S.] Meteo France, Dijon, France; [Buiron, D.] Univ Grenoble 1, CNRS, Lab Glaciol &amp; Geophys Environm, Grenoble, France</t>
  </si>
  <si>
    <t>Centre National de la Recherche Scientifique (CNRS); CNRS - Institute of Ecology &amp; Environment (INEE); Universite de Bourgogne; University of Cape Town; University of Cape Town; Centre National de la Recherche Scientifique (CNRS); Communaute Universite Grenoble Alpes; Universite Grenoble Alpes (UGA)</t>
  </si>
  <si>
    <t>Richard, Y (corresponding author), Univ Bourgogne, Ctr Rech Climatol, CNRS, 6 Bd Gabriel, F-21000 Dijon, France.</t>
  </si>
  <si>
    <t>yves.richard@u-bourgogne.fr</t>
  </si>
  <si>
    <t>Rouault, Mathieu/A-5022-2008; Richard, Yves/F-1874-2011; Pohl, Benjamin/AAW-8018-2020; Pohl, Benjamin/L-7696-2017</t>
  </si>
  <si>
    <t>Rouault, Mathieu/0000-0002-3207-6777; Pohl, Benjamin/0000-0002-9339-797X</t>
  </si>
  <si>
    <t>CNRS; NRF, Nansen-Tutu Centre</t>
  </si>
  <si>
    <t>CNRS(Centre National de la Recherche Scientifique (CNRS)); NRF, Nansen-Tutu Centre</t>
  </si>
  <si>
    <t>The authors thank for the data: Meteo-France, the South African Weather Service, the British Antarctic Survey Reader, the New Zealand National Institute of Water and Atmospheric Research, the Australian Government Bureau of Meteorology and the European Centre for Medium-Range Weather Forecasts. This is a contribution to an NRF France South Africa project and to the VOASSI programme funded by CNRS. Mathieu Rouault thanks NRF, Nansen-Tutu Centre for Marine Environmental Research and ACCESS for funding. Calculations were performed using HPC resources from DSI-CCUB (Universite de Bourgogne).</t>
  </si>
  <si>
    <t>0899-8418</t>
  </si>
  <si>
    <t>INT J CLIMATOL</t>
  </si>
  <si>
    <t>Int. J. Climatol.</t>
  </si>
  <si>
    <t>10.1002/joc.3563</t>
  </si>
  <si>
    <t>164HG</t>
  </si>
  <si>
    <t>WOS:000320399300010</t>
  </si>
  <si>
    <t>Shukla, SK; Crosta, X; Cortese, G; Nayak, GN</t>
  </si>
  <si>
    <t>Shukla, Sunil Kumar; Crosta, Xavier; Cortese, Giuseppe; Nayak, Ganapati N.</t>
  </si>
  <si>
    <t>Climate mediated size variability of diatom Fragilariopsis kerguelensis in the Southern Ocean</t>
  </si>
  <si>
    <t>Southern Ocean; Paleoceanography; Diatoms; Biometry; Nutrient cycling; Environmental conditions</t>
  </si>
  <si>
    <t>LAST GLACIAL MAXIMUM; SEA-ICE; EAST ANTARCTICA; SEXUAL REPRODUCTION; ATLANTIC SECTOR; BIOGENIC OPAL; SEDIMENTS; IRON; LIMITATION; HISTORY</t>
  </si>
  <si>
    <t>Fragilariopsis kerguelensis (O'Meara) Hustedt is the most abundant open ocean diatom species in Southern Ocean sediments and its average valve area has recently been used to infer glacial-interglacial paleoceanographic conditions. Studies from the Atlantic sector of the Southern Ocean demonstrated how larger average valve area of F. kerguelensis during the Last Glacial compared to the interglacial possibly relate to greater availability of iron (through wider sea ice coverage and higher eolian dust input). We present here data on average valve area of F. kerguelensis from three sediment cores covering the last similar to 42 cal ka BP from different zones of the Southern Ocean. Our records confirm previous results from the Atlantic sector, but highlight a different pattern from the Indian sector where the largest valves of F. kerguelensis are encountered during the Holocene. Fragilariopsis kerguelensis average valve area variations in the Antarctic Polar Front (APF) of the Atlantic sector and Subantarctic Front of the Indian sector are in phase with records of opal burial while this correlation does not hold for the APF of the Indian sector. Variations in circum-polar upwelling were suggested as the main controlling factor of opal production during the last 20,000 years. We here hypothesize that high nutrient input from the Antarctic Peninsula during the last deglaciation may have exerted a stronger control on F. kerguelensis average valve area and opal export in the Atlantic sector of the Southern Ocean than inferred changes in circum-polar upwelling. (c) 2013 Elsevier Ltd. All rights reserved.</t>
  </si>
  <si>
    <t>[Shukla, Sunil Kumar; Nayak, Ganapati N.] Goa Univ, Dept Marine Sci, Goa 403206, India; [Shukla, Sunil Kumar; Crosta, Xavier] Univ Bordeaux 1, UMR CNRS EPOC 5805, F-33405 Talence, France; [Cortese, Giuseppe] GNS Sci, Lower Hutt, New Zealand</t>
  </si>
  <si>
    <t>Goa University; Universite de Bordeaux; Centre National de la Recherche Scientifique (CNRS); GNS Science - New Zealand</t>
  </si>
  <si>
    <t>Shukla, SK (corresponding author), Goa Univ, Dept Marine Sci, Goa 403206, India.</t>
  </si>
  <si>
    <t>shuklaskunigoa@gmail.com</t>
  </si>
  <si>
    <t>Shukla, Sunil/GLR-0323-2022</t>
  </si>
  <si>
    <t>Cortese, Giuseppe/0000-0003-1780-3371; Shukla, Sunil/0000-0002-7517-5564</t>
  </si>
  <si>
    <t>University Grants Commission; SCAR Fellowship; Global change through Time (GCT) Program at GNS Science</t>
  </si>
  <si>
    <t>University Grants Commission(University Grants Commission, India); SCAR Fellowship; Global change through Time (GCT) Program at GNS Science</t>
  </si>
  <si>
    <t>The research presented in the manuscript was funded by the University Grants Commission (Dr. D.S. Kothari Postdoctoral Fellowship Scheme awarded to S.K.S.) and by the SCAR Fellowship 2010-11 awarded to S.K.S. This research work was carried out at the Marine Science Department of Goa University and at EPOC, Universite Bordeaux 1. Dr. S. Krishnan (Botany Department, Goa University) is thankfully acknowledged for his kind help in providing access to the microscope facility. G.C. was supported by the Global change through Time (GCT) Program at GNS Science. We deeply thank Dr. Leanne Armand and two other anonymous reviewers whose constructive comments greatly improved the quality of manuscript. This is a joint contribution of Goa University, EPOC and GNS Science.</t>
  </si>
  <si>
    <t>10.1016/j.quascirev.2013.03.005</t>
  </si>
  <si>
    <t>165LG</t>
  </si>
  <si>
    <t>WOS:000320484800004</t>
  </si>
  <si>
    <t>Sparrenbom, CJ; Bennike, O; Fredh, D; Randsalu-Wendrup, L; Zwartz, D; Ljung, K; Björck, S; Lambeck, K</t>
  </si>
  <si>
    <t>Sparrenbom, Charlotte J.; Bennike, Ole; Fredh, Daniel; Randsalu-Wendrup, Linda; Zwartz, Dan; Ljung, Karl; Bjorck, Svante; Lambeck, Kurt</t>
  </si>
  <si>
    <t>Holocene relative sea-level changes in the inner Bredefjord area, southern Greenland</t>
  </si>
  <si>
    <t>Sea-level change; Greenland Ice Sheet; Isolation basin; Isostatic rebound; Transgression</t>
  </si>
  <si>
    <t>LAST GLACIAL MAXIMUM; WEST GREENLAND; ICE-SHEET; DISKO-BUGT; HISTORY; STRATIGRAPHY; CALIBRATION; SEDIMENTS; AGE; BP</t>
  </si>
  <si>
    <t>In this paper we present new relative sea-level data from southern Greenland, a key area for understanding the Greenland Ice Sheet (GIS) response to climate change. Within fourteen lakes and marine lagoons from the inner part of Bredefjord (Nordre Sermilik) in southern Greenland, isolations revealed by stratigraphic and palaeoecological analyses are dated and relative sea levels reconstructed. Due to coastal emergence caused by the GIS retreat within the area, the relative sea-level fell rapidly in the early Holocene between at least c. 9600 and c. 7300 cal. yrs BP attaining a rate of 2 cm per year between 9600 and 8000 cal. yrs BP. Spatial variability in relative sea-level changes is show for southern Greenland from a comparison with the Nanortalik and the Qagortoq areas. The regression occurred about 2000 years later in the inner Bredefjord area, compared to the Nanortalik area, and about 1000 years later compared to the Qaqortoq area. This is a consequence of earlier deglaciation in areas located at the outer coast. Between c. 8000 cal. yrs BP and the present day, relative sea level was lower than today. The lowest relative sea level in the Inner Bredefjord area of between -5.4 and -15 m a.h.a.t. (above highest astronomical tide) was reached between 7000 and 1000 cal. yrs BP. The neoglacial readvance together with the collapse of the Laurentide peripheral bulge is probably responsible for the transgression in the Inner Bredefjord area, as has been indicated from the nearby sites Qagortoq and Nanortalik. Our relative sea-level reconstructions showing spatial variability within southern Greenland have implications for Glacial Isostatic Adjustment (GIA) modelling and the understanding of the GIS ice sheet dynamics. The early Holocene regression is consistent with the recession of the southern sector of the GIS from the shelf edge at c. 22 000 cal. yrs BP, reaching inland of the present day outer coast by c. 12 000 cal. yrs BP, and its present margin by c. 10 500 cal. yrs BP. (c) 2013 Elsevier Ltd. All rights reserved.</t>
  </si>
  <si>
    <t>[Sparrenbom, Charlotte J.; Fredh, Daniel; Randsalu-Wendrup, Linda; Ljung, Karl; Bjorck, Svante] Lund Univ, Dept Geol, SE-22362 Lund, Sweden; [Bennike, Ole] Geol Survey Denmark &amp; Greenland, DK-1350 Copenhagen, Denmark; [Zwartz, Dan] Victoria Univ Wellington, Antarctic Res Ctr, Wellington 6140, New Zealand; [Lambeck, Kurt] Australian Natl Univ, Res Sch Earth Sci, Canberra, ACT 0200, Australia</t>
  </si>
  <si>
    <t>Lund University; Geological Survey Of Denmark &amp; Greenland; Victoria University Wellington; Australian National University</t>
  </si>
  <si>
    <t>Sparrenbom, CJ (corresponding author), Lund Univ, Dept Geol, Solvegatan 12, SE-22362 Lund, Sweden.</t>
  </si>
  <si>
    <t>charlotte.sparrenbom@geollu.se</t>
  </si>
  <si>
    <t>Bennike, Ole/G-7070-2018</t>
  </si>
  <si>
    <t>Bennike, Ole/0000-0002-5486-9946; Ljung, Karl/0000-0002-4290-7933</t>
  </si>
  <si>
    <t>10.1016/j.quascirev.2013.02.020</t>
  </si>
  <si>
    <t>WOS:000320484800009</t>
  </si>
  <si>
    <t>Saiz, JI; Anadón, N; Cristobo, J; García-Alvarez, O; García-Castrillo, G; López, E; Palacín, C; Troncoso, JS; Ramos, A</t>
  </si>
  <si>
    <t>Saiz, Jose I.; Anadon, Nuria; Cristobo, Javier; Garcia-Alvarez, Oscar; Garcia-Castrillo, Gerardo; Lopez, Eduardo; Palacin, Cruz; Troncoso, Jesus S.; Ramos, Ana</t>
  </si>
  <si>
    <t>Enhancement of the benthic communities around an isolated island in the Antarctic Ocean</t>
  </si>
  <si>
    <t>Antarctica; Bellingshausen Sea; benthos; Peter I Island; PRIMER</t>
  </si>
  <si>
    <t>SOUTHERN-OCEAN; BOUVET ISLAND; SEA; DIVERSITY; FAUNA; SHELF; ASSEMBLAGES; ABUNDANCE; RICHNESS; PATTERNS</t>
  </si>
  <si>
    <t>Insular marine biota. are often richer in faunal diversity than those from the open sea in the same geographical region. The existence of particular island effects were tested under polar conditions by comparing infaunal benthic assemblages on Peter I Island with those of similar latitudes in the open ocean at the Bellingshausen Sea and also from the coast of the Antarctic Peninsula. Sampling was carried out aboard the R/V Hesperides during the expedition named BENTART-2003 from 24 January to 3 March 2003. Benthic samples were collected at 18 stations ranging from 90 to 2 044 m depth, using an USNEL-type box corer (BC) dredge. Representative of 32 higher taxa of invertebrates were found. Univariate and multivariate analyses revealed various patterns in the data. First, significant differences in polychaete abundance were detected between the stations located in the open sea and the remaining sites (island plus mainland sites). Bivalve abundances were also distinct between island and mainland sampling sites. Sediment columns taken from the island seafloor exhibited the highest rate of bioturbation by the infauna. These findings confirm the model that islands develop distinct assemblages characterized by the enhancement of the benthic communities even in cold waters. Several abiotic factors were measured simultaneously at the seafloor and along the water column to investigate faunal distribution patterns. Significant correlations were found between the benthic assemblages and a combination of two environmental variables: island effect (measured as a categorical variable) and the redox state of sediments. Richer and more complex benthic assemblages were found in Peter I Island's sea bottom, whereas the more depauperate bottoms remained in the open sea.</t>
  </si>
  <si>
    <t>[Saiz, Jose I.] Univ Basque Country, Dept Zool &amp; Anim Cell Biol, Bilbao 48080, Spain; [Anadon, Nuria] Univ Oviedo, Dept Organisms &amp; Syst Biol Zool, E-33071 Oviedo, Spain; [Cristobo, Javier] Gijon Oceanog Ctr, Spanish Inst Oceanog, Gijon 33212, Spain; [Garcia-Alvarez, Oscar] Univ Santiago de Compostela, Dept Zool &amp; Phys Anthropol, Santiago De Compostela 15706, Spain; [Garcia-Castrillo, Gerardo] Cantabrian Maritime Museum, Santander 39004, Spain; [Lopez, Eduardo] Autonomous Univ Madrid, Dept Biol, Fac Sci, E-28049 Madrid, Spain; [Palacin, Cruz] Univ Barcelona, Dept Anim Biol, E-08028 Barcelona, Spain; [Troncoso, Jesus S.] Univ Vigo, Marine Sci Fac, Dept Ecol &amp; Anim Biol, Vigo 36310, Spain; [Ramos, Ana] Spanish Inst Oceanog, Vigo 36390, Spain</t>
  </si>
  <si>
    <t>University of Basque Country; University of Oviedo; Spanish Institute of Oceanography; Universidade de Santiago de Compostela; Autonomous University of Madrid; University of Barcelona; Universidade de Vigo; Spanish Institute of Oceanography</t>
  </si>
  <si>
    <t>Saiz, JI (corresponding author), Univ Basque Country, Dept Zool &amp; Anim Cell Biol, Bilbao 48080, Spain.</t>
  </si>
  <si>
    <t>ji.saiz@ehu.es</t>
  </si>
  <si>
    <t>Palacín, Creu/F-7175-2016; López, Eduardo/L-2489-2013; Cristobo, Javier/M-1949-2014; Troncoso, Jesus/L-1823-2017</t>
  </si>
  <si>
    <t>Palacín, Creu/0000-0003-1721-1077; López, Eduardo/0000-0002-1816-8528; Troncoso, Jesus/0000-0002-7305-6879; Anadon-Alvarez, Maria Nuria/0000-0002-9928-0115</t>
  </si>
  <si>
    <t>Antarctic Program of the Spanish Government [REN2001-1074/ANT]; University of Basque Country/EHU (Spain)</t>
  </si>
  <si>
    <t>Antarctic Program of the Spanish Government; University of Basque Country/EHU (Spain)</t>
  </si>
  <si>
    <t>The BENTART-03 cruise was funded by the Antarctic Program REN2001-1074/ANT of the Spanish Government. The completion of the manuscript was aided by a grant Accion Especial from the University of Basque Country/EHU (Spain).</t>
  </si>
  <si>
    <t>10.1007/s13131-013-0321-5</t>
  </si>
  <si>
    <t>160CO</t>
  </si>
  <si>
    <t>WOS:000320094400007</t>
  </si>
  <si>
    <t>Jiang, MS; Charette, MA; Measures, CI; Zhu, YW; Zhou, M</t>
  </si>
  <si>
    <t>Jiang, Mingshun; Charette, Matthew A.; Measures, Christopher I.; Zhu, Yiwu; Zhou, Meng</t>
  </si>
  <si>
    <t>Seasonal cycle of circulation in the Antarctic Peninsula and the off-shelf transport of shelf waters into southern Drake Passage and Scotia Sea</t>
  </si>
  <si>
    <t>Model; Circulation; Antarctic Peninsula; Antarctic Circumpolar Current; Elephant Island; Off-shelf transport; Fe; Drake Passage; Southern Scotia Sea</t>
  </si>
  <si>
    <t>WESTERN BRANSFIELD STRAIT; MODEL; VARIABILITY; COORDINATE; SURFACE; OCEAN; TIP</t>
  </si>
  <si>
    <t>The seasonal cycle of circulation and transport in the Antarctic Peninsula shelf region is investigated using a high-resolution (similar to 2 km) regional model based on the Regional Oceanic Modeling System (ROMS). The model also includes a naturally occurring tracer with a strong source over the shelf (radium isotope Ra-228, t(1/2)=5.8 years) to investigate the sediment Fe input and its transport. The model is spun-up for three years using climatological boundary and surface forcing and then run for the 2004-2006 period using realistic forcing. Model results suggest a persistent and coherent circulation system throughout the year consisting of several major components that converge water masses from various sources toward Elephant Island. These currents are largely in geostrophic balance, driven by surface winds, topographic steering, and large-scale forcing. Strong off-shelf transport of the Fe-rich shelf waters takes place over the northeastern shelf/slope of Elephant Island, driven by a combination of topographic steering, extension of shelf currents, and strong horizontal mixing between the ACC and shelf waters. These results are generally consistent with recent and historical observational studies. Both the shelf circulation and off-shelf transport show a significant seasonality, mainly due to the seasonal changes of surface winds and large-scale circulation. Modeled and observed distributions of Ra-228 suggest that a majority of Fe-rich upper layer waters exported off-shelf around Elephant Island are carried by the shelfbreak current and the Bransfield Strait Current from the shallow sills between Gerlache Strait and Livingston Island, and northern shelf of the South Shetland Islands, where strong winter mixing supplies much of the sediment derived nutrients (including Fe) input to the surface layer. (c) 2013 Elsevier Ltd. All rights reserved.</t>
  </si>
  <si>
    <t>[Jiang, Mingshun; Zhu, Yiwu; Zhou, Meng] Univ Massachusetts, Dept Environm Earth &amp; Ocean Sci, Boston, MA 02125 USA; [Charette, Matthew A.] Woods Hole Oceanog Inst, Dept Marine Chem &amp; Biogeochem, Woods Hole, MA 02543 USA; [Measures, Christopher I.] Univ Hawaii, Dept Oceanog, Honolulu, HI 96822 USA</t>
  </si>
  <si>
    <t>University of Massachusetts System; University of Massachusetts Boston; Woods Hole Oceanographic Institution; University of Hawaii System</t>
  </si>
  <si>
    <t>Jiang, MS (corresponding author), Univ Massachusetts, Dept Environm Earth &amp; Ocean Sci, 100 Morrissey Blvd, Boston, MA 02125 USA.</t>
  </si>
  <si>
    <t>mingshun.jiang@umb.edu</t>
  </si>
  <si>
    <t>Charette, Matthew/I-9495-2012</t>
  </si>
  <si>
    <t>NOAA [NA09OAR4310062]; NSF [0948378, 0948442]; Division Of Polar Programs; Directorate For Geosciences [0948378] Funding Source: National Science Foundation; Division Of Polar Programs; Directorate For Geosciences [0948442, 0739566] Funding Source: National Science Foundation</t>
  </si>
  <si>
    <t>NOAA(National Oceanic Atmospheric Admin (NOAA) - USA); NSF(National Science Foundation (NSF)); Division Of Polar Programs; Directorate For Geosciences(National Science Foundation (NSF)NSF - Directorate for Geosciences (GEO)); Division Of Polar Programs; Directorate For Geosciences(National Science Foundation (NSF)NSF - Directorate for Geosciences (GEO))</t>
  </si>
  <si>
    <t>This project is supported by NOAA grant NA09OAR4310062. MZ and MJ are also supported by NSF grant 0948378 and MAC by NSF grant 0948442. The satellite altimetry data is provided by AVISO (http://www.aviso.oceanobs.com/). We thank the OCCAM modeling group for providing their long-term global model out-put (http: //www.noc.soton.ac.uk/JRD/OCCAM/EMODS/info/coord.php3). Relative humidity and precipitation data are provided by HOAPS project from http://www.hoaps.zmaw.de/index.php?id=home. We thank Kate Hedstrom at the University of Alaska at Fairbank for providing the ROMS model with imbedded sea ice component. The numerical computation is carried out at the cluster computer RAVANA at the University of Massachusetts Boston.</t>
  </si>
  <si>
    <t>10.1016/j.dsr2.2013.02.029</t>
  </si>
  <si>
    <t>160SY</t>
  </si>
  <si>
    <t>WOS:000320142000003</t>
  </si>
  <si>
    <t>Quéguiner, B</t>
  </si>
  <si>
    <t>Queguiner, Bernard</t>
  </si>
  <si>
    <t>Iron fertilization and the structure of planktonic communities in high nutrient regions of the Southern Ocean</t>
  </si>
  <si>
    <t>Plankton; Community composition; Trophic relationships; Southern Ocean; Limiting factors; Iron; Life cycle</t>
  </si>
  <si>
    <t>INDUCED PHYTOPLANKTON BLOOM; ANTARCTIC POLAR FRONT; SUB-ARCTIC PACIFIC; CROZET PLATEAU; ZOOPLANKTON DISTRIBUTION; GRAZING IMPACT; LATE SUMMER; CIRCUMPOLAR CURRENT; FEEDING PATTERNS; ATLANTIC SECTOR</t>
  </si>
  <si>
    <t>In this review article, plankton community structure observations are analyzed both for artificial iron fertilization experiments and also for experiments dedicated to the study of naturally iron-fertilized systems in the Atlantic. Indian and Pacific sectors of the Southern Ocean in the POOZ (Permanently Open Ocean Zone) and the PFZ (Polar Frontal Zone). Observations made in natural systems are combined with those from artificially perturbed systems, in order to evaluate the seasonal evolution of pelagic communities, taking into account controlling factors related to the life cycles and the ecophysiology of dominant organisms. The analysis considers several types of planktonic communities, including both autotrophs and heterotrophs. These communities are spatially segregated owing to different life strategies. A conceptual general scheme is proposed to account for these observations and their variability, regardless of experiment type. Diatoms can be separated into 2 groups: Group 1 has slightly silicified fast growing cells that are homogeneously distributed in the surface mixed layer, and Group 2 has strongly silicified slowly growing cells within discrete layers. During the growth season, Group 1 diatoms show a typical seasonal succession of dominant species, within time windows of development that are conditioned by physical factors (light and temperature) as well as endogenous specific rhythms (internal clock), and biomass accumulation is controlled by the availability of nutrients. Group 1 diatoms are not directly grazed by mesozooplankton which is fed by protozooplankton, linking the microbial food web to higher trophic levels. Instead, successive dominant species of Group 1 are degraded via bacterial activity at the end of their growth season. Organic detritus fragments feed protozooplankton and mesozooplankton. The effective silicon pump leads to the progressive disappearance of silicic acid in surface waters. In contrast, Group 2 is resistant to grazing due to its strong silicification, and its biomass accumulates continuously but relatively slowly throughout the productive period. Group 2 diatoms are concentrated at or near the seasonal pycnocline and thus benefit from upward nutrient fluxes by diapycnal mixing. The decrease in light and the deep convective mixing in the fall produce both light and nutrient limitation leading to a massive carbon export of Group 2 diatoms, a major annual event of the biological pump. This scheme describes the seasonal evolution of plankton communities in surface waters of the Southern Ocean. The scheme could probably be extended to ecosystems that are characterized by a seasonal bloom under influence of iron or other nutrients. (c) 2012 Elsevier Ltd. All rights reserved.</t>
  </si>
  <si>
    <t>Univ Sud Toulon Var, Aix Marseille Univ, CNRS INSU, IRD,MIO,UM 110, F-13288 Marseille 09, France</t>
  </si>
  <si>
    <t>Centre National de la Recherche Scientifique (CNRS); CNRS - National Institute for Earth Sciences &amp; Astronomy (INSU); Aix-Marseille Universite; Institut de Recherche pour le Developpement (IRD)</t>
  </si>
  <si>
    <t>Quéguiner, B (corresponding author), Univ Sud Toulon Var, Aix Marseille Univ, CNRS INSU, IRD,MIO,UM 110, F-13288 Marseille 09, France.</t>
  </si>
  <si>
    <t>bernard.queguiner@univ-amu.fr</t>
  </si>
  <si>
    <t>Quéguiner, Bernard/B-4060-2008</t>
  </si>
  <si>
    <t>Quéguiner, Bernard/0000-0001-5020-8297</t>
  </si>
  <si>
    <t>U.S. National Science Foundation's Office of Polar Programs; National Science Foundation's Office of Polar Programs; Division Of Polar Programs; Directorate For Geosciences [0948378] Funding Source: National Science Foundation</t>
  </si>
  <si>
    <t>U.S. National Science Foundation's Office of Polar Programs(National Science Foundation (NSF)); National Science Foundation's Office of Polar Programs(National Science Foundation (NSF)); Division Of Polar Programs; Directorate For Geosciences(National Science Foundation (NSF)NSF - Directorate for Geosciences (GEO))</t>
  </si>
  <si>
    <t>This review was initiated after the workshop 'Modeling and Synthesis of Southern Ocean Natural Iron Fertilization' held at Woods Hole Oceanographic Institution and sponsored by the U.S. National Science Foundation's Office of Polar Programs. The author acknowledges National Science Foundation's Office of Polar Programs for financial support, which enabled his participation in this workshop. The author would also like to thank Matt Charette, Richard Sanders and Meng Zhou for their efforts in conceiving and organizing this productive workshop. Thanks are also due to three anonymous reviewers for their useful comments and to Sarah Gille who kindly helped editing the first manuscript, greatly improving the quality of this paper. Analyses and visualizations used in this paper were produced with the Giovanni online data system, developed and maintained by the NASA GES DISK This paper is a contribution to the KEOPS program of INSU-CNRS.</t>
  </si>
  <si>
    <t>10.1016/j.dsr2.2012.07.024</t>
  </si>
  <si>
    <t>WOS:000320142000005</t>
  </si>
  <si>
    <t>Selph, KE; Apprill, A; Measures, CI; Hatta, M; Hiscock, WT; Brown, MT</t>
  </si>
  <si>
    <t>Selph, Karen E.; Apprill, Amy; Measures, Christopher I.; Hatta, Mariko; Hiscock, William T.; Brown, Matthew T.</t>
  </si>
  <si>
    <t>Phytoplankton distributions in the Shackleton Fracture Zone/Elephant Island region of the Drake Passage in February-March 2004</t>
  </si>
  <si>
    <t>Southern Ocean; Phytoplankton; Iron; Flow cytometry</t>
  </si>
  <si>
    <t>IRON ENRICHMENT EXPERIMENT; SOUTHERN-OCEAN; ANTARCTIC PHYTOPLANKTON; ELEPHANT-ISLAND; PRIMARY PRODUCTIVITY; SIZE STRUCTURE; CHLOROPHYLL-A; CELL-SIZE; BIOMASS; CARBON</t>
  </si>
  <si>
    <t>The Drake Passage region near Elephant Island in the Southern Ocean displays patchy phytoplankton blooms. To test the hypothesis that natural Fe addition from localized sources promoted phytoplankton growth here, a grid of stations (59 degrees S to 62 degrees S, 59 degrees W to 53 degrees W, as well as four stations in the eastern Bransfield Strait) were occupied from 12 February-24 March 2004. Phytoplankton abundance was measured using shipboard flow cytometry (70 stations), with abundances conservatively converted to biomass, and compared with measurements of dissolved iron (dFe) at a subset of stations (30 stations). Based on T-S property plots, stations were divided into Antarctic Circumpolar Current (ACC), Water On Shelf (WOS), Bransfield Strait (BS), and Mixed water stations, the latter representing locations with T-S properties intermediate between ACC and WOS stations. The highest integrated phytoplankton biomass was found at Mixed water stations, however, the highest integrated abundance was found at WOS stations, demonstrating that abundance and biomass do not necessarily show the same patterns. The distributions of nano- and micro-phytoplankton ( &lt; 20 and &gt;20 mu m diameter cells, respectively) were also examined, with nano- and micro-plankton contributing equally to the total biomass at WOS and BS stations, but micro-plankton representing similar to 2/3 of the biomass at Mixed and ACC stations. Increased inventories of dFe did not always correspond to increases in phytoplankton biomass - rather stations with lower mean light levels in the mixed layer ( &lt; 110 mu Einsteins m(-2) s(-1)) had lower biomass despite higher ambient dFe concentrations. However, where the mean light levels in the mixed layer were &gt;110 mu Einsteins m(-2) s(-1), total biomass shows a positive trend with dFe, as does micro-phytoplankton biomass, but neither regression is significant at the 95% level. In contrast, if just nano-phytoplankton biomass is considered as a function of dFe, there is a significant correlation (r(2)=0.62). These data suggest a dual mechanism for the patterns observed in biomass: an increasing reservoir of dFe allows increased phytoplankton biomass, but biomass can only accumulate where the light levels are relatively high, such that light is not limiting to growth. (c) 2013 Elsevier Ltd. All rights reserved.</t>
  </si>
  <si>
    <t>[Selph, Karen E.; Apprill, Amy; Measures, Christopher I.; Hatta, Mariko; Hiscock, William T.; Brown, Matthew T.] Univ Hawaii Manoa, Dept Oceanog, Honolulu, HI 96822 USA</t>
  </si>
  <si>
    <t>University of Hawaii System; University of Hawaii Manoa</t>
  </si>
  <si>
    <t>Selph, KE (corresponding author), Univ Hawaii Manoa, Dept Oceanog, Honolulu, HI 96822 USA.</t>
  </si>
  <si>
    <t>selph@hawaii.edu</t>
  </si>
  <si>
    <t>Selph, Karen/0000-0001-7281-4706; Hatta, Mariko/0000-0002-4892-7708</t>
  </si>
  <si>
    <t>NSF OPP [OPP 02030445]; Directorate For Geosciences; Division Of Polar Programs [0948378] Funding Source: National Science Foundation; Office of Polar Programs (OPP); Directorate For Geosciences [0948357] Funding Source: National Science Foundation</t>
  </si>
  <si>
    <t>NSF OPP(National Science Foundation (NSF)NSF - Directorate for Geosciences (GEO)); Directorate For Geosciences; Division Of Polar Programs(National Science Foundation (NSF)NSF - Directorate for Geosciences (GEO)); Office of Polar Programs (OPP); Directorate For Geosciences(National Science Foundation (NSF)NSF - Directorate for Geosciences (GEO))</t>
  </si>
  <si>
    <t>We thank the Captain and crew of the Gould for their professional support of this project. We also thank Jamee Johnson of Raytheon Polar Services for her help in deck operations, which were indispensible to the success of this field project. We thank the chief scientist, Dr. Greg Mitchell of Scripps Institution of Oceanography, for giving us space to operate the flow cytometer on-board ship, and Dr. Meng Zhou of University of Massachusetts, Boston, for numerous helpful discussions. We also thank three anonymous reviewers of this manuscript, whose input greatly improved our presentation of the data. This work was funded as part of the NSF OPP grant to C.I.M., OPP 02030445. This is SOEST contribution 8207.</t>
  </si>
  <si>
    <t>10.1016/j.dsr2.2013.01.030</t>
  </si>
  <si>
    <t>WOS:000320142000006</t>
  </si>
  <si>
    <t>Measures, CI; Brown, MT; Selph, KE; Apprill, A; Zhou, M; Hatta, M; Hiscock, WT</t>
  </si>
  <si>
    <t>Measures, C. I.; Brown, M. T.; Selph, K. E.; Apprill, A.; Zhou, M.; Hatta, M.; Hiscock, W. T.</t>
  </si>
  <si>
    <t>The influence of shelf processes in delivering dissolved iron to the HNLC waters of the Drake Passage, Antarctica</t>
  </si>
  <si>
    <t>Dissolved Fe; Dissolved Al; Dissolved Mn; Fe fertilisation; South Shetland islands, Antarctica; austral-summer</t>
  </si>
  <si>
    <t>FLOW-INJECTION-ANALYSIS; SOUTHERN-OCEAN; PHYTOPLANKTON GROWTH; BRANSFIELD STRAIT; SURFACE WATERS; ROSS SEA; FE; LIMITATION; MANGANESE; PRECONCENTRATION</t>
  </si>
  <si>
    <t>Dissolved trace element distributions near Elephant Island in the Drake Passage show extremely high levels of dissolved Fe and Mn in waters above the shelf. The entrainment of this enriched shelf water by the Fe-poor Antarctic Circumpolar Current (ACC) as it passes through the Shackleton Gap delivers an estimated 2.8 x 10(6) mol yr(-1) dissolved Fe to the offshore waters of the Drake Passage. The magnitude and spatial distribution of dissolved Fe, Mn and Al over the shelf are consistent with a diagenetically produced sedimentary source, but are inconsistent with eolian or upwelling sources. The systematics of the Mn and Fe concentrations suggest that there are two distinct sources of dissolved Fe to the surface waters of this region. The highest Fe concentrations are associated with Bransfield Strait water, which can be identified by its characteristic temperature and salinity (T/S) properties both inside the Bransfield Strait and in the Bransfield Current outflow between Elephant and Clarence Islands. Most of the shelf area is dominated by a second water type with vs properties that are typical of modified Antarctic Surface Water, which while also enriched has a lower Fe:Mn ratio. The predominantly linear relationships between the Fe and Mn concentrations at the stations in each of these water mass types suggest that the distribution of these elements is largely controlled by physical mixing processes and that biological removal of Fe on the shelf, while certainly occurring, is limited, perhaps as a result of rapid physical flushing processes and relatively slow biological growth rates. The consequent export of large quantities of this shelf-derived Fe into the ACC is likely responsible for the extensive regions of enhanced primary production seen in satellite imagery downstream of the Drake Passage. (c) 2012 Elsevier Ltd. All rights reserved.</t>
  </si>
  <si>
    <t>[Measures, C. I.; Brown, M. T.; Selph, K. E.; Apprill, A.; Hatta, M.; Hiscock, W. T.] Univ Hawaii, Dept Oceanog, Honolulu, HI 96822 USA; [Zhou, M.] Univ Massachusetts, Boston, MA 02125 USA; [Brown, M. T.] Flagler Coll, Dept Nat Sci, St Augustine, FL 32084 USA; [Apprill, A.] Woods Hole Oceanog Inst, Woods Hole, MA 02543 USA; [Hiscock, W. T.] Thermo Fischer Sci, N Ryde, NSW, Australia</t>
  </si>
  <si>
    <t>University of Hawaii System; University of Massachusetts System; University of Massachusetts Boston; Woods Hole Oceanographic Institution</t>
  </si>
  <si>
    <t>Measures, CI (corresponding author), Univ Hawaii, Dept Oceanog, 1000 Pope Rd, Honolulu, HI 96822 USA.</t>
  </si>
  <si>
    <t>chrism@soest.hawaii.edu</t>
  </si>
  <si>
    <t>Hatta, Mariko/0000-0002-4892-7708; Selph, Karen/0000-0001-7281-4706</t>
  </si>
  <si>
    <t>National Science Foundation through Office of Polar Programs [OPP 0230445, ANT-0948357]; Division Of Polar Programs; Directorate For Geosciences [0948378] Funding Source: National Science Foundation; Office of Polar Programs (OPP); Directorate For Geosciences [0948357] Funding Source: National Science Foundation</t>
  </si>
  <si>
    <t>National Science Foundation through Office of Polar Programs; Division Of Polar Programs; Directorate For Geosciences(National Science Foundation (NSF)NSF - Directorate for Geosciences (GEO)); Office of Polar Programs (OPP); Directorate For Geosciences(National Science Foundation (NSF)NSF - Directorate for Geosciences (GEO))</t>
  </si>
  <si>
    <t>We wish to thank Captain Mike Terminal, the RPSC technical support staff and the crew of the RV LM Gould, for their professional help in ensuring a successful expedition under the trying weather conditions of the Drake Passage. We would also like to thank our fellow scientists Sue Reynolds, Shane Elipot and Ryan Dorland for their frequent help in the sub-sampling program during the cruise, and the Chief Scientist B. Greg Mitchell, Chris Hewes, Kathy Barbeau and other PIs for making their data available and compiling the cruise data sets. We also thank our reviewers for their comments. We would like to thank the National Science Foundation for its financial support of this project through Office of Polar Programs Grant nos. OPP 0230445 and ANT-0948357 to CIM. This is Contribution No. 8191 of the School of Ocean Earth Science and Technology, University of Hawaii.</t>
  </si>
  <si>
    <t>10.1016/j.dsr2.2012.11.004</t>
  </si>
  <si>
    <t>WOS:000320142000008</t>
  </si>
  <si>
    <t>Hatta, M; Measures, CI; Selph, KE; Zhou, M; Hiscock, WT</t>
  </si>
  <si>
    <t>Hatta, M.; Measures, C. I.; Selph, K. E.; Zhou, M.; Hiscock, W. T.</t>
  </si>
  <si>
    <t>Iron fluxes from the shelf regions near the South Shetland Islands in the Drake Passage during the austral-winter 2006</t>
  </si>
  <si>
    <t>Dissolved Fe; Dissolved Al; Dissolved Mn; South Shetland Islands; Antarctica; Austral-winter</t>
  </si>
  <si>
    <t>ANTARCTIC PENINSULA; DISSOLVED ALUMINUM; BRANSFIELD STRAIT; TRACE-METAL; SEDIMENTS; WATERS; DISTRIBUTIONS; LIMITATION; ENRICHMENT; SPECIATION</t>
  </si>
  <si>
    <t>Spatial distributions of dissolved iron (Fe), manganese (Mn) and aluminum (Al) in the upper 500 m of the water column near the Antarctic Peninsula (AP) during the 2006 austral-winter are consistent with diagenetically-produced sedimentary sources and are somewhat higher than data obtained in this region during the 2004 austral-summer. In contrast, surface phytoplankton abundances were 6-7 times lower relative to the 2004 austral-summer. Near the South Shetland Islands elevated levels of dissolved Al, Fe and Mn were found corresponding to high loads of resuspended material above the shelf as indicated by the transmissometer signal. Despite these high levels of trace metals, phytoplankton abundances in this area were lower than in the offshore Antarctic Circumpolar Current (ACC) waters. Offshore ACC stations had low concentrations of Fe, but up to five times greater abundance of phytoplankton. The difference in phytoplankton abundance between the regions seems largely driven by light availability, as indicated by mixed layer depths. The elevated trace metal concentrations near King George Island in the Bransfield Strait (BS) correspond to the flow path of the Bransfield Current. This enriched plume can also be seen exiting the BS, between Clarence and Elephant islands into the Ona Basin where it mixes with high nutrient low trace metal concentration ACC waters leading to high productivity in this region and further downstream in the Scotia Sea during the growing season. Published by Elsevier Ltd.</t>
  </si>
  <si>
    <t>[Hatta, M.; Measures, C. I.; Selph, K. E.; Hiscock, W. T.] Univ Hawaii, Dept Oceanog, Honolulu, HI 96822 USA; [Zhou, M.] Univ Massachusetts, Boston, MA 02125 USA; [Hiscock, W. T.] Thermo Fisher Sci, N Ryde, NSW, Australia</t>
  </si>
  <si>
    <t>University of Hawaii System; University of Massachusetts System; University of Massachusetts Boston; Thermo Fisher Scientific</t>
  </si>
  <si>
    <t>Hatta, M (corresponding author), Univ Hawaii, Dept Oceanog, Honolulu, HI 96822 USA.</t>
  </si>
  <si>
    <t>mhatta@hawaii.edu</t>
  </si>
  <si>
    <t>National Science Foundation through Office of Polar Programs [OPP 0443403, ANT-0948357]; Directorate For Geosciences [0948357] Funding Source: National Science Foundation; Directorate For Geosciences; Division Of Polar Programs [0948378] Funding Source: National Science Foundation; Office of Polar Programs (OPP) [0948357] Funding Source: National Science Foundation</t>
  </si>
  <si>
    <t>National Science Foundation through Office of Polar Programs; Directorate For Geosciences(National Science Foundation (NSF)NSF - Directorate for Geosciences (GEO)); Directorate For Geosciences; Division Of Polar Programs(National Science Foundation (NSF)NSF - Directorate for Geosciences (GEO)); Office of Polar Programs (OPP)(National Science Foundation (NSF)NSF - Directorate for Geosciences (GEO))</t>
  </si>
  <si>
    <t>We would like to thank the National Science Foundation for its financial support of this project through Office of Polar Programs Grant numbers OPP 0443403 and ANT-0948357 to CIM. This is contribution no. 8792 of the School of Ocean Earth Science and Technology, University of Hawaii.</t>
  </si>
  <si>
    <t>10.1016/j.dsr2.2012.11.003</t>
  </si>
  <si>
    <t>WOS:000320142000009</t>
  </si>
  <si>
    <t>Bundy, RM; Barbeau, KA; Buck, KN</t>
  </si>
  <si>
    <t>Bundy, Randelle M.; Barbeau, Katherine A.; Buck, Kristen N.</t>
  </si>
  <si>
    <t>Sources of strong copper-binding ligands in Antarctic Peninsula surface waters</t>
  </si>
  <si>
    <t>Copper; Antarctic Peninsula; Organic ligands; Phytoplankton</t>
  </si>
  <si>
    <t>CATHODIC STRIPPING VOLTAMMETRY; NATURAL ORGANIC-LIGANDS; SAN-FRANCISCO BAY; DISSOLVED COPPER; COMPLEXING LIGANDS; SEA-WATER; CHEMICAL SPECIATION; HUMIC SUBSTANCES; COASTAL SEAWATER; CHELATING RESIN</t>
  </si>
  <si>
    <t>Copper-binding organic ligands were measured during austral winter in surface waters around the Antarctic Peninsula using competitive ligand exchange-adsorptive cathodic stripping voltammetry with multiple analytical windows. Samples were collected from four distinct water masses including the Antarctic Circumpolar Current, Southern Antarctic Circumpolar Current Front, Bransfield Strait, and the shelf region of the Antarctic Peninsula. Strong copper-binding organic ligands were detected in each water mass. The strongest copper-binding ligands were detected at the highest competition strength in the Antarctic Circumpolar Current, with an average conditional stability constant of logK(CuL,Cu2+)(cond) = 16.00 +/- 0.82. The weakest ligands were found at the lowest competition strength in the shelf region with logK(CuL,Cu2+)(cond) = 12.68 +/- 0.48. No ligands with stability constants less than logK(CuL,Cu2+)(cond) = 13.5 were detected in the Antarctic Circumpolar Current at any competition strength, suggesting a shelf source of weaker copper-binding ligands. Free, hydrated copper ion concentrations, the biologically available form of dissolved copper, were less than 10(-14) M in all samples, approaching levels that may be limiting for some types of inducible iron acquisition. (C) 2012 Elsevier Ltd. All rights reserved.</t>
  </si>
  <si>
    <t>[Bundy, Randelle M.; Barbeau, Katherine A.] Univ Calif San Diego, Scripps Inst Oceanog, La Jolla, CA 92037 USA; [Buck, Kristen N.] Bermuda Inst Ocean Sci, Biol Stn 17, St Georges, Bermuda</t>
  </si>
  <si>
    <t>University of California System; University of California San Diego; Scripps Institution of Oceanography; Bermuda Institute of Ocean Sciences</t>
  </si>
  <si>
    <t>Bundy, RM (corresponding author), Univ Calif San Diego, Scripps Inst Oceanog, 9500 Gilman Dr, La Jolla, CA 92037 USA.</t>
  </si>
  <si>
    <t>rmbundy@ucsd.edu</t>
  </si>
  <si>
    <t>Buck, Kristen/O-3988-2014; Bundy, Randelle M./J-8453-2016</t>
  </si>
  <si>
    <t>Buck, Kristen/0000-0002-3871-870X; Bundy, Randelle M./0000-0002-0600-3953; Barbeau, Katherine/0000-0002-2132-7219</t>
  </si>
  <si>
    <t>Scripps Institution of Oceanography Earth Section postdoctoral fellowship; G. Unger Vetlesen Foundation at the Bermuda Institute of Ocean Sciences (BIOS); NSF [ANT 04-44134, ANT-0948338]; Directorate For Geosciences; Office of Polar Programs (OPP) [0948338] Funding Source: National Science Foundation; Division Of Polar Programs; Directorate For Geosciences [0948378] Funding Source: National Science Foundation</t>
  </si>
  <si>
    <t>Scripps Institution of Oceanography Earth Section postdoctoral fellowship; G. Unger Vetlesen Foundation at the Bermuda Institute of Ocean Sciences (BIOS); NSF(National Science Foundation (NSF)); Directorate For Geosciences; Office of Polar Programs (OPP)(National Science Foundation (NSF)NSF - Directorate for Geosciences (GEO)); Division Of Polar Programs; Directorate For Geosciences(National Science Foundation (NSF)NSF - Directorate for Geosciences (GEO))</t>
  </si>
  <si>
    <t>The authors would like to thank the captain and crew of the R/V/I/B Nathaniel B. Palmer. We would also like to thank Dr. Chris Measures and his lab (U Hawaii) for enabling sampling. Thank you also to Brian Seegers and Mattias Cape for CTD data and deployments. We would like to thank the Bruland lab, Maeve Lohan, Ana Aguilar-Islas, and Rob Franks at the Marine Analytical Facility at University of California Santa Cruz, for their help with HR-ICP-MS total copper analyses. Buck was funded in part by a Scripps Institution of Oceanography Earth Section postdoctoral fellowship and supported by institutional funding from the G. Unger Vetlesen Foundation at the Bermuda Institute of Ocean Sciences (BIOS). This manuscript represents BIOS contribution number 2018 for KNB. This work was supported by NSF award ANT 04-44134 and RMB was supported by NSF award ANT-0948338.</t>
  </si>
  <si>
    <t>10.1016/j.dsr2.2012.07.023</t>
  </si>
  <si>
    <t>WOS:000320142000012</t>
  </si>
  <si>
    <t>Morris, PJ; Charette, MA</t>
  </si>
  <si>
    <t>Morris, Paul J.; Charette, Matthew A.</t>
  </si>
  <si>
    <t>A synthesis of upper ocean carbon and dissolved iron budgets for Southern Ocean natural iron fertilisation studies</t>
  </si>
  <si>
    <t>CROZEX; KEOPS; BWZ; Southern Ocean; Carbon export; POC; Natural iron fertilisation; C:Fe ratio</t>
  </si>
  <si>
    <t>PARTICULATE ORGANIC-CARBON; LARGE-SCALE CIRCULATION; KERGUELEN PLATEAU; PHYTOPLANKTON BLOOM; RADIUM ISOTOPES; SEASONAL-CHANGES; PARTICLE EXPORT; BIOGENIC SILICA; CROZET PLATEAU; FLUX</t>
  </si>
  <si>
    <t>For over a decade the relationship between iron addition and carbon export has been an active topic of Southern Ocean biogeochemical investigation. To study the iron-carbon interaction, a number of natural iron sources within the Antarctic Circumpolar Current have been targeted to quantify the resultant particulate organic carbon (POC) export. Three studies in particular near the Crozet Islands, Kerguelen Plateau, and Antarctic Peninsula have produced estimates of both dissolved iron (DFe) supply and POC export. For each area, we present a detailed synthesis of (234)Thorium-derived POC export and of the DFe budgets that fuel the substantial phytoplankton blooms observed in these areas. Furthermore, we discuss the nuances of calculating seasonal POC export, which is required to estimate the seasonal response of POC export to DFe fertilisation. To conclude, we review the relationship between DFe supply and POC export (C:Fe ratio) for these areas, which provides an estimate of POC export efficiency. Daily rates of POC export from the mixed layer of naturally Fe-enriched Southern Ocean blooms range from 15 to 32 mmol C m(-2) d(-1), with associated control sites typically exporting similar to 3-times less POC, (5 to 12 mmol C m(-2) d(-1)). Within each project, the 3-fold trend is also observed in estimates of seasonal POC export; however, variation between study regions shows up to a 4-fold difference (range 1.4-5.0 mol m(-2)). DFe supply is dominated by horizontal processes and spans an order of magnitude depending on the location (190-2700 nmol m(-2) d(-1)). Where the calculation of seasonal C:Fe ratios is possible, almost an order of magnitude variation (16,790-154,000) is observed between different Southern Ocean regions. (C) 2013 Elsevier Ltd. All rights reserved.</t>
  </si>
  <si>
    <t>[Morris, Paul J.; Charette, Matthew A.] Woods Hole Oceanog Inst, Woods Hole, MA 02543 USA</t>
  </si>
  <si>
    <t>Woods Hole Oceanographic Institution</t>
  </si>
  <si>
    <t>Morris, PJ (corresponding author), Univ Bristol, Sch Earth Sci, Bristol B58 1RJ, Avon, England.</t>
  </si>
  <si>
    <t>pmorris@whoi.edu</t>
  </si>
  <si>
    <t>National Science Foundation (NSF) [NSF-ANT 0948442, ANT-0443869]; Division Of Polar Programs; Directorate For Geosciences [0948442] Funding Source: National Science Foundation; Division Of Polar Programs; Directorate For Geosciences [0948378] Funding Source: National Science Foundation</t>
  </si>
  <si>
    <t>National Science Foundation (NSF)(National Science Foundation (NSF)); Division Of Polar Programs; Directorate For Geosciences(National Science Foundation (NSF)NSF - Directorate for Geosciences (GEO)); Division Of Polar Programs; Directorate For Geosciences(National Science Foundation (NSF)NSF - Directorate for Geosciences (GEO))</t>
  </si>
  <si>
    <t>The motivation for this manuscript arose from the workshop: Modeling and Synthesis of Southern Ocean Natural Iron Fertilization (SOFe), for this, and all the stimulating discussions during the workshop, we are greatly thankful to the SOFe participants. Funding for this synthesis paper and the SOFe workshop was provided by a grant from the National Science Foundation (NSF) to MAC (NSF-ANT 0948442). BWZ 234Th samples were collected and processed by Paul Henderson, Henrieta Dulaiova, Prae Supcharoen, and Dandra Biller. The BWZ POC export study was funded by NSF (ANT-0443869 to MAC). The authors also thank the organisers of the NOAA US AMLR program including the chief scientist of the 2006 austral summer cruise Christian Reiss, as well as colleagues who helped facilitate berthing on the ship (Greg Mitchell, Osmund Holm-Hansen and Chris Hewes). Discussions with Hugh Venables, Maria Nielsdottir, Ken Buesseler, and Stephanie Owens have been of great help in understanding various aspects of the synthesis. S. Owens also provided comments on a pre-review version of the manuscript. Three anonymous reviews provided very constructive comments that helped to improve the manuscript.</t>
  </si>
  <si>
    <t>10.1016/j.dsr2.2013.02.001</t>
  </si>
  <si>
    <t>WOS:000320142000013</t>
  </si>
  <si>
    <t>Watters, GM; Hill, SL; Hinke, JT; Matthews, J; Reid, K</t>
  </si>
  <si>
    <t>Watters, G. M.; Hill, S. L.; Hinke, J. T.; Matthews, J.; Reid, K.</t>
  </si>
  <si>
    <t>Decision-making for ecosystem-based management: evaluating options for a krill fishery with an ecosystem dynamics model</t>
  </si>
  <si>
    <t>ECOLOGICAL APPLICATIONS</t>
  </si>
  <si>
    <t>Antarctic krill (Euphausia superba); CCAMLR; ecosystem-based management; ecosystem model; fisheries management; resilience; risk; uncertainty</t>
  </si>
  <si>
    <t>SOUTH SHETLAND ISLANDS; SCOTIA SEA; EUPHAUSIA-SUPERBA; ANTARCTIC KRILL; UNCERTAINTY; IMPACTS; LESSONS; GEORGIA; BIOMASS; VARIABILITY</t>
  </si>
  <si>
    <t>Decision-makers charged with implementing ecosystem-based management (EBM) rely on scientists to predict the consequences of decisions relating to multiple, potentially conflicting, objectives. Such predictions are inherently uncertain, and this can be a barrier to decision-making. The Convention on the Conservation of Antarctic Marine Living Resources requires managers of Southern Ocean fisheries to sustain the productivity of target stocks, the health and resilience of the ecosystem, and the performance of the fisheries themselves. The managers of the Antarctic krill fishery in the Scotia Sea and southern Drake Passage have requested advice on candidate management measures consisting of a regional catch limit and options for subdividing this among smaller areas. We developed a spatially resolved model that simulates krill-predator-fishery interactions and reproduces a plausible representation of past dynamics. We worked with experts and stakeholders to identify (1) key uncertainties affecting our ability to predict ecosystem state; (2) illustrative reference points that represent the management objectives; and (3) a clear and simple way of conveying our results to decision-makers. We developed four scenarios that bracket the key uncertainties and evaluated candidate management measures in each of these scenarios using multiple stochastic simulations. The model emphasizes uncertainty and simulates multiple ecosystem components relating to diverse objectives. We summarize the potentially complex results as estimates of the risk that each illustrative objective will not be achieved (i.e., of the state being outside the range specified by the reference point). This approach allows direct comparisons between objectives. It also demonstrates that a candid appraisal of uncertainty, in the form of risk estimates, can be an aid, rather than a barrier, to understanding and using ecosystem model predictions. Management measures that reduce coastal fishing, relative to oceanic fishing, apparently reduce risks to both the fishery and the ecosystem. However, alternative reference points could alter the perceived risks, so further stakeholder involvement is needed to identify risk metrics that appropriately represent their objectives.</t>
  </si>
  <si>
    <t>[Watters, G. M.; Hinke, J. T.] NOAA, Antarctic Ecosyst Res Div, SW Fisheries Sci Ctr, Natl Marine Fisheries Serv, La Jolla, CA 92037 USA; [Hill, S. L.; Matthews, J.; Reid, K.] British Antarctic Survey, NERC, Cambridge CB3 0ET, England</t>
  </si>
  <si>
    <t>National Oceanic Atmospheric Admin (NOAA) - USA; UK Research &amp; Innovation (UKRI); Natural Environment Research Council (NERC); NERC British Antarctic Survey</t>
  </si>
  <si>
    <t>Hill, SL (corresponding author), British Antarctic Survey, NERC, Madingley Rd, Cambridge CB3 0ET, England.</t>
  </si>
  <si>
    <t>sih@bas.ac.uk</t>
  </si>
  <si>
    <t>Watters, George/HPE-2184-2023; , Jefferson/AAG-1702-2021; Simeon, Hill L/B-2307-2008</t>
  </si>
  <si>
    <t>Watters, George/0000-0002-6989-1273; , Jefferson/0000-0002-3600-1414;</t>
  </si>
  <si>
    <t>National Science Foundation [0443751, 1016936]; Lenfest Oceans Program at the Pew Charitable Trusts; NERC [bas0100025] Funding Source: UKRI; Natural Environment Research Council [bas0100025] Funding Source: researchfish</t>
  </si>
  <si>
    <t>National Science Foundation(National Science Foundation (NSF)); Lenfest Oceans Program at the Pew Charitable Trusts; NERC(UK Research &amp; Innovation (UKRI)Natural Environment Research Council (NERC)); Natural Environment Research Council(UK Research &amp; Innovation (UKRI)Natural Environment Research Council (NERC))</t>
  </si>
  <si>
    <t>This is a contribution to the British Antarctic Survey's NERC-funded Ecosystems Programme. Partial support for J. T. Hinke was provided by the National Science Foundation (#0443751 and #1016936) and the Lenfest Oceans Program at the Pew Charitable Trusts. Susie Grant prepared Fig. 1. This work was shaped and informed by useful input from many individuals, including participants in the Working Group on Ecosystem Monitoring and Management; the Working Group on Statistics, Assessments and Modelling; the Scientific Committee for the Conservation of Antarctic Marine Living Resources, colleagues at our home institutions, the many data providers and researchers whose work we have assimilated, and the decision-makers within the CCAMLR whom we seek to advise. We thank two anonymous reviewers for constructive comments.</t>
  </si>
  <si>
    <t>1051-0761</t>
  </si>
  <si>
    <t>1939-5582</t>
  </si>
  <si>
    <t>ECOL APPL</t>
  </si>
  <si>
    <t>Ecol. Appl.</t>
  </si>
  <si>
    <t>10.1890/12-1371.1</t>
  </si>
  <si>
    <t>160GE</t>
  </si>
  <si>
    <t>WOS:000320105100003</t>
  </si>
  <si>
    <t>Thresher, RE; Canning, M; Bax, NJ</t>
  </si>
  <si>
    <t>Thresher, Ronald E.; Canning, Miles; Bax, Nicholas J.</t>
  </si>
  <si>
    <t>Demographic effects on the use of genetic options for the control of mosquitofish, Gambusia holbrooki</t>
  </si>
  <si>
    <t>Gambusia holbrooki; genetic control; intrasexual aggression; invasive species; mosquitofish; pest control; population viability; sex ratio; sterile male release program; Trojan Y</t>
  </si>
  <si>
    <t>STERILE INSECT TECHNIQUE; SEX-RATIO; FEMALE FITNESS; PEST-CONTROL; WESTERN MOSQUITOFISH; POPULATION-DYNAMICS; POECILIA-LATIPINNA; AUTOCIDAL CONTROL; MALE HARASSMENT; MULTIPLE LOCI</t>
  </si>
  <si>
    <t>This study tests the sensitivity of genetically based pest control options based on sex ratio distortion to intra-and intersexual aggressive interactions that affect male and female survival and fitness. Data on these interactions and their impacts were gathered for the mosquitofish Gambusia holbrooki (Poeciliidae), a promiscuous species with a strongly male-biased operational sex ratio and well-documented male harassment of females. The experimental design consisted of an orthogonal combination of two population densities and three sex ratios, ranging from strongly male-biased to strongly female-biased, and long-term observations of laboratory populations. Contrary to expectations, the number of males in a population had little evident effect on population demographics. Rather, the density of adult females determined population fecundity (as a result of a stock-recruitment relationship involving females, but not males), constrained male densities (apparently as a result of cannibalism or intersexual aggression), and regulated itself (most likely through effects of intrasexual aggression on female recruitment). The principal effect of males was to constrain their own densities via effects of male-male aggression on adult male mortality rates. Through use of a realistically parameterized genetic/demographic model, we show that of three different genetic options applied to control G. holbrooki, one based on recombinant sex ratio distortion (release of Female Lethal carriers) is marginally more efficient than a sterile male release program, and both outperform an option based on chromosomal sex ratio distortion (Trojan W). Nonlinear dependence of reproductive rate on female density reduces the efficacy of all three approaches. The major effect of intra-and intersexual aggression is mediated through females, whose interactions reduce female numbers and increase the efficacy of a control program based on sex ratio. Socially mediated male mortality has a small impact on control programs due to operational sex ratios that are heavily male-biased. The sensitivity of sex ratio-based control options to social factors will depend on the mating system of the targeted pest, but evidence of widespread density-dependent population regulation suggests that, for most species, the effects of elevated adult mortality (due to intra-and intersexual aggression) on control programs are likely to be slight.</t>
  </si>
  <si>
    <t>[Thresher, Ronald E.] Univ Tasmania, Inst Marine &amp; Antarctic Studies, Invas Anim Cooperat Res Ctr, Hobart, Tas 7001, Australia; CSIRO Marine &amp; Atmospher Res, Hobart, Tas 7001, Australia</t>
  </si>
  <si>
    <t>University of Tasmania; Commonwealth Scientific &amp; Industrial Research Organisation (CSIRO)</t>
  </si>
  <si>
    <t>Thresher, RE (corresponding author), Univ Tasmania, Inst Marine &amp; Antarctic Studies, Invas Anim Cooperat Res Ctr, GPO Box 1538, Hobart, Tas 7001, Australia.</t>
  </si>
  <si>
    <t>ron.thresher@csiro.au</t>
  </si>
  <si>
    <t>Thresher, Ronald/C-7442-2009; Bax, Nicholas/A-2321-2012</t>
  </si>
  <si>
    <t>Bax, Nicholas/0000-0002-9697-4963</t>
  </si>
  <si>
    <t>Australian Invasive Animal Cooperative Research Centre</t>
  </si>
  <si>
    <t>This work was supported by the Australian Invasive Animal Cooperative Research Centre. We thank F. Gould and J. Gilliam for hosting a seminar on this work at North Carolina State University, which provided useful discussion of the results and logic, M. Haddon for assistance with fitting the Ricker stock recruitment relationship, and J. Day, L. Alphey and an anonymous reviewer for useful comments on the manuscript.</t>
  </si>
  <si>
    <t>10.1890/12-1324.1</t>
  </si>
  <si>
    <t>WOS:000320105100010</t>
  </si>
  <si>
    <t>Bishop, JL; Franz, HB; Goetz, W; Blake, DF; Freissinet, C; Steininger, H; Goesmann, F; Brinckerhoff, WB; Getty, S; Pinnick, VT; Mahaffy, PR; Dyar, MD</t>
  </si>
  <si>
    <t>Bishop, Janice L.; Franz, Heather B.; Goetz, Walter; Blake, David F.; Freissinet, Caroline; Steininger, Harald; Goesmann, Fred; Brinckerhoff, William B.; Getty, Stephanie; Pinnick, Veronica T.; Mahaffy, Paul R.; Dyar, M. Darby</t>
  </si>
  <si>
    <t>Coordinated analyses of Antarctic sediments as Mars analog materials using reflectance spectroscopy and current flight-like instruments for CheMin, SAM and MOMA</t>
  </si>
  <si>
    <t>Mars; surface; Mineralogy; Organic chemistry; Spectroscopy</t>
  </si>
  <si>
    <t>MCMURDO DRY VALLEYS; INDUCED BREAKDOWN SPECTROSCOPY; COVERED LAKE-HOARE; RAMAN-SPECTROSCOPY; IN-SITU; GEOCHEMICAL ANALYSES; TAYLOR VALLEY; MARTIAN SOIL; ICE; MINERALS</t>
  </si>
  <si>
    <t>Coordinated analyses of mineralogy and chemistry of sediments from the Antarctic Dry Valleys illustrate how data obtained using flight-ready technology of current NASA and ESA missions can be combined for greater understanding of the samples. Mineralogy was measured by X-ray diffraction (XRD) and visible/near-infrared (VNIR) reflectance spectroscopy. Chemical analyses utilized a quadrupole mass spectrometer (QMS) to perform pyrolysis-evolved gas analysis (EGA) and gas chromatography-mass spectrometry (GC/MS) both with and without derivatization, as well as laser desorption-mass spectrometry (LD/MS) techniques. These analyses are designed to demonstrate some of the capabilities of near-term landed Mars missions, to provide ground truthing of VNIR reflectance data acquired from orbit by the Compact Reconnaissance Imaging Spectrometer for Mars (CRISM) on MRO and to provide detection limits for surface-operated instruments: the Chemistry and Mineralogy (CheMin) and Sample Analysis at Mars (SAM) instrument suites onboard Mars Science Laboratory (MSL) and the Mars Organic Molecule Analyzer (MOMA) onboard ExoMars-2018. The new data from this study are compared with previous analyses of the sediments performed with other techniques. Tremolite was found in the oxic region samples for the first time using the CheMin-like XRD instrument. The NIR spectral features of tremolite are consistent with those observed in these samples. Although the tremolite bands are weak in spectra of these samples, spectral features near 2.32 and 2.39 mu m could be detected by CRISM if tremolite is present on the martian surface. Allophane was found to be a good match to weak NIR features at similar to 1.37-1.41, 1.92, and 2.19 mu m in spectra of the oxic region sediments and is a common component of immature volcanic soils. Biogenic methane was found to be associated with calcite in the oxic region samples by the SAM/EGA instrument and a phosphoric acid derivative was found in the anoxic region sample using the SAM/MTBSTFA technique. (c) 2012 Elsevier Inc. All rights reserved.</t>
  </si>
  <si>
    <t>[Bishop, Janice L.] Carl Sagan Ctr, SETI Inst, Mountain View, CA 94043 USA; [Bishop, Janice L.; Blake, David F.] NASA, Ames Res Ctr, Exobiol Branch, Moffett Field, CA 94035 USA; [Franz, Heather B.; Freissinet, Caroline; Brinckerhoff, William B.; Getty, Stephanie; Pinnick, Veronica T.; Mahaffy, Paul R.] NASA, Goddard Space Flight Ctr, Planetary Environm Lab, Greenbelt, MD 20771 USA; [Franz, Heather B.; Freissinet, Caroline; Pinnick, Veronica T.] Univ Maryland, Ctr Res &amp; Explorat Space Sci &amp; Technol, Baltimore, MD 21250 USA; [Goetz, Walter; Steininger, Harald; Goesmann, Fred] Max Planck Inst Sonnensyst Forsch, D-37191 Katlenburg Lindau, Germany; [Dyar, M. Darby] Mt Holyoke Coll, Dept Astron, S Hadley, MA 01075 USA</t>
  </si>
  <si>
    <t>National Aeronautics &amp; Space Administration (NASA); NASA Ames Research Center; National Aeronautics &amp; Space Administration (NASA); NASA Goddard Space Flight Center; University System of Maryland; University of Maryland Baltimore; Max Planck Society; Mount Holyoke College</t>
  </si>
  <si>
    <t>Bishop, JL (corresponding author), Carl Sagan Ctr, SETI Inst, Mountain View, CA 94043 USA.</t>
  </si>
  <si>
    <t>jbishop@seti.org</t>
  </si>
  <si>
    <t>freissinet, caroline/F-2431-2012; Mahaffy, Paul/E-4609-2012; Brinckerhoff, William/F-3453-2012; Getty, Stephanie A/D-7037-2012; Franz, Heather B/F-3508-2012</t>
  </si>
  <si>
    <t>Mahaffy, Paul/0000-0003-1896-1726; Steininger, Harald/0000-0003-4880-1635; Bishop, Janice/0000-0002-6681-9954</t>
  </si>
  <si>
    <t>NSF's Office of Polar Programs; NASA's PGG program</t>
  </si>
  <si>
    <t>NSF's Office of Polar Programs; NASA's PGG program(National Aeronautics &amp; Space Administration (NASA))</t>
  </si>
  <si>
    <t>The authors are grateful to NSF's Office of Polar Programs for sponsoring collection of these samples from the Dry Valleys, to Dr. T. Hiroi for assistance measuring the reflectance spectra, and to Dr. J. Wray for helpful editorial comments. Thanks are also due to NASA's PGG program for supporting Brown University's RELAB facility.</t>
  </si>
  <si>
    <t>10.1016/j.icarus.2012.05.014</t>
  </si>
  <si>
    <t>162VD</t>
  </si>
  <si>
    <t>WOS:000320293200006</t>
  </si>
  <si>
    <t>Bolker, BM; Gardner, B; Maunder, M; Berg, CW; Brooks, M; Comita, L; Crone, E; Cubaynes, S; Davies, T; de Valpine, P; Ford, J; Gimenez, O; Kéry, M; Kim, EJ; Lennert-Cody, C; Magnusson, A; Martell, S; Nash, J; Nielsen, A; Regetz, J; Skaug, H; Zipkin, E</t>
  </si>
  <si>
    <t>Bolker, Benjamin M.; Gardner, Beth; Maunder, Mark; Berg, Casper W.; Brooks, Mollie; Comita, Liza; Crone, Elizabeth; Cubaynes, Sarah; Davies, Trevor; de Valpine, Perry; Ford, Jessica; Gimenez, Olivier; Kery, Marc; Kim, Eun Jung; Lennert-Cody, Cleridy; Magnusson, Arni; Martell, Steve; Nash, John; Nielsen, Anders; Regetz, Jim; Skaug, Hans; Zipkin, Elise</t>
  </si>
  <si>
    <t>Strategies for fitting nonlinear ecological models in R, AD Model Builder, and BUGS</t>
  </si>
  <si>
    <t>METHODS IN ECOLOGY AND EVOLUTION</t>
  </si>
  <si>
    <t>JAGS; optimization; parameter estimation; R; AD Model Builder; WinBUGS</t>
  </si>
  <si>
    <t>HIERARCHICAL-MODELS; DATA CLONING; LIKELIHOOD; INFERENCE; COMPLEXITY; DYNAMICS</t>
  </si>
  <si>
    <t>Ecologists often use nonlinear fitting techniques to estimate the parameters of complex ecological models, with attendant frustration. This paper compares three open-source model fitting tools and discusses general strategies for defining and fitting models. R is convenient and (relatively) easy to learn, AD Model Builder is fast and robust but comes with a steep learning curve, while BUGS provides the greatest flexibility at the price of speed. Our model-fitting suggestions range from general cultural advice (where possible, use the tools and models that are most common in your subfield) to specific suggestions about how to change the mathematical description of models to make them more amenable to parameter estimation. A companion web site (https://groups.nceas.ucsb.edu/nonlinear-modeling/projects) presents detailed examples of application of the three tools to a variety of typical ecological estimation problems; each example links both to a detailed project report and to full source code and data.</t>
  </si>
  <si>
    <t>[Bolker, Benjamin M.] McMaster Univ, Dept Math &amp; Stat, Hamilton, ON L8S 4K1, Canada; [Bolker, Benjamin M.] McMaster Univ, Dept Biol, Hamilton, ON L8S 4K1, Canada; [Gardner, Beth; Zipkin, Elise] USGS, Patuxent Wildlife Res Ctr, Laurel, MD USA; [Maunder, Mark; Lennert-Cody, Cleridy] Interamer Trop Tuna Commiss, La Jolla, CA USA; [Berg, Casper W.; Nielsen, Anders] Tech Univ Denmark, Natl Inst Aquat Resources, Charlottenlund, Denmark; [Brooks, Mollie] Univ Florida, Dept Biol, Gainesville, FL USA; [Comita, Liza; Regetz, Jim] Natl Ctr Ecol Anal &amp; Synth, Santa Barbara, CA USA; [Crone, Elizabeth] Harvard Univ, Harvard Forest, Petersham, MA USA; [Cubaynes, Sarah; Gimenez, Olivier] CNRS, Ctr Ecol Fonct &amp; Evolut, F-34033 Montpellier, France; [Davies, Trevor] Dalhousie Univ, Dept Biol, Halifax, NS, Canada; [de Valpine, Perry] Univ Calif Berkeley, Berkeley, CA 94720 USA; [Ford, Jessica] Univ Tasmania, CSIRO, Inst Marine &amp; Antarctic Studies, Sandy Bay, Tas, Australia; [Kery, Marc] Swiss Ornithol Inst, Sempach, Switzerland; [Kim, Eun Jung] Univ Hawaii Manoa, Sch Ocean &amp; Earth Sci &amp; Technol, Honolulu, HI USA; [Magnusson, Arni] Marine Res Inst, IS-121 Reykjavik, Iceland; [Martell, Steve] Univ British Columbia, UBC Fisheries Ctr, Vancouver, BC V5Z 1M9, Canada; [Nash, John] Univ Ottawa, Telfer Sch Management, Ottawa, ON, Canada; [Skaug, Hans] Univ Bergen, Dept Math, N-5007 Bergen, Norway</t>
  </si>
  <si>
    <t>McMaster University; McMaster University; United States Department of the Interior; United States Geological Survey; Technical University of Denmark; State University System of Florida; University of Florida; National Center for Ecological Analysis &amp; Synthesis; Harvard University; Universite PSL; Ecole Pratique des Hautes Etudes (EPHE); Institut Agro; Montpellier SupAgro; CIRAD; Centre National de la Recherche Scientifique (CNRS); Institut de Recherche pour le Developpement (IRD); Universite Paul-Valery; Universite de Montpellier; Dalhousie University; University of California System; University of California Berkeley; University of Tasmania; Commonwealth Scientific &amp; Industrial Research Organisation (CSIRO); Swiss Ornithological Institute; University of Hawaii System; University of Hawaii Manoa; Marine &amp; Freshwater Research Institute (MFRI); University of British Columbia; University of Ottawa; University of Bergen</t>
  </si>
  <si>
    <t>Bolker, BM (corresponding author), McMaster Univ, Dept Math &amp; Stat, 1280 King St W, Hamilton, ON L8S 4K1, Canada.</t>
  </si>
  <si>
    <t>bolker@mcmaster.ca</t>
  </si>
  <si>
    <t>Crone, Elizabeth/JGM-7360-2023; Crone, Elizabeth E/C-3935-2009; Magnusson, Arni/ABC-6605-2020; de Valpine, Perry/KBQ-9849-2024; Gimenez, Olivier/G-4281-2010; Cubaynes, Sarah/JOK-5811-2023; Brooks, Mollie Elizabeth/AAM-5509-2021; Nielsen, Anders/I-2536-2016</t>
  </si>
  <si>
    <t>Magnusson, Arni/0000-0003-2769-6741; Brooks, Mollie Elizabeth/0000-0001-6963-8326; de Valpine, Perry/0000-0002-8329-6796; Nash, John/0000-0002-2762-8039; Nielsen, Anders/0000-0001-9683-9262; Comita, Liza/0000-0002-9169-1331; Gimenez, Olivier/0000-0001-7001-5142; Bolker, Benjamin/0000-0002-2127-0443; Maunder, Mark/0000-0003-1351-4011; Zipkin, Elise/0000-0003-4155-6139; Berg, Casper/0000-0002-3812-5269</t>
  </si>
  <si>
    <t>National Center for Ecological Analysis and Synthesis; NSERC; Division Of Environmental Biology; Direct For Biological Sciences [1020889] Funding Source: National Science Foundation</t>
  </si>
  <si>
    <t>National Center for Ecological Analysis and Synthesis; NSERC(Natural Sciences and Engineering Research Council of Canada (NSERC)); Division Of Environmental Biology; Direct For Biological Sciences(National Science Foundation (NSF)NSF - Directorate for Biological Sciences (BIO))</t>
  </si>
  <si>
    <t>The National Center for Ecological Analysis and Synthesis supported this work. B.M.B. was further supported by an NSERC Discovery Grant. Any use of trade, product or firm names is for descriptive purposes only and does not imply endorsement by the US Government.</t>
  </si>
  <si>
    <t>2041-210X</t>
  </si>
  <si>
    <t>2041-2096</t>
  </si>
  <si>
    <t>METHODS ECOL EVOL</t>
  </si>
  <si>
    <t>Methods Ecol. Evol.</t>
  </si>
  <si>
    <t>10.1111/2041-210X.12044</t>
  </si>
  <si>
    <t>160KA</t>
  </si>
  <si>
    <t>WOS:000320117200001</t>
  </si>
  <si>
    <t>Cox, MJ; Borchers, DL; Kelly, N</t>
  </si>
  <si>
    <t>Cox, Martin J.; Borchers, David L.; Kelly, Natalie</t>
  </si>
  <si>
    <t>nupoint: An R package for density estimation from point transects in the presence of nonuniform animal density</t>
  </si>
  <si>
    <t>Point transect; distance sampling; nonuniform distribution; road survey; shore survey; density gradient</t>
  </si>
  <si>
    <t>The R package nupoint provides tools for estimating animal density from point transect surveys in which the conventional point transect assumption of uniform animal distribution in the vicinity of the point is violated. It includes tools for plotting, model selection, goodness-of-fit testing and simulation. This paper describes the main features of the package and illustrates its use by application to two different kinds of survey dataset.</t>
  </si>
  <si>
    <t>[Cox, Martin J.] Australian Antarctic Div, Kingston, Tas 7050, Australia; [Borchers, David L.] Univ St Andrews, Ctr Res Environm &amp; Ecol Modelling, St Andrews KY16 9LZ, Fife, Scotland; [Kelly, Natalie] CSIRO Math Informat &amp; Stat &amp; Wealth Oceans Nat Re, Hobart, Tas 7000, Australia; [Kelly, Natalie] Australian Antarctic Div, Australian Marine Mammal Ctr, Kingston, Tas 7050, Australia</t>
  </si>
  <si>
    <t>Australian Antarctic Division; University of St Andrews; Commonwealth Scientific &amp; Industrial Research Organisation (CSIRO); Australian Antarctic Division</t>
  </si>
  <si>
    <t>Cox, MJ (corresponding author), Australian Antarctic Div, Channel Highway, Kingston, Tas 7050, Australia.</t>
  </si>
  <si>
    <t>martin.cox@aad.gov.au</t>
  </si>
  <si>
    <t>Kelly, Natalie/B-3481-2010; , David/X-5730-2019</t>
  </si>
  <si>
    <t>Borchers, David/0000-0002-3944-0754; Kelly, Nat/0000-0002-9664-354X</t>
  </si>
  <si>
    <t>Woods Hole Oceanographic Institution (WHOI); Department of the Environment of the Canary Islands through Ministry of Defence; Department of the Environment of the Government of Spain, through the national project CETOBAPH; NSF [06-OPP-33939]; Sea Technology Services; Royal Society; Australian Research Council [FS110200057]; Australian Research Council [FS110200057] Funding Source: Australian Research Council</t>
  </si>
  <si>
    <t>Woods Hole Oceanographic Institution (WHOI); Department of the Environment of the Canary Islands through Ministry of Defence; Department of the Environment of the Government of Spain, through the national project CETOBAPH; NSF(National Science Foundation (NSF)); Sea Technology Services; Royal Society(Royal Society); Australian Research Council(Australian Research Council); Australian Research Council(Australian Research Council)</t>
  </si>
  <si>
    <t>The beaked whale data presented in this package were collected by the University of La Laguna (ULL) with funding from 2003 to 2010, of the Woods Hole Oceanographic Institution (WHOI). In 2004, the studies were co-funded by the Department of the Environment of the Canary Islands, through an agreement made with the Ministry of Defence, and in 2010, by the Department of the Environment of the Government of Spain, through the national project CETOBAPH. These data cannot be used for analysis, databases or to be published in scientific journals, without the prior consent of the University of La Laguna (contacts naguilar@ull.es, arranz@ull.es). Multibeam instrument was loaned by J. Condiotty of Simrad USA. Multibeam data were collected in association with an NSF-funded (grant #06-OPP-33939) investigation of the Livingston Island nearshore environment. Logistical support was provided by US Antarctic Marine Living Resources Program, and engineering design and support by Sea Technology Services. The multibeam instrument was deployed using funds provided by the Royal Society. MJC is funded by Australian Research Council grant FS110200057. We are grateful to Francois Aucoin for allowing us to use the functions mle and distr from the FAmle package.</t>
  </si>
  <si>
    <t>10.1111/2041-210X.12058</t>
  </si>
  <si>
    <t>WOS:000320117200011</t>
  </si>
  <si>
    <t>Moffat-Griffin, T; Lester, M; Freeman, M</t>
  </si>
  <si>
    <t>Moffat-Griffin, Tracy; Lester, Mark; Freeman, Mervyn</t>
  </si>
  <si>
    <t>From atmosphere to space: a new scientific frontier</t>
  </si>
  <si>
    <t>[Moffat-Griffin, Tracy; Freeman, Mervyn] British Antarctic Survey, Cambridge, England; [Lester, Mark] Univ Leicester, Leicester LE1 7RH, Leics, England</t>
  </si>
  <si>
    <t>UK Research &amp; Innovation (UKRI); Natural Environment Research Council (NERC); NERC British Antarctic Survey; University of Leicester</t>
  </si>
  <si>
    <t>Moffat-Griffin, T (corresponding author), British Antarctic Survey, Cambridge, England.</t>
  </si>
  <si>
    <t>Lester, Mark/C-9657-2016</t>
  </si>
  <si>
    <t>156TL</t>
  </si>
  <si>
    <t>WOS:000319846700020</t>
  </si>
  <si>
    <t>Brunn, B; Nitschke, A; Schramm, T</t>
  </si>
  <si>
    <t>Brunn, Benjamin; Nitschke, Andreas; Schramm, Thomas</t>
  </si>
  <si>
    <t>New Indian Research Station at Larsemann Hills, Antarctica</t>
  </si>
  <si>
    <t>BAUTECHNIK</t>
  </si>
  <si>
    <t>German</t>
  </si>
  <si>
    <t>Research Station; Antarctica; India; General Planning; ContainerBuilding; Architecture</t>
  </si>
  <si>
    <t>The first challenge of this extraordinary project was the integration of all involved parties: The Indian client, the Norwegian and German construction companies and the authors as general planners and site supervisors being head of a team with two sub-consultants for architecture and building services. The second challenge was Antarctica. Planning bases usually taken from standards had to be ascertained, e. g. wind loads, snow and ice conditions. All materials needed to be suitable for Antarctic climate conditions. A third challenge was the logistics. All components had to fit into 20-foot containers, which in turn required being light enough for helicopter transport. The time frame for construction during the Antarctic summer is short. All boundary conditions are reflected in the building; form and material are suited for the location, climate and logistics. The three-storey container building, which is 52 m long and 30 m wide, can accommodate 47 people and contains laboratories, a garage, workshop, living and office areas, a cinema, fitness room, library, dining hall and lounge with a view of the ocean. The Indian government initiated this state-of-the-art project, which was successfully completed through the co-operation of international participants with passion, faith and respect for each other and nature.</t>
  </si>
  <si>
    <t>[Brunn, Benjamin; Nitschke, Andreas; Schramm, Thomas] IMS Ingn Gesell MbH, D-20097 Hamburg, Germany</t>
  </si>
  <si>
    <t>Brunn, B (corresponding author), IMS Ingn Gesell MbH, Stadtdeich 7, D-20097 Hamburg, Germany.</t>
  </si>
  <si>
    <t>info@ims-ing.de</t>
  </si>
  <si>
    <t>ERNST &amp; SOHN</t>
  </si>
  <si>
    <t>ROTHERSTRASSE 21, BERLIN, DEUTSCHLAND 10245, GERMANY</t>
  </si>
  <si>
    <t>0932-8351</t>
  </si>
  <si>
    <t>1437-0999</t>
  </si>
  <si>
    <t>Bautechnik</t>
  </si>
  <si>
    <t>10.1002/bate.201300006</t>
  </si>
  <si>
    <t>Engineering, Civil</t>
  </si>
  <si>
    <t>Engineering</t>
  </si>
  <si>
    <t>156MF</t>
  </si>
  <si>
    <t>WOS:000319825600003</t>
  </si>
  <si>
    <t>Anisimov, O; Kokorev, V; Zhil'tsova, Y</t>
  </si>
  <si>
    <t>Anisimov, Oleg; Kokorev, Vasily; Zhil'tsova, Yelena</t>
  </si>
  <si>
    <t>Temporal and spatial patterns of modern climatic warming: case study of Northern Eurasia</t>
  </si>
  <si>
    <t>SEAMLESS PREDICTION; CALIBRATION</t>
  </si>
  <si>
    <t>Century-scale near-surface air temperature data from 744 weather stations in Russia and neighboring countries indicate that the temperature variations have distinct temporal patterns. Two periods, near the beginning and at the end of the 20th century, experienced the largest warming rates. Temperature changes in both periods were not uniform in time or space. We used statistical criteria and applied them to data at the weather stations to define a tipping point corresponding to the beginning of the modern climatic period. Results indicate that the position of this point depends on location, and in most cases falls into the interval from the early 1970s through the late 1980s. By means of spatial correlation analysis we delineated regions with coherent air temperature changes and calculated the region-specific rates and magnitudes of changes. We compared the distribution of regional tipping points in time and over space with large-scale atmospheric circulation patterns over northern Eurasia. We analyzed the 20th-early 21st century changes in the relative frequencies of the three circulation forms defined by Vangengheim-Girs classification, and found their qualitative correspondence with the spatial temperature patterns and spread of the tipping points in time. These results improve our knowledge about the regional structure and drivers of modern climate change in northern Eurasia, which is likely to hold the fingerprint of the anthropogenic signal. Findings of this study can be used to obtain insight into regional climatic changes in northern Eurasia over the next few decades.</t>
  </si>
  <si>
    <t>[Anisimov, Oleg; Kokorev, Vasily; Zhil'tsova, Yelena] State Hydrol Inst, Dept Climatol, St Petersburg 199053, Russia</t>
  </si>
  <si>
    <t>Anisimov, O (corresponding author), State Hydrol Inst, Dept Climatol, 2nd Line VO 23, St Petersburg 199053, Russia.</t>
  </si>
  <si>
    <t>oleg@oa7661.spb.edu</t>
  </si>
  <si>
    <t>Anisimov, Oleg/D-8052-2017</t>
  </si>
  <si>
    <t>Kokorev, Vasily/0000-0001-7628-3674; Anisimov, Oleg/0000-0002-9515-4576</t>
  </si>
  <si>
    <t>Russian Foundation for Basic Research [11-05-12011]; German-Russian Otto-Schmidt Laboratory [OSL-12-02]</t>
  </si>
  <si>
    <t>Russian Foundation for Basic Research(Russian Foundation for Basic Research (RFBR)Spanish Government); German-Russian Otto-Schmidt Laboratory</t>
  </si>
  <si>
    <t>This study was supported by the Russian Foundation for Basic Research, grant 11-05-12011, and by the German-Russian Otto-Schmidt Laboratory for polar and marine research, project OSL-12-02. Authors are thankful to Dr. Valerij Beljazo of the Arctic and Antarctic research institute in St.Petersburg for providing unpublished daily records of the circulation forms. The authors are grateful to Professor Frederick Nelson for editing the manuscript. We are thankful to anonymous reviewers for their thoughtful comments.</t>
  </si>
  <si>
    <t>10.1007/s10584-013-0697-4</t>
  </si>
  <si>
    <t>150VB</t>
  </si>
  <si>
    <t>WOS:000319418300028</t>
  </si>
  <si>
    <t>Hemer, MA; McInnes, KL; Ranasinghe, R</t>
  </si>
  <si>
    <t>Hemer, M. A.; McInnes, K. L.; Ranasinghe, R.</t>
  </si>
  <si>
    <t>Projections of climate change-driven variations in the offshore wave climate off south eastern Australia</t>
  </si>
  <si>
    <t>ocean waves; climate change; eastern Australia</t>
  </si>
  <si>
    <t>STORM-SURGE CLIMATE; COASTAL REGIONS; FUTURE WIND; MODEL; SEA; VARIABILITY; OSCILLATION; SIMULATION; FREQUENCY; IMPACT</t>
  </si>
  <si>
    <t>This study presents an analysis of the wind-wave climate on the south-east Australian continental margin and its potential changes under the effects of projected climate change. The wind-wave climate is modelled for three 20 year time-slices (1981-2000, 2031-2051, and 2081-2100) using a dynamical wave modelling approach in which the WaveWatch III spectral wave model, with a nested domain SWAN model, is the region of interest. Surface wind forcing is obtained from an ensemble of three global climate model runs (CSIRO Mk3.5, GFDLcm2.0, and GFDLcm2.1) dynamically downscaled using CSIRO's Cubic conformal atmospheric model (CCAM), under two greenhouse gas emission scenarios (a high emission SRES A2 and low emission SRES B1 scenario). A third level of uncertainty associated with adjusting climate model derived winds for climate and variability bias is found to be the largest source of uncertainty among the limited range of sources considered in the twenty-eight 20 year wave model simulations undertaken herein. The ensemble of wave model runs for the 2081-2100 time-slice project a robust decrease in mean significant wave height along the south-east Australian coast relative to present (1981-2000) conditions. The magnitude of projected change in mean annual significant wave height is less than 0.2 m, with larger values in the north of the region of interest, and is associated with a projected decrease in storm wave energy in the region. An anticlockwise rotation in mean wave direction of approximately 5 degrees is also projected over the same period. Copyright (c) 2012 Royal Meteorological Society</t>
  </si>
  <si>
    <t>[Hemer, M. A.; McInnes, K. L.] CSIRO CMAR CAWCR, Hobart, Tas 7000, Australia; [Ranasinghe, R.] UNESCO IHE, Delft, Netherlands; [Ranasinghe, R.] Delft Univ Technol, Delft, Netherlands</t>
  </si>
  <si>
    <t>Commonwealth Scientific &amp; Industrial Research Organisation (CSIRO); IHE Delft Institute for Water Education; Delft University of Technology</t>
  </si>
  <si>
    <t>Hemer, MA (corresponding author), CSIRO CMAR CAWCR, GPO Box 1538, Hobart, Tas 7000, Australia.</t>
  </si>
  <si>
    <t>mark.hemer@csiro.au</t>
  </si>
  <si>
    <t>Ranasinghe, Roshanka/C-6711-2009; McInnes, Kathleen/A-7787-2012; Hemer, Mark/M-1905-2013</t>
  </si>
  <si>
    <t>Ranasinghe, Roshanka/0000-0001-6234-2063; McInnes, Kathleen/0000-0002-1810-7215; Hemer, Mark/0000-0002-7725-3474</t>
  </si>
  <si>
    <t>Australian Government Department of Climate Change; Australian Government</t>
  </si>
  <si>
    <t>Australian Government Department of Climate Change(Australian Government); Australian Government(Australian Government)</t>
  </si>
  <si>
    <t>This research is a contribution from the Climate Variability and Change Program of the Centre for Australian Weather and Climate Research: A Partnership between the CSIRO and the Bureau of Meteorology and the CSIRO Climate Adaptation Flagship. The project is supported by research funds from the Australian Government Department of Climate Change. The NSW State Government Department of Environment and Climate Change provided in-kind support to this project. The surface wind projections were made available by the Antarctic Climate and Ecosystems Co-operative Research Centre's Climate Futures for Tasmania project, which was supported by the Australian Government through the Commonwealth Environmental Research Fund. We thank Jack Katzfey for useful discussions and comments, and an anonymous reviewer for their comments on an earlier version of this manuscript.</t>
  </si>
  <si>
    <t>1097-0088</t>
  </si>
  <si>
    <t>10.1002/joc.3537</t>
  </si>
  <si>
    <t>157NC</t>
  </si>
  <si>
    <t>WOS:000319902800003</t>
  </si>
  <si>
    <t>Flatau, M; Kim, YJ</t>
  </si>
  <si>
    <t>Flatau, Maria; Kim, Young-Joon</t>
  </si>
  <si>
    <t>Interaction between the MJO and Polar Circulations</t>
  </si>
  <si>
    <t>MADDEN-JULIAN OSCILLATION; ANTARCTIC OSCILLATION; ARCTIC OSCILLATION; ANNULAR MODES; PART I; SIGNATURE</t>
  </si>
  <si>
    <t>A tropical-polar connection and its seasonal dependence are examined using the real-time multivariate Madden-Julian oscillation (MJO) (RMM) index and daily indices for the annular modes, the Arctic Oscillation (AO) and the Antarctic Oscillation (AAO). On the intraseasonal time scale, the MJO appears to force the annular modes in both hemispheres. On this scale, during the cold season, the convection in the Indian Ocean precedes the increase of the AO/AAO. Interestingly, during the boreal winter (Southern Hemisphere warm season), strong MJOs in the Indian Ocean are related to a decrease of the AAO index, and AO/AAO tendencies are out of phase. On the longer time scales, a persistent AO/AAO anomaly appears to influence the convection in the tropical belt and impact the distribution of MJO-preferred phases. It is shown that this may be a result of the sea surface temperature (SST) changes related to a persistent AO, with cooling over the Indian Ocean and warming over Indonesia. In the Southern Hemisphere, the SST anomalies are to some extent also related to a persistent AAO pattern, but this relationship is much weaker and appears only during the Southern Hemisphere cold season. On the basis of these results, a mechanism involving the air-sea interaction in the tropics is suggested as a possible link between persistent AO and convective activity in the Indian Ocean and western Pacific.</t>
  </si>
  <si>
    <t>[Flatau, Maria; Kim, Young-Joon] USN, Marine Meteorol Div, Res Lab, Monterey, CA 93943 USA</t>
  </si>
  <si>
    <t>United States Department of Defense; United States Navy; Naval Research Laboratory</t>
  </si>
  <si>
    <t>Flatau, M (corresponding author), USN, Marine Meteorol Div, Res Lab, 7 Grace Hopper Ave, Monterey, CA 93943 USA.</t>
  </si>
  <si>
    <t>maria.flatau@nrlmry.navy.mil</t>
  </si>
  <si>
    <t>Office of Naval Research [0601153N]</t>
  </si>
  <si>
    <t>Office of Naval Research(Office of Naval Research)</t>
  </si>
  <si>
    <t>The authors appreciate the support by the Office of Naval Research under Program Element 0601153N. The authors are grateful to the anonymous reviewers for the insightful and extensive comments that contributed to improvement of the manuscript. They would like to thank Piotr J. Flatau for his suggestions and help.</t>
  </si>
  <si>
    <t>10.1175/JCLI-D-11-00508.1</t>
  </si>
  <si>
    <t>155HT</t>
  </si>
  <si>
    <t>WOS:000319739300005</t>
  </si>
  <si>
    <t>Simpson, IR; Hitchcock, P; Shepherd, TG; Scinocca, JF</t>
  </si>
  <si>
    <t>Simpson, Isla R.; Hitchcock, Peter; Shepherd, Theodore G.; Scinocca, John F.</t>
  </si>
  <si>
    <t>Southern Annular Mode Dynamics in Observations and Models. Part I: The Influence of Climatological Zonal Wind Biases in a Comprehensive GCM</t>
  </si>
  <si>
    <t>EDDY FEEDBACK; FLOW FEEDBACK; TIME-SCALE; VARIABILITY; CIRCULATION; MECHANISM</t>
  </si>
  <si>
    <t>A common bias among global climate models (GCMs) is that they exhibit tropospheric southern annular mode (SAM) variability that is much too persistent in the Southern Hemisphere (SH) summertime. This is of concern for the ability to accurately predict future SH circulation changes, so it is important that it be understood and alleviated. In this two-part study, specifically targeted experiments with the Canadian Middle Atmosphere Model (CMAM) are used to improve understanding of the enhanced summertime SAM persistence. Given the ubiquity of this bias among comprehensive GCMs, it is likely that the results will be relevant for other climate models. Here, in Part I, the influence of climatological circulation biases on SAM variability is assessed, with a particular focus on two common biases that could enhance summertime SAM persistence: the too-late breakdown of the Antarctic stratospheric vortex and the equatorward bias in the SH tropospheric midlatitude jet. Four simulations are used to investigate the role of each of these biases in CMAM. Nudging and bias correcting procedures are used to systematically remove zonal-mean stratospheric variability and/or remove climatological zonal wind biases. The SAM time-scale bias is not alleviated by improving either the timing of the stratospheric vortex breakdown or the climatological jet structure. Even in the absence of stratospheric variability and with an improved climatological circulation, the model time scales are biased long. This points toward a bias in internal tropospheric dynamics that is not caused by the tropospheric jet structure bias. The underlying cause of this is examined in more detail in Part II of this study.</t>
  </si>
  <si>
    <t>[Simpson, Isla R.; Hitchcock, Peter; Shepherd, Theodore G.] Univ Toronto, Dept Phys, Toronto, ON, Canada; [Shepherd, Theodore G.] Univ Reading, Dept Meteorol, Reading, Berks, England; [Scinocca, John F.] Environm Canada, Canadian Ctr Climate Modelling &amp; Anal, Victoria, BC, Canada</t>
  </si>
  <si>
    <t>University of Toronto; University of Reading; Environment &amp; Climate Change Canada; Canadian Centre for Climate Modelling &amp; Analysis (CCCma)</t>
  </si>
  <si>
    <t>Simpson, IR (corresponding author), Columbia Univ, Lamont Doherty Geol Observ, Dept Ocean &amp; Climate Phys, POB 100,Route 9W, Palisades, NY 10964 USA.</t>
  </si>
  <si>
    <t>isla@ldeo.columbia.edu</t>
  </si>
  <si>
    <t>Simpson, Isla/AAI-7589-2020; Hitchcock, Peter/JLK-8563-2023; , John/IQU-7911-2023</t>
  </si>
  <si>
    <t>Hitchcock, Peter/0000-0001-8993-3808;</t>
  </si>
  <si>
    <t>Natural Sciences and Engineering Research Council of Canada and Environment Canada</t>
  </si>
  <si>
    <t>This work was funded by the Natural Sciences and Engineering Research Council of Canada and Environment Canada. Computing resources were provided by Environment Canada. We are grateful to Joe Kidston for providing the data from the KG2010 study used in Fig. 7. We are also grateful to Michael Sigmond for making his data for the BC simulation available for this study and to Slava Kharin for providing technical assistance in the setup of the bias correction. We are also grateful to Charles McLandress, John Fyfe, and four anonymous reviewers for helpful comments on this manuscript.</t>
  </si>
  <si>
    <t>10.1175/JCLI-D-12-00348.1</t>
  </si>
  <si>
    <t>Green Accepted, Bronze, Green Submitted</t>
  </si>
  <si>
    <t>WOS:000319739300028</t>
  </si>
  <si>
    <t>Mazloff, MR; Ferrari, R; Schneider, T</t>
  </si>
  <si>
    <t>Mazloff, Matthew R.; Ferrari, Raffaele; Schneider, Tapio</t>
  </si>
  <si>
    <t>The Force Balance of the Southern Ocean Meridional Overturning Circulation</t>
  </si>
  <si>
    <t>ZONAL MOMENTUM BALANCE; EULERIAN-MEAN THEORY; MASS-TRANSPORT; PART II; MODEL; EDDIES; THERMOCLINE; DYNAMICS; BASIN</t>
  </si>
  <si>
    <t>The Southern Ocean (SO) limb of the meridional overturning circulation (MOC) is characterized by three vertically stacked cells, each with a transport of about 10 Sv (Sv = 10(6) m(3) s(-1)). The buoyancy transport in the SO is dominated by the upper and middle MOC cells, with the middle cell accounting for most of the buoyancy transport across the Antarctic Circumpolar Current. A Southern Ocean state estimate for the years 2005 and 2006 with 1/6 degrees resolution is used to determine the forces balancing this MOC. Diagnosing the zonal momentum budget in density space allows an exact determination of the adiabatic and diapycnal components balancing the thickness-weighted (residual) meridional transport. It is found that, to lowest order, the transport consists of an eddy component, a directly wind-driven component, and a component in balance with mean pressure gradients. Nonvanishing time-mean pressure gradients arise because isopycnal layers intersect topography or the surface in a circumpolar integral, leading to a largely geostrophic MOC even in the latitude band of Drake Passage. It is the geostrophic water mass transport in the surface layer where isopycnals outcrop that accomplishes the poleward buoyancy transport.</t>
  </si>
  <si>
    <t>[Mazloff, Matthew R.] Univ Calif San Diego, Scripps Inst Oceanog, La Jolla, CA 92093 USA; [Ferrari, Raffaele] MIT, Cambridge, MA 02139 USA; [Schneider, Tapio] CALTECH, Pasadena, CA 91125 USA</t>
  </si>
  <si>
    <t>University of California System; University of California San Diego; Scripps Institution of Oceanography; Massachusetts Institute of Technology (MIT); California Institute of Technology</t>
  </si>
  <si>
    <t>Mazloff, MR (corresponding author), Univ Calif San Diego, Scripps Inst Oceanog, Mail Code 0230,9500 Gilman Dr, La Jolla, CA 92093 USA.</t>
  </si>
  <si>
    <t>mmazloff@ucsd.edu</t>
  </si>
  <si>
    <t>Mazloff, Matthew/AAG-6463-2019; Ferrari, Raffaele/C-9337-2013; Schneider, Tapio/A-7038-2014</t>
  </si>
  <si>
    <t>Mazloff, Matthew/0000-0002-1650-5850; Ferrari, Raffaele/0000-0002-3736-1956; Schneider, Tapio/0000-0001-5687-2287</t>
  </si>
  <si>
    <t>National Science Foundation (NSF) [OCE-1233832, OCE-1234473, OPP-0961218]; National Science Foundation [MCA06N007]; Directorate For Geosciences; Division Of Ocean Sciences [1233832, 0825376] Funding Source: National Science Foundation; Directorate For Geosciences; Office of Polar Programs (OPP) [0961218] Funding Source: National Science Foundation; Division Of Ocean Sciences; Directorate For Geosciences [1234473] Funding Source: National Science Foundation</t>
  </si>
  <si>
    <t>National Science Foundation (NSF)(National Science Foundation (NSF)); 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t>
  </si>
  <si>
    <t>We acknowledge the National Science Foundation (NSF) for support of this research through Grants OCE-1233832, OCE-1234473, and OPP-0961218. SOSE was produced using the Extreme Science and Engineering Discovery Environment (XSEDE), which is supported by National Science Foundation Grant MCA06N007.</t>
  </si>
  <si>
    <t>10.1175/JPO-D-12-069.1</t>
  </si>
  <si>
    <t>161AN</t>
  </si>
  <si>
    <t>WOS:000320162300007</t>
  </si>
  <si>
    <t>Chilvers, BL; Childerhouse, SJ; Gales, NJ</t>
  </si>
  <si>
    <t>Chilvers, B. L.; Childerhouse, S. J.; Gales, N. J.</t>
  </si>
  <si>
    <t>Winter foraging behaviour of lactating New Zealand sea lions (Phocarctos hookeri)</t>
  </si>
  <si>
    <t>NEW ZEALAND JOURNAL OF MARINE AND FRESHWATER RESEARCH</t>
  </si>
  <si>
    <t>Otariidae; Phocarctos hookeri; foraging locations; winter; fisheries interactions</t>
  </si>
  <si>
    <t>AUCKLAND ISLANDS; DIVING BEHAVIOR; PUP PRODUCTION; HOME-RANGE; FEMALE; STRATEGIES; HABITAT; DIET</t>
  </si>
  <si>
    <t>The overlap and conflict between marine mammals and fisheries is widespread and increasing globally. This study used satellite telemetry to examine the foraging patterns of lactating female New Zealand (NZ) sea lions Phocarctos hookeri from the Auckland Islands (50 degrees 50S, 166 degrees 28E), over two consecutive austral winters, 1996 and 1997. Overall, all individuals tagged were characterised as benthic foragers and were found to be diving beyond their calculated aerobic dive limits on 65% of all dives. They exhibited preferential use of the continental shelf and its edge, as they do in summer (59% overlap between winter and summer foraging areas). This study confirms that NZ sea lion foraging behaviours and areas are similar between seasons, and within and between years. Female winter foraging areas spatially overlapped by 38% with the operation areas of sub-Antarctic trawl fisheries. These findings are important because: female NZ sea lions show extreme foraging behaviour year round; and overlap with trawl fisheries is likely to occur throughout the entire lactation period of NZ sea lions. These results need to be accounted for in the management of this nationally critical, declining species.</t>
  </si>
  <si>
    <t>[Chilvers, B. L.] Dept Conservat, Wellington, New Zealand; [Childerhouse, S. J.; Gales, N. J.] Australian Antarctic Div, Kingston, Tas, Australia</t>
  </si>
  <si>
    <t>Chilvers, BL (corresponding author), Dept Conservat, Wellington, New Zealand.</t>
  </si>
  <si>
    <t>lchilvers@doc.govt.nz</t>
  </si>
  <si>
    <t>Chilvers, B. Louise/AAV-1965-2021</t>
  </si>
  <si>
    <t>Chilvers, B. Louise/0000-0002-7657-4217</t>
  </si>
  <si>
    <t>New Zealand Department of Conservation (DOC)</t>
  </si>
  <si>
    <t>Data presented in this paper were collected under funding from the New Zealand Department of Conservation (DOC). Approval for all work was obtained from the DOC Animal Ethics Committee (Approvals AEC52 1 Jun 2002). Thanks to I. Debski, S. Cooper, A. Todd and two anonymous reviewers all provided helpful, critical reviews of the manuscript.</t>
  </si>
  <si>
    <t>4 PARK SQUARE, MILTON PARK, ABINGDON OX14 4RN, OXON, ENGLAND</t>
  </si>
  <si>
    <t>0028-8330</t>
  </si>
  <si>
    <t>NEW ZEAL J MAR FRESH</t>
  </si>
  <si>
    <t>N. Z. J. Mar. Freshw. Res.</t>
  </si>
  <si>
    <t>10.1080/00288330.2012.752755</t>
  </si>
  <si>
    <t>159BC</t>
  </si>
  <si>
    <t>WOS:000320018000001</t>
  </si>
  <si>
    <t>Dietz, L; Krapp, F; Hendrickx, ME; Arango, CP; Krabbe, K; Spaak, JM; Leese, F</t>
  </si>
  <si>
    <t>Dietz, Lars; Krapp, Franz; Hendrickx, Michel E.; Arango, Claudia P.; Krabbe, Kathrin; Spaak, Johanna M.; Leese, Florian</t>
  </si>
  <si>
    <t>Evidence from morphological and genetic data confirms that Colossendeis tenera Hilton, 1943 (Arthropoda: Pycnogonida), does not belong to the Colossendeis megalonyx Hoek, 1881 complex</t>
  </si>
  <si>
    <t>ORGANISMS DIVERSITY &amp; EVOLUTION</t>
  </si>
  <si>
    <t>Pycnogonida; Colossendeidae; Colossendeis tenera; Colossendeis megalonyx; Colossendeis angusta; Ovigera; Integrative taxonomy; Biogeography</t>
  </si>
  <si>
    <t>SEA SPIDERS ARTHROPODA; CHARACTERS</t>
  </si>
  <si>
    <t>Within the Pycnogonida, genetic studies have revealed that Colossendeis megalonyx Hoek (Challenger Report, Zoology, 3(X), 1-167, 1881), consists of a complex of several cryptic or overlooked species. Colossendeis megalonyx is a typical Southern Hemisphere species complex distributed primarily on the continental shelves in the Antarctic and Subantarctic. However, a different Colossendeis species with a completely different geographic distribution range, Colossendeis tenera Hilton (Journal of Entomology and Zoology, Pomona College, Claremont, 35(1), 2-4, 1943), was considered a subspecies of Colossendeis megalonyx by Turpaeva (Trudy Instituta Okeanology P. P. Shirshova, Akademy Nauk SSSR, 103, 230-246, 1975). Colossendeis tenera occurs predominantly along the Pacific Coast of North America from the Bering Sea to central California. Prominent differences between these two currently distinct species are found in body proportions and other characters that were interpreted by Turpaeva as a possible case of pedomorphosis induced by deep-sea conditions. In this study, we tested the hypothesis that Colossendeis tenera belongs to the Colossendeis megalonyx complex by analyzing available and novel sequence data (CO1 and H3) of both Colossendeis megalonyx and Colossendeis tenera as well as a similar, apparently closely related species, Colossendeis angusta Sars (Archiv for Mathematik og Naturvidenskab, 2, 237-271, 1877). We compared morphometric data and SEM of the ovigera of these species. Our results clearly indicate that Colossendeis tenera and Colossendeis angusta are not a part of the Colossendeis megalonyx complex. A sister-group relationship of Colossendeis tenera and Colossendeis angusta is strongly supported, but Colossendeis tenera is not clearly resolved as monophyletic with respect to Colossendeis angusta. This work highlights the need for further examination of the variation found in the tenera-angusta clade. It also gives a first hint of the phylogenetic affinities of species within Colossendeis.</t>
  </si>
  <si>
    <t>[Dietz, Lars; Krapp, Franz; Spaak, Johanna M.; Leese, Florian] Ruhr Univ Bochum, Dept Anim Ecol Evolut &amp; Biodivers, D-44801 Bochum, Germany; [Krapp, Franz] Zool Forsch Museum Alexander Koenig, D-53113 Bonn, Germany; [Hendrickx, Michel E.] UNAM, ICML, Lab Invertebrados Benton, Unidad Acad Mazatlan, Mazatlan 82000, Sinaloa, Mexico; [Arango, Claudia P.] Queensland Museum, Nat Environments Program, South Brisbane, Qld 4101, Australia; [Krabbe, Kathrin] Lab Abstammungsbegutachtungen, D-53359 Rheinbach, Germany</t>
  </si>
  <si>
    <t>Ruhr University Bochum; Zoologisches Forschungsmuseum Alexander Koenig (ZFMK); Universidad Nacional Autonoma de Mexico; Queensland Museum</t>
  </si>
  <si>
    <t>Leese, F (corresponding author), Ruhr Univ Bochum, Dept Anim Ecol Evolut &amp; Biodivers, D-44801 Bochum, Germany.</t>
  </si>
  <si>
    <t>florian.leese@rub.de</t>
  </si>
  <si>
    <t>Leese, Florian/D-4277-2012; /A-5531-2008</t>
  </si>
  <si>
    <t>Leese, Florian/0000-0002-5465-913X; van Delden, Johanna Maria/0009-0002-4200-1047; /0000-0003-1098-830X</t>
  </si>
  <si>
    <t>DFG [LE 2323/2, SPP 1158]</t>
  </si>
  <si>
    <t>DFG(German Research Foundation (DFG))</t>
  </si>
  <si>
    <t>We would like to thank Anja Friederichs (Museum fur Naturkunde Berlin) for taking additional photographs of the Mexican C. tenera specimen, Hieronymus Dastych (Zoologisches Museum Universitat Hamburg) for providing the samples of C. angusta, Anna Soler i Membrives for information on the C. angusta sequence data in GenBank, Saskia Brix and the organizers of the ICEAGE cruise for C. angusta, and Meike Seefeldt for the SEM photographs of C. angusta. We also thank Yoshie Takahashi for information on Colossendeis species from Japan. Furthermore, we would like to thank Christoph Held, Christoph Mayer, Markus Gronwald, and Ralph Tollrian for support and helpful discussions, and three anonymous reviewers for comments that were a great help in improving the manuscript. This work was funded by DFG grant LE 2323/2 to FL within the priority programme, SPP 1158.</t>
  </si>
  <si>
    <t>1439-6092</t>
  </si>
  <si>
    <t>1618-1077</t>
  </si>
  <si>
    <t>ORG DIVERS EVOL</t>
  </si>
  <si>
    <t>Org. Divers. Evol.</t>
  </si>
  <si>
    <t>10.1007/s13127-012-0120-4</t>
  </si>
  <si>
    <t>Evolutionary Biology; Zoology</t>
  </si>
  <si>
    <t>151OY</t>
  </si>
  <si>
    <t>WOS:000319471100005</t>
  </si>
  <si>
    <t>Carravieri, A; Bustamante, P; Churlaud, C; Cherel, Y</t>
  </si>
  <si>
    <t>Carravieri, Alice; Bustamante, Paco; Churlaud, Carine; Cherel, Yves</t>
  </si>
  <si>
    <t>Penguins as bioindicators of mercury contamination in the Southern Ocean: Birds from the Kerguelen Islands as a case study</t>
  </si>
  <si>
    <t>SCIENCE OF THE TOTAL ENVIRONMENT</t>
  </si>
  <si>
    <t>Antarctica; Indian Ocean; Seabird; Trace element; Metal; Stable isotopes</t>
  </si>
  <si>
    <t>STABLE-ISOTOPE SIGNATURES; HEAVY-METAL CONCENTRATIONS; APTENODYTES-PATAGONICUS; FORAGING BEHAVIOR; TROPHIC POSITION; DIVING PREDATORS; CATHARACTA-SKUA; GENTOO PENGUIN; CHEMICAL FORM; NEW-BRUNSWICK</t>
  </si>
  <si>
    <t>Seabirds have been used extensively as bioindicators of mercury (Hg) contamination in the marine environment, although information on flightless species like penguins remains limited. In order to assess the use of penguins as bioindicators of Hg contamination in subantarctic and Antarctic marine ecosystems, Hg concentrations were evaluated in the feathers of the four species that breed on the Kerguelen Islands in the southern Indian Ocean. Compared to other seabirds, adult Kerguelen penguins had low to moderate feather Hg concentrations, with an average ranging from 1.96 +/- 0.41 mu g g(-1) dry weight in the southern rockhopper penguin to 5.85 +/- 3.00 mu g g(-1) dry weight in the gentoo penguin. The species was a major determinant of Hg contamination, with feather Hg concentrations being lower in the oceanic species (king and crested penguins) than in the coastal one (gentoo penguin). In all species however, feather Hg concentrations were higher in adults than in chicks, reflecting the different periods of Hg bioaccumulation in the internal tissues of the two age classes. The relationship between adult penguin trophic ecology and Hg burdens was investigated using stable isotopes. Feeding habits (reflected by delta N-15 values) had a greater effect on adult feather Hg concentrations when compared to foraging habitats (reflected by delta C-13 values), indicating Hg biomagnification in Kerguelen neritic and oceanic waters. Dietary preferences were crucial in explaining individual feather Hg concentrations, as highlighted by intra-specific variation in Hg levels of gentoo penguins sampled at two different breeding sites of the archipelago. Penguins appear to reflect Hg bioavailability reliably in their foraging environment and could serve as efficient bioindicators of Hg contamination in the Southern Ocean on different spatial and temporal scales. (C) 2013 Elsevier B.V. All rights reserved.</t>
  </si>
  <si>
    <t>[Carravieri, Alice; Cherel, Yves] CNRS, CEBC, UPR 1934, F-79360 Villiers En Bois, France; [Carravieri, Alice; Bustamante, Paco; Churlaud, Carine] Univ Rochelle, CNRS, UMRi 7266, Littoral Environm &amp; Soc LIENSs, F-17000 La Rochelle, France</t>
  </si>
  <si>
    <t>Centre National de la Recherche Scientifique (CNRS); Centre National de la Recherche Scientifique (CNRS)</t>
  </si>
  <si>
    <t>Carravieri, A (corresponding author), CNRS, CEBC, UPR 1934, BP 14, F-79360 Villiers En Bois, France.</t>
  </si>
  <si>
    <t>carravieri@cebc.cnrs.fr; pbustama@univ-lr.fr</t>
  </si>
  <si>
    <t>Bustamante, Paco/G-5833-2011</t>
  </si>
  <si>
    <t>Bustamante, Paco/0000-0003-3877-9390</t>
  </si>
  <si>
    <t>Poitou-Charentes Region; Agence Nationale de la Recherche; Institut Polaire Francais Paul Emile Victor (IPEV) [109]; Terres Australes et Antarctiques Francaises (TAAF)</t>
  </si>
  <si>
    <t>Poitou-Charentes Region(Region Nouvelle-Aquitaine); Agence Nationale de la Recherche(Agence Nationale de la Recherche (ANR)); Institut Polaire Francais Paul Emile Victor (IPEV); Terres Australes et Antarctiques Francaises (TAAF)</t>
  </si>
  <si>
    <t>The authors thank the numerous fieldworkers who helped with collecting penguin feathers, F. Capoulun for the preparation of feather samples, G. Guillou and P. Richard for running stable isotope analysis and C. Barbraud for helpful suggestions in statistical analyses. The present work was supported financially and logistically by the Poitou-Charentes Region through a PhD grant to AC, and by the Agence Nationale de la Recherche (program POLARTOP, O. Chastel), the Institut Polaire Francais Paul Emile Victor (IPEV, program no. 109, H. Weimerskirch) and the Terres Australes et Antarctiques Francaises (TAAF).</t>
  </si>
  <si>
    <t>0048-9697</t>
  </si>
  <si>
    <t>1879-1026</t>
  </si>
  <si>
    <t>SCI TOTAL ENVIRON</t>
  </si>
  <si>
    <t>Sci. Total Environ.</t>
  </si>
  <si>
    <t>10.1016/j.scitotenv.2013.02.060</t>
  </si>
  <si>
    <t>147PR</t>
  </si>
  <si>
    <t>WOS:000319180000015</t>
  </si>
  <si>
    <t>Vlaev, S; Rusinova-Videva, S; Pavlova, K; Kuncheva, M; Panchev, I; Dobreva, S</t>
  </si>
  <si>
    <t>Vlaev, Serafim; Rusinova-Videva, Sneghana; Pavlova, Konstantsa; Kuncheva, Margarita; Panchev, Ivan; Dobreva, Svoboda</t>
  </si>
  <si>
    <t>Submerged culture process for biomass and exopolysaccharide production by Antarctic yeast: some engineering considerations</t>
  </si>
  <si>
    <t>APPLIED MICROBIOLOGY AND BIOTECHNOLOGY</t>
  </si>
  <si>
    <t>Exopolysaccharides (EPS); Glucomannan Sporobolomyces salmonicolor AL(1); Bioreactor performance characteristics; EPS hydrocolloidal properties</t>
  </si>
  <si>
    <t>OXYGEN-TRANSFER; BACTERIAL EXOPOLYSACCHARIDES; SCALE-UP; RATES; MEDIA; NOV.; ACID</t>
  </si>
  <si>
    <t>Production of biomass and extracellular polysaccharide (EPS) from psychrophilic Sporobolomyces salmonicolor AL(1) in a stirred bioreactor was studied. The aspects of production technical-scale parameters, namely, bioreactor flow field, biomass and EPS production rates, oxygen mass transfer per input power, as well as important product properties, such as rheology and stability of EPS mixtures, were considered. The bioprocess was found to proceed in non-Newtonian flow with consistency coefficient rising typically to 0.03 Pa.s(n) and flow index declining to 0.7. Flow modeling was carried out and showed good homogenization for substrate delivery at agitation rates exceeding 400 rpm. Agitation rates lower than 400 rpm were considered counterproductive due to flow field non-uniformity. The cell density reached 5 g/l and EPS production yield reached 5.5 g/l at production rate 0.057 g EPS/l per hour (0.01 g EPS/g biomass per hour). Oxygen uptake rate and oxygen transfer rate were in the range of 0.5-1.7 mmolO(2)/l per hour and 2-4.7 mmolO(2)/l per hour, respectively. The mass transfer coefficient at reaction conditions was found to be in the range . The bioprocess biological performance was higher at moderate agitation speed and revealed biomass diminution and cell inactivation by increasing impeller revolutions and shear rate. The product EPS was found to introduce shear-thinning behavior in water solutions with apparent viscosity of up to 30 mPa.s and to stabilize 1-2 % oil-in-water emulsions improving their lipophilic properties. The emulsion dispersion index was found to be comparable with the one of Arlacel 165, the emulsifier used in cosmetic. The long-term performance of the complex cream mixtures of the glucomannan prepared in commercial format was found promising for further application.</t>
  </si>
  <si>
    <t>[Vlaev, Serafim] Bulgarian Acad Sci, Inst Chem Engn, BU-1113 Sofia, Bulgaria; [Rusinova-Videva, Sneghana; Pavlova, Konstantsa] Bulgarian Acad Sci, Inst Microbiol, BU-1113 Sofia, Bulgaria; [Kuncheva, Margarita; Panchev, Ivan] Univ Food Technol, Plovdiv 4002, Bulgaria; [Dobreva, Svoboda] Body D Cosmet Co, Plovdiv 4002, Bulgaria</t>
  </si>
  <si>
    <t>University of Chemical Technology &amp; Metallurgy - Bulgaria; Bulgarian Academy of Sciences; Medical University Sofia; Bulgarian Academy of Sciences; University of Food Technology - Bulgaria</t>
  </si>
  <si>
    <t>Vlaev, S (corresponding author), Bulgarian Acad Sci, Inst Chem Engn, Acad G Bonchev Bl 103, BU-1113 Sofia, Bulgaria.</t>
  </si>
  <si>
    <t>mixreac@gmail.com</t>
  </si>
  <si>
    <t>Vlaev, Serafim/0000-0002-3026-1194</t>
  </si>
  <si>
    <t>National Research Fund of Bulgaria [DTK-02/46]</t>
  </si>
  <si>
    <t>National Research Fund of Bulgaria(National Science Fund of Bulgaria)</t>
  </si>
  <si>
    <t>This work was supported by the National Research Fund of Bulgaria via grant DTK-02/46.</t>
  </si>
  <si>
    <t>0175-7598</t>
  </si>
  <si>
    <t>1432-0614</t>
  </si>
  <si>
    <t>APPL MICROBIOL BIOT</t>
  </si>
  <si>
    <t>Appl. Microbiol. Biotechnol.</t>
  </si>
  <si>
    <t>10.1007/s00253-013-4864-3</t>
  </si>
  <si>
    <t>153NP</t>
  </si>
  <si>
    <t>WOS:000319609400011</t>
  </si>
  <si>
    <t>Guan, ZQ; Tian, B; Perfumo, A; Goldfine, H</t>
  </si>
  <si>
    <t>Guan, Ziqiang; Tian, Bing; Perfumo, Amedea; Goldfine, Howard</t>
  </si>
  <si>
    <t>The polar lipids of Clostridium psychrophilum, an anaerobic psychrophile</t>
  </si>
  <si>
    <t>BIOCHIMICA ET BIOPHYSICA ACTA-MOLECULAR AND CELL BIOLOGY OF LIPIDS</t>
  </si>
  <si>
    <t>Phospholipid; Glycolipid; Phosphoglycolipid; Plasmalogen; Mass spectrometry</t>
  </si>
  <si>
    <t>ACHOLEPLASMA-LAIDLAWII; LAKE FRYXELL; MEMBRANE; PHOSPHOLIPIDS; PLASMALOGENS; PROKARYOTES; ANTARCTICA; DIVERSITY; BUTYRICUM; MAT</t>
  </si>
  <si>
    <t>We have examined the polar lipids of Clostridium psychrophilum, a recently characterized psychrophilic Clostridium isolated from an Antarctic microbial mat. Lipids were extracted from cells grown near the optimal growth temperature (+5 degrees C) and at -5 degrees C, and analyzed by two-dimensional thin layer chromatography and liquid chromatography coupled with mass spectrometry. The major phospholipids of this species are: cardiolipin, phosphatidylethanolamine, and phosphatidylglycerol. Phosphatidylserine and lyso-phosphatidylethanolamine were found as minor components. The most abundant glycolipids are a monoglycosyldiradylglycerol (MGDRG) and a diglycosyldiradylglycerol (DGDRG). The latter was only seen in cells grown at -5 degrees C. An ethanolaminephosphate derivative of N-acetylglucosaminyldiradylglycerol was seen in cells grown at -5 degrees C and an ethanolamine-phosphate derivative of MGDRG was found in cells grown at +5 degrees C All lipids were present in both the all acyl and plasmalogen (alk-1'-enyl acyl) forms with the exception of PS and MGDRG, which were predominantly in the diacyl form. The significance of lipid changes at the two growth temperatures is discussed. (C) 2013 Elsevier B.V. All rights reserved.</t>
  </si>
  <si>
    <t>[Guan, Ziqiang] Duke Univ, Med Ctr, Dept Biochem, Durham, NC 27710 USA; [Tian, Bing; Goldfine, Howard] Univ Penn, Dept Microbiol, Perelman Sch Med, Philadelphia, PA 19104 USA; [Tian, Bing] Zhejiang Univ, Inst Nucl Agr Sci, Hangzhou 310029, Zhejiang, Peoples R China; [Perfumo, Amedea] European Space Agcy, TEC QI, NL-2201 AZ Noordwijk, Netherlands</t>
  </si>
  <si>
    <t>Duke University; University of Pennsylvania; Zhejiang University; European Space Agency</t>
  </si>
  <si>
    <t>Goldfine, H (corresponding author), Univ Penn, Dept Microbiol, Perelman Sch Med, Philadelphia, PA 19104 USA.</t>
  </si>
  <si>
    <t>goldfinh@upenn.edu</t>
  </si>
  <si>
    <t>Guan, Ziqiang/AAE-5110-2019; Perfumo, Amedea/AAC-5739-2019; Goldfine, Howard/AAB-8097-2020</t>
  </si>
  <si>
    <t>Perfumo, Amedea/0000-0002-7503-4868</t>
  </si>
  <si>
    <t>National Natural Science Foundation of China [31170079]; program for New Century Excellent Talents in University; NIH [GM-069338]; European Space Agency</t>
  </si>
  <si>
    <t>National Natural Science Foundation of China(National Natural Science Foundation of China (NSFC)); program for New Century Excellent Talents in University(Program for New Century Excellent Talents in University (NCET)); NIH(United States Department of Health &amp; Human ServicesNational Institutes of Health (NIH) - USA); European Space Agency(European Space Agency)</t>
  </si>
  <si>
    <t>B.T. was supported by the grant from the National Natural Science Foundation of China (31170079) and the program for New Century Excellent Talents in University. The mass spectrometry facility in the Department of Biochemistry of the Duke University Medical Center and Z.G. are supported by the LIPID MAPS Large Scale Collaborative Grant number GM-069338 from NIH. A. P. is supported by the Research Fellowship program of the European Space Agency.</t>
  </si>
  <si>
    <t>1388-1981</t>
  </si>
  <si>
    <t>BBA-MOL CELL BIOL L</t>
  </si>
  <si>
    <t>Biochim. Biophys. Acta Mol. Cell Biol. Lipids</t>
  </si>
  <si>
    <t>10.1016/j.bbalip.2013.02.004</t>
  </si>
  <si>
    <t>Biochemistry &amp; Molecular Biology; Biophysics; Cell Biology</t>
  </si>
  <si>
    <t>149HO</t>
  </si>
  <si>
    <t>WOS:000319309800011</t>
  </si>
  <si>
    <t>Cuthbert, RJ; Louw, H; Lurling, J; Parker, G; Rexer-Huber, K; Sommer, E; Visser, P; Ryan, PG</t>
  </si>
  <si>
    <t>Cuthbert, Richard J.; Louw, Henk; Lurling, Jeroen; Parker, Graham; Rexer-Huber, Kalinka; Sommer, Erica; Visser, Paul; Ryan, Peter G.</t>
  </si>
  <si>
    <t>Low burrow occupancy and breeding success of burrowing petrels at Gough Island: a consequence of mouse predation</t>
  </si>
  <si>
    <t>BIRD CONSERVATION INTERNATIONAL</t>
  </si>
  <si>
    <t>POPULATION-SIZE; HOUSE MICE; BIOLOGY; PUFFINUS; BIRDS; CONSERVATION</t>
  </si>
  <si>
    <t>The predatory behaviour of introduced house mice Mus musculus at Gough Island is known to impact on albatross and petrels, resulting in the Tristan Albatross Diomedea dabbenena and Atlantic Petrel Pterodroma incerta being listed as Critically Endangered and Endangered, respectively. Although predation has been documented for two burrowing petrels and one albatross species, the impact of house mice on other burrowing petrels on Gough Island is unknown. We report burrow occupancy and breeding success of Atlantic Petrels, Soft-plumaged Petrels Pterodroma mollis, Broad-billed Prions Pachyptila vittata, Grey Petrels Procellaria cinerea and Great Shearwaters Puffinus gravis. With the exception of the Great Shearwater, breeding parameters of burrowing petrels at Gough Island were very poor, with low burrow occupancy (range 4-42%) and low breeding success (0-44%) for four species, and high rates of chick mortality in Atlantic Petrel burrows. Breeding success decreased with mass, suggesting that smaller species are hardest hit, and winter-breeding species had lower breeding success than summer breeders. The results indicate that introduced house mice are having a detrimental impact on a wider range of species than previously recorded and are likely to be causing population declines among most burrowing petrels on Gough Island. The very low values of burrow occupancy recorded for Soft-plumaged Petrels and Broad-billed Prions and greatly reduced abundance of burrowing petrels in comparison to earlier decades indicate that Gough Island's formerly abundant petrel populations are greatly threatened by the impact of predatory house mice which can only be halted by the eradication of this species from the island.</t>
  </si>
  <si>
    <t>[Cuthbert, Richard J.; Louw, Henk; Lurling, Jeroen; Parker, Graham; Rexer-Huber, Kalinka; Visser, Paul] Royal Soc Protect Birds, Sandy SG19 2DL, Beds, England; [Ryan, Peter G.] Univ Stellenbosch, Fac Sci, DST NRF Ctr Excellence Invas Biol, ZA-7602 Matieland, South Africa</t>
  </si>
  <si>
    <t>Royal Society for Protection of Birds; Stellenbosch University; National Research Foundation - South Africa</t>
  </si>
  <si>
    <t>Cuthbert, RJ (corresponding author), Royal Soc Protect Birds, Sandy SG19 2DL, Beds, England.</t>
  </si>
  <si>
    <t>richard_cuthbert@yahoo.co.uk</t>
  </si>
  <si>
    <t>Ryan, Peter/0000-0002-3356-2056</t>
  </si>
  <si>
    <t>UK Government's Overseas Territories Environment Programme (OTEP)</t>
  </si>
  <si>
    <t>Permission to undertake this work was granted by the Tristan da Cunha Conservation Department and funding was provided by the UK Government's Overseas Territories Environment Programme (OTEP). We are grateful for logistical support from the Royal Society for the Protection of Birds, the South African National Antarctic Programme (Department of Environmental Affairs), and the University of Cape Town.</t>
  </si>
  <si>
    <t>0959-2709</t>
  </si>
  <si>
    <t>1474-0001</t>
  </si>
  <si>
    <t>BIRD CONSERV INT</t>
  </si>
  <si>
    <t>Bird Conserv. Int.</t>
  </si>
  <si>
    <t>10.1017/S0959270912000494</t>
  </si>
  <si>
    <t>Biodiversity Conservation; Ornithology</t>
  </si>
  <si>
    <t>Biodiversity &amp; Conservation; Zoology</t>
  </si>
  <si>
    <t>146WP</t>
  </si>
  <si>
    <t>WOS:000319126200002</t>
  </si>
  <si>
    <t>Ren, DD; Leslie, LM; Lynch, MJ</t>
  </si>
  <si>
    <t>Ren, Diandong; Leslie, Lance M.; Lynch, Mervyn J.</t>
  </si>
  <si>
    <t>Verification of model simulated mass balance, flow fields and tabular calving events of the Antarctic ice sheet against remotely sensed observations</t>
  </si>
  <si>
    <t>Climate change; Ice sheet dynamics; Sea level rise; Ice shelf calving</t>
  </si>
  <si>
    <t>SEA-LEVEL RISE; WEST ANTARCTICA; SHELF COLLAPSE; CLIMATE-CHANGE; EAST ANTARCTICA; HEAT-FLUX; GREENLAND; PENINSULA; VARIABILITY; GLACIERS</t>
  </si>
  <si>
    <t>The Antarctic ice sheet (AIS) has the greatest potential for global sea level rise. This study simulates AIS ice creeping, sliding, tabular calving, and estimates the total mass balances, using a recently developed, advanced ice dynamics model, known as SEGMENT-Ice. SEGMENT-Ice is written in a spherical Earth coordinate system. Because the AIS contains the South Pole, a projection transfer is performed to displace the pole outside of the simulation domain. The AIS also has complex ice-water-granular material-bedrock configurations, requiring sophisticated lateral and basal boundary conditions. Because of the prevalence of ice shelves, a 'girder yield' type calving scheme is activated. The simulations of present surface ice flow velocities compare favorably with InSAR measurements, for various ice-water-bedrock configurations. The estimated ice mass loss rate during 2003-2009 agrees with GRACE measurements and provides more spatial details not represented by the latter. The model estimated calving frequencies of the peripheral ice shelves from 1996 (roughly when the 5-km digital elevation and thickness data for the shelves were collected) to 2009 compare well with archived scatterometer images. SEGMENT-Ice's unique, non-local systematic calving scheme is found to be relevant for tabular calving. However, the exact timing of calving and of iceberg sizes cannot be simulated accurately at present. A projection of the future mass change of the AIS is made, with SEGMENT-Ice forced by atmospheric conditions from three different coupled general circulation models. The entire AIS is estimated to be losing mass steadily at a rate of similar to 120 km(3)/a at present and this rate possibly may double by year 2100.</t>
  </si>
  <si>
    <t>[Ren, Diandong] Curtin Univ Technol, ASDI, Bentley, WA 6102, Australia; [Ren, Diandong; Lynch, Mervyn J.] Curtin Univ Technol, Dept Phys, Bentley, WA 6102, Australia; [Leslie, Lance M.] Univ Oklahoma, Coll Atmospher &amp; Geog Sci, CIMMS, Norman, OK 73019 USA</t>
  </si>
  <si>
    <t>Curtin University; Curtin University; University of Oklahoma System; University of Oklahoma - Norman</t>
  </si>
  <si>
    <t>Ren, DD (corresponding author), Curtin Univ Technol, ASDI, Bentley, WA 6102, Australia.</t>
  </si>
  <si>
    <t>rendianyun@gmail.com</t>
  </si>
  <si>
    <t>Ren, Diandong/C-8870-2013</t>
  </si>
  <si>
    <t>Ren, Diandong/0000-0002-5757-7527; LYNCH, Mervyn/0000-0003-4003-0880</t>
  </si>
  <si>
    <t>11-12</t>
  </si>
  <si>
    <t>10.1007/s00382-012-1464-3</t>
  </si>
  <si>
    <t>149ZU</t>
  </si>
  <si>
    <t>Green Submitted, hybrid</t>
  </si>
  <si>
    <t>WOS:000319360800004</t>
  </si>
  <si>
    <t>Alhazzaa, R; Bridle, AR; Nichols, PD; Carter, CG</t>
  </si>
  <si>
    <t>Alhazzaa, Ramez; Bridle, Andrew R.; Nichols, Peter D.; Carter, Chris G.</t>
  </si>
  <si>
    <t>Coping with sub-optimal water temperature: Modifications in fatty acid profile of barramundi as influenced by dietary lipid</t>
  </si>
  <si>
    <t>COMPARATIVE BIOCHEMISTRY AND PHYSIOLOGY A-MOLECULAR &amp; INTEGRATIVE PHYSIOLOGY</t>
  </si>
  <si>
    <t>Aquaculture; Barramundi; PUFA; Temperature; Unsaturation index</t>
  </si>
  <si>
    <t>TROUT ONCORHYNCHUS-MYKISS; COD GADUS-MORHUA; LATES-CALCARIFER; RAINBOW-TROUT; LONG-CHAIN; ADIPOSE-TISSUE; FISH MUSCLE; OXIDATIVE CAPACITIES; JUVENILE BARRAMUNDI; THERMAL ADAPTATION</t>
  </si>
  <si>
    <t>Metabolic responses to sub-optimal temperature deplete lipid depots, remodel membrane lipid and alter the fatty acid profile in the whole body and tissues of ectothermic vertebrates including fish. The magnitude of these changes may depend on dietary history including oil sources with different fatty acid compositions. Barramundi, Lates calcarifer (Perciformes, Latidae), a tropical ectothermic fish, was fed on diets either rich in dietary long-chain (&gt;= C-20) polyunsaturated fatty acids (LC-PUFA) from fish oil, rich in stearidonic and gamma-linolenic acid (SDA and GLA, respectively) from Echium plantagineum, or rapeseed oil deficient in LC-PUFA. Following 5 weeks at the optimum temperature of 30 degrees C when growth rates were comparable amongst dietary treatments, water temperature was dropped to 20 degrees C for 1 week for half of the animals and maintained at 30 degrees C for the other half. Decreased temperature increased the liver and skeletal muscle content of LC-PUFA in fish fed on echium oil compared with rapeseed oil, while dietary LC-PUFA depots in fish oil fed-fish depleted rapidly in the week of sub-optimal temperature. The lipid unsaturation index of cellular membrane in the liver and muscle increased under low temperature at the same rate regardless of dietary oil. Therefore, rapid exposure of an ectothermic vertebrate to a lower and sub-optimal temperature caused significant modulation in fatty acid composition. We propose that the tolerance of barramundi, a representative of tropical farmed fish, to sub-optimal temperature will be enhanced when fatty acid substrates closer to the LC-PUFA are available in their diet. (C) 2013 Elsevier Inc. All rights reserved.</t>
  </si>
  <si>
    <t>[Alhazzaa, Ramez; Bridle, Andrew R.] Univ Tasmania, Natl Ctr Marine Conservat &amp; Resource Sustainabil, Launceston, Tas 7250, Australia; [Alhazzaa, Ramez; Nichols, Peter D.] Food Futures Flagship &amp; CSIRO Marine &amp; Atmospher, Hobart, Tas 7001, Australia; [Carter, Chris G.] Univ Tasmania, Inst Marine &amp; Antarctic Studies, Hobart, Tas 7001, Australia</t>
  </si>
  <si>
    <t>University of Tasmania; Commonwealth Scientific &amp; Industrial Research Organisation (CSIRO); University of Tasmania</t>
  </si>
  <si>
    <t>Alhazzaa, R (corresponding author), Deakin Univ, Sch Life &amp; Environm Sci, Waurn Ponds, Vic 3217, Australia.</t>
  </si>
  <si>
    <t>ramez.alhazzaa@deakin.edu.au</t>
  </si>
  <si>
    <t>Alhazzaa, Ramez/C-2307-2008; Carter, Chris Guy/A-3438-2008; Nichols, Peter D/C-5128-2011; Bridle, Andrew R/B-4117-2013</t>
  </si>
  <si>
    <t>Alhazzaa, Ramez/0000-0001-9762-0377; Carter, Chris Guy/0000-0001-5210-1282; Bridle, Andrew/0000-0002-5788-1297</t>
  </si>
  <si>
    <t>EIPRS at UTas; CSIRO Food Futures Flagship award</t>
  </si>
  <si>
    <t>We thank M. P. Mansour for laboratory assistance, D. Holdsworth for management of the GC-MS facility, and R. Lowry and P. Kube for advice on statistical analysis. R. Alhazzaa was supported by an EIPRS at UTas and a CSIRO Food Futures Flagship award.</t>
  </si>
  <si>
    <t>1095-6433</t>
  </si>
  <si>
    <t>1531-4332</t>
  </si>
  <si>
    <t>COMP BIOCHEM PHYS A</t>
  </si>
  <si>
    <t>Comp. Biochem. Physiol. A-Mol. Integr. Physiol.</t>
  </si>
  <si>
    <t>10.1016/j.cbpa.2013.03.019</t>
  </si>
  <si>
    <t>Biochemistry &amp; Molecular Biology; Physiology; Zoology</t>
  </si>
  <si>
    <t>148GT</t>
  </si>
  <si>
    <t>WOS:000319233300017</t>
  </si>
  <si>
    <t>Coscia, MR; Varriale, S; Ferraresso, S; Giacomelli, S; Bargelloni, L; Oreste, U</t>
  </si>
  <si>
    <t>Coscia, M. R.; Varriale, S.; Ferraresso, S.; Giacomelli, S.; Bargelloni, L.; Oreste, U.</t>
  </si>
  <si>
    <t>Analysis of Toll-like receptor 2 of antarctic teleosts</t>
  </si>
  <si>
    <t>[Coscia, M. R.; Varriale, S.; Giacomelli, S.; Oreste, U.] CNR, Inst Prot Biochem, I-80125 Naples, Italy; [Ferraresso, S.; Bargelloni, L.] Univ Padua, Dept Publ Hlth Comparat Pathol &amp; Vet Hyg, Legnaro, PD, Italy</t>
  </si>
  <si>
    <t>Consiglio Nazionale delle Ricerche (CNR); Istituto di Biochimica delle Proteine (IBP-CNR); University of Padua</t>
  </si>
  <si>
    <t>mr.coscia@ibp.cnr.it</t>
  </si>
  <si>
    <t>Coscia, Maria Rosaria/AAU-1808-2021</t>
  </si>
  <si>
    <t>10.1016/j.fsi.2013.03.045</t>
  </si>
  <si>
    <t>154BI</t>
  </si>
  <si>
    <t>WOS:000319646100069</t>
  </si>
  <si>
    <t>Coscia, MR; Cocca, E; Giacomelli, S; Cuccaro, F; Oreste, U</t>
  </si>
  <si>
    <t>Coscia, M. R.; Cocca, E.; Giacomelli, S.; Cuccaro, F.; Oreste, U.</t>
  </si>
  <si>
    <t>Investigations on immunoglobulin from Antarctic skates</t>
  </si>
  <si>
    <t>[Coscia, M. R.; Cocca, E.; Giacomelli, S.; Cuccaro, F.; Oreste, U.] CNR, Inst Prot Biochem, I-80125 Naples, Italy</t>
  </si>
  <si>
    <t>Consiglio Nazionale delle Ricerche (CNR); Istituto di Biochimica delle Proteine (IBP-CNR)</t>
  </si>
  <si>
    <t>Cocca, Ennio/AAY-3817-2020; Coscia, Maria Rosaria/AAU-1808-2021; Forastiere, Francesco/J-9067-2016</t>
  </si>
  <si>
    <t>Cocca, Ennio/0000-0003-2432-9663;</t>
  </si>
  <si>
    <t>10.1016/j.fsi.2013.03.199</t>
  </si>
  <si>
    <t>WOS:000319646100222</t>
  </si>
  <si>
    <t>Zapata-Guardiola, R; López-González, PJ; Gili, JM</t>
  </si>
  <si>
    <t>Zapata-Guardiola, Rebeca; Lopez-Gonzalez, Pablo J.; Gili, Josep-Maria</t>
  </si>
  <si>
    <t>A review of the genus Mirostenella Bayer, 1988 (Octocorallia: Primnoidae) with a description of a new subgenus and species</t>
  </si>
  <si>
    <t>HELGOLAND MARINE RESEARCH</t>
  </si>
  <si>
    <t>Cnidaria; Coelenterata; Antarctica; Organic nodes; Dicholaphis; Plumarella; Faxiella; Verticillata; Sympodial</t>
  </si>
  <si>
    <t>ANTHOZOA; COELENTERATA; THOUARELLA; PLUMARELLA; REVISION; GRAY</t>
  </si>
  <si>
    <t>In the present study, the genus Mirostenella Bayer (Proc Biol Soc Wash 101:251-256, 1988) is revised. We add to knowledge of the type species of the genus M. articulata Bayer (Proc Biol Soc Wash 101:251-256, 1988) from newly collected material from the Antarctic cruise Polarstern ANT XIX/5, and an illustrated description of this species is included. Cairns and Bayer (Smithson Contrib Zool 629:1-79, 2009) included Dicholaphis delicatula Thomson and Rennet (Sci Rept C Zool Bot 9(3):1-46, 1931) in the genus Mirostenella but after the examination of the type material, it is proposed to include the species in the recently described Plumarella subgenus, Faxiella (Zapata-Guardiola and Lpez-Gonzalez in Sci Mar 76:357-380, 2012). In addition, a new species of Plumarella, Plumarella castellviae sp. nov. from SubAntarctic waters is also described and illustrated. The species has similarities to Mirostenella but differs from it in the absence of organic nodes at bifurcation points and the presence of a sympodial branching pattern. Moreover, a new subgenus, Verticillata, is also proposed to include Plumarella species with polyps arranged in whorls around branchlets.</t>
  </si>
  <si>
    <t>[Zapata-Guardiola, Rebeca; Lopez-Gonzalez, Pablo J.] Univ Seville, Dept Zool, Fac Biol, E-41012 Seville, Spain; [Gili, Josep-Maria] CSIC, Inst Ciencias Mar, E-08003 Barcelona, Spain</t>
  </si>
  <si>
    <t>University of Sevilla; Consejo Superior de Investigaciones Cientificas (CSIC); CSIC - Centro Mediterraneo de Investigaciones Marinas y Ambientales (CMIMA); CSIC - Instituto de Ciencias del Mar (ICM)</t>
  </si>
  <si>
    <t>Zapata-Guardiola, R (corresponding author), Univ Seville, Dept Zool, Fac Biol, Reina Mercedes 6, E-41012 Seville, Spain.</t>
  </si>
  <si>
    <t>rzapata@us.es; pjlopez@us.es; gili@icm.csic.es</t>
  </si>
  <si>
    <t>Lopez-González, Pablo J./Y-6440-2018; Zapata-Guardiola, Rebeca/E-6310-2010</t>
  </si>
  <si>
    <t>Lopez-González, Pablo J./0000-0002-7348-6270; Zapata-Guardiola, Rebeca/0000-0001-9106-3696</t>
  </si>
  <si>
    <t>Spanish CICYT [CLIMANT-POL2006-06399/CGL, REN2001-4929-E/ANT]</t>
  </si>
  <si>
    <t>Spanish CICYT(Consejo Interinstitucional de Ciencia y Tecnologia (CICYT))</t>
  </si>
  <si>
    <t>The authors would like to thank Stephen Cairns (USNM) for his assistance and comments on the family Primnoidae during a long stay in the National Museum of Natural History and for allowing us access to all Bayer's material. We also acknowledge Emma Sherlock and the Zoology Department for access to the collection of NHMUK, and to Dr. Stephen Keable (Australian Museum) for lending, the type of Plumarella delicatula for examination. We are grateful to the officers and crew of the R/V Polarstern and many colleagues on board during the LAMPOS cruise for their support and help and also to Erika Mutschke and Carlos Rios (Universidad de Magallanes, Chile) for making available the material collected during the Polarstern cruise ANT XIII/4. We would also thank the editor of Helgoland Marine Research and give special thanks to the referees for their ideas and comments about the manuscript, which significantly improved it. Support for this study was provided by the Spanish CICYT projects-CLIMANT-POL2006-06399/CGL (ANT XXIII/8) and REN2001-4929-E/ANT (LAMPOS). Mr. Tony Krupa is thanked for reviewing the English version.</t>
  </si>
  <si>
    <t>1438-387X</t>
  </si>
  <si>
    <t>HELGOLAND MAR RES</t>
  </si>
  <si>
    <t>Helgoland Mar. Res.</t>
  </si>
  <si>
    <t>10.1007/s10152-012-0318-z</t>
  </si>
  <si>
    <t>149VT</t>
  </si>
  <si>
    <t>Green Published, Bronze, Green Submitted</t>
  </si>
  <si>
    <t>WOS:000319350200003</t>
  </si>
  <si>
    <t>Metabolism and chemical composition of marine pelagic amphipods: synthesis toward a global bathymetric model</t>
  </si>
  <si>
    <t>JOURNAL OF OCEANOGRAPHY</t>
  </si>
  <si>
    <t>Ammonia excretion; Amphipods; CN composition; Global bathymetric model; O:N ratio; Respiration</t>
  </si>
  <si>
    <t>ELECTRON-TRANSPORT-SYSTEM; AMMONIA EXCRETION; BODY-MASS; ANTARCTIC ZOOPLANKTON; ELEMENTAL COMPOSITION; MIDWATER CRUSTACEANS; OXYGEN-CONSUMPTION; FOOD-WEB; RESPIRATION; TEMPERATURE</t>
  </si>
  <si>
    <t>Respiration and ammonia excretion data and chemical composition data [water content, ash, carbon (C), nitrogen (N) and C:N ratios] of 18-32 amphipods (hyperiids and gammarids) from the epipelagic through bathypelagic zones of the world's oceans were compiled. The independent variables including body mass, habitat temperature and mid-sampling depth were all significant predictors of respiration, accounting for 65-83 % of the variance in the data, while the former two variables were significant predictors of ammonia excretion, accounting for 64-77 % of the variance. Atomic O:N ratios (respiration:ammonia excretion) ranged from 11 to 74 (median 21.5). C composition was negatively correlated with habitat temperature, but water contents, ash, N, and the C:N ratio were uncorrelated with the three independent variables. As judged by C:N ratios, protein was considered to be the major organic component of most pelagic amphipods. However, some amphipods from &gt; 500 m depth exhibited high C:N ratios (&gt; 10) suggesting a large deposition of lipids in the body. Comparison of the present results with global bathymetric models of euphausiids and pelagic copepods revealed that respiration rates of the pelagic amphipods were near-equal to the rates of euphausiids but greater than the rates of pelagic copepods, reflecting taxon-specific body morphology and swimming behavior among the three taxa. As a marked feature of body chemical composition, the pelagic amphipods exhibited extremely high ash content (mean 25 % of DM) due to their possession of a robust exoskeleton.</t>
  </si>
  <si>
    <t>0916-8370</t>
  </si>
  <si>
    <t>1573-868X</t>
  </si>
  <si>
    <t>J OCEANOGR</t>
  </si>
  <si>
    <t>J. Oceanogr.</t>
  </si>
  <si>
    <t>10.1007/s10872-013-0177-5</t>
  </si>
  <si>
    <t>150WE</t>
  </si>
  <si>
    <t>WOS:000319421300005</t>
  </si>
  <si>
    <t>Faccini, B; Bonadiman, C; Coltorti, M; Grégoire, M; Siena, F</t>
  </si>
  <si>
    <t>Faccini, B.; Bonadiman, C.; Coltorti, M.; Gregoire, M.; Siena, F.</t>
  </si>
  <si>
    <t>Oceanic Material Recycled within the Sub-Patagonian Lithospheric Mantle (Cerro del Fraile, Argentina)</t>
  </si>
  <si>
    <t>JOURNAL OF PETROLOGY</t>
  </si>
  <si>
    <t>subduction; mantle xenoliths; slab-melt metasomatism</t>
  </si>
  <si>
    <t>TRACE-ELEMENT FRACTIONATION; HIGHLY DEPLETED PERIDOTITE; SPINEL OXYGEN GEOBAROMETER; SOUTHERNMOST SOUTH-AMERICA; AIKE VOLCANIC FIELD; SLAB-DERIVED MELTS; ISLAND-ARC MANTLE; ORTHO-PYROXENE; EXPERIMENTAL CONSTRAINTS; SILICATE MELTS</t>
  </si>
  <si>
    <t>A detailed petrological study of mafic and ultramafic xenoliths from Cerro del Fraile (Southern Patagonia, Argentina) was developed to highlight (1) the mineralogical and geochemical composition of the lithospheric mantle beneath the area, (2) the nature of the metasomatizing agents that infiltrate the mantle wedge above the Antarctic plate, (3) the processes that allow the mantle to be refertilized, and (4) the nature of the material dragged down in the subduction zone and recycled within the South Patagonian sub-arc mantle. Major and trace element analyses of clinopyroxene and orthopyroxene in peridotitic and pyroxenitic rocks suggest that a proto-adakite, deriving from the melting of the subducting Antarctic plate, was responsible for the metasomatic features of the peridotitic rocks and the crystallization of the pyroxenites. A few composite xenoliths bridge the two processes-peridotite enrichment and pyroxenite crystallization-indicating that the variously depleted mantle reacts with the incoming melt to generate a newly fertile mantle domain. This reaction occurs under reducing conditions [delta log fO(2) (QFM) -1 center dot 21 to -0 center dot 34], unusual for mantle wedge settings. Heavy rare earth elements and Al2O3 and MgO contents in pyroxenes indicate a partial melting degree varying from 10 to 25%. The peculiar enrichment in Zr (-Hf), Th and U of the pyroxenes indicates the melting of oceanic sediments, which include manganese nodules and, possibly, organic matter, in agreement with the estimated low oxygen fugacity conditions. Some geochemical analogies have been found between the calculated metasomatic melts and the Austral Volcanic Zone adakites. In this case, the amount of sediment involved in the genesis of the infiltrating melts is larger than that previously proposed for the genesis of the erupted Patagonian adakites. Chemical-physical conditions favouring the upward percolation through the mantle wedge of these SiO2-rich and viscous melts are also discussed.</t>
  </si>
  <si>
    <t>[Faccini, B.; Bonadiman, C.; Coltorti, M.; Siena, F.] Univ Ferrara, Dept Phys &amp; Earth Sci, I-44121 Ferrara, Italy; [Gregoire, M.] CNRS, DTP, UMR Observ Midi Pyrenees 5562, Toulouse, France</t>
  </si>
  <si>
    <t>University of Ferrara; Centre National de la Recherche Scientifique (CNRS)</t>
  </si>
  <si>
    <t>Bonadiman, C (corresponding author), Univ Ferrara, Dept Phys &amp; Earth Sci, Via Saragat 1, I-44121 Ferrara, Italy.</t>
  </si>
  <si>
    <t>bdc@unife.it</t>
  </si>
  <si>
    <t>Gregoire, Michel/B-5738-2008</t>
  </si>
  <si>
    <t>Gregoire, Michel/0000-0001-9196-876X; Faccini, Barbara/0000-0002-3546-7159</t>
  </si>
  <si>
    <t>MIUR PRIN</t>
  </si>
  <si>
    <t>MIUR PRIN(Ministry of Education, Universities and Research (MIUR)Research Projects of National Relevance (PRIN))</t>
  </si>
  <si>
    <t>Funding was provided by MIUR PRIN 2008 and 2010 projects.</t>
  </si>
  <si>
    <t>0022-3530</t>
  </si>
  <si>
    <t>1460-2415</t>
  </si>
  <si>
    <t>J PETROL</t>
  </si>
  <si>
    <t>J. Petrol.</t>
  </si>
  <si>
    <t>10.1093/petrology/egt010</t>
  </si>
  <si>
    <t>151RT</t>
  </si>
  <si>
    <t>WOS:000319478600006</t>
  </si>
  <si>
    <t>Ross, DJ; Longmore, AR; Keough, MJ</t>
  </si>
  <si>
    <t>Ross, D. Jeff; Longmore, Andy R.; Keough, Michael J.</t>
  </si>
  <si>
    <t>Spatially variable effects of a marine pest on ecosystem function</t>
  </si>
  <si>
    <t>OECOLOGIA</t>
  </si>
  <si>
    <t>Sabella spallanzanii; Denitrification; Management; Nitrogen; Anthropogenic</t>
  </si>
  <si>
    <t>PORT-PHILLIP BAY; NUTRIENT FLUXES; MULTIPLE STRESSORS; ASTERIAS-AMURENSIS; NITROGEN DYNAMICS; OXYGEN FLUX; CORAL-REEFS; FRESH-WATER; SEDIMENT; DENITRIFICATION</t>
  </si>
  <si>
    <t>The broad spectrum of anthropogenic pressures on many of the world's coastal bays and estuaries rarely act in isolation, yet few studies have directly addressed the interactive effects of multiple pressures. Port Phillip Bay in southeastern Australia is a semi-enclosed bay in which nutrient management is a major concern. In recent years it has been heavily invaded by marine pests. We manipulated the density of one such invader, the European fanworm Sabella spallanzanii, and showed that it causes changes in the composition of macrofauna in the surrounding sediments, provides habitat for epibiota (both fauna and flora) on Sabella tubes, and reduces the biomass of microphytobenthos on the surrounding sediments. Of greatest concern, however, was the indirect impact on nutrient cycling. We suggest that the impacts on nutrient cycling are largely due to the feeding of Sabella and the epifauna on its tubes, capturing organic N before it reaches the sediment, excreting it back up into the water column as NH4, thereby bypassing sedimentary processes such as denitrification. Most notably, the efficiency of denitrification, the key ecosystem process that permanently removes N from the system, fell by 37-53 % in the presence of Sabella. Importantly though, this study also demonstrated significant spatial variability in fauna, geochemistry and the magnitude of Sabella effects. Given that the effect of Sabella is also likely to vary in time and with changes in density, all of these sources of variability need to be considered when incorporating the effects of Sabella in nutrient management strategies.</t>
  </si>
  <si>
    <t>[Ross, D. Jeff; Keough, Michael J.] Univ Melbourne, Dept Zool, Melbourne, Vic 3010, Australia; [Ross, D. Jeff] Univ Tasmania, Inst Marine &amp; Antarctic Studies, Hobart, Tas 7001, Australia; [Longmore, Andy R.] Fisheries Res Branch, Dept Primary Ind, Queenscliff, Vic 3225, Australia</t>
  </si>
  <si>
    <t>University of Melbourne; Melbourne Bioinformatics; University of Tasmania</t>
  </si>
  <si>
    <t>Ross, DJ (corresponding author), Univ Tasmania, Inst Marine &amp; Antarctic Studies, Private Bag 49, Hobart, Tas 7001, Australia.</t>
  </si>
  <si>
    <t>Jeff.Ross@utas.edu.au</t>
  </si>
  <si>
    <t>; Ross, Donald/F-7607-2012</t>
  </si>
  <si>
    <t>Keough, Michael/0000-0002-3382-3068; Ross, Donald/0000-0002-8659-3833</t>
  </si>
  <si>
    <t>Australian Research Council [LP0211152]; Department of Primary Industries; Department of Sustainability and Environment; Australian Research Council [LP0211152] Funding Source: Australian Research Council</t>
  </si>
  <si>
    <t>Australian Research Council(Australian Research Council); Department of Primary Industries; Department of Sustainability and Environment; Australian Research Council(Australian Research Council)</t>
  </si>
  <si>
    <t>We thank Allyson O'Brien, Dustin Marshall, Prue Addison and Sarah Metcalf for assisting with field work and Mr Gus Fabris, Department of Primary Industries Victoria, Queenscliff for conducting nutrient analysis. This work was supported by the Australian Research Council Linkage grant (LP0211152) to M. J. Keough and A. R. Longmore. We thank the Department of Primary Industries and the Department of Sustainability and Environment for financial and in-kind assistance.</t>
  </si>
  <si>
    <t>0029-8549</t>
  </si>
  <si>
    <t>Oecologia</t>
  </si>
  <si>
    <t>10.1007/s00442-012-2497-3</t>
  </si>
  <si>
    <t>146GE</t>
  </si>
  <si>
    <t>WOS:000319077100022</t>
  </si>
  <si>
    <t>Sinha, RK; Krishnan, KP</t>
  </si>
  <si>
    <t>Sinha, Rupesh Kumar; Krishnan, Kottekkatu Padinchati</t>
  </si>
  <si>
    <t>Novel opportunity for understanding origin and evolution of life: perspectives on the exploration of subglacial environment of Lake Vostok, Antarctica</t>
  </si>
  <si>
    <t>ANNALS OF MICROBIOLOGY</t>
  </si>
  <si>
    <t>Subglacial environment; Exploration; Bacteria; Evolution; Lake Vostok; Antarctica</t>
  </si>
  <si>
    <t>ICE CORE; MOLECULAR ANALYSIS; WATER; MICROORGANISMS; DIVERSITY; BACTERIA; CLIMATE; DNA</t>
  </si>
  <si>
    <t>The year 2012 began with reports on the completion of drilling over the largest subglacial lake of Antarctica, Lake Vostok. It has been sealed from free exchange with the atmosphere for similar to 420,000 years, making it a potentially rich and largely unexplored storehouse of genetic information for solving evolutionary queries. Indirect evidence suggests that many impediments exist in the subglacial environment, such as high oxygen tension, low inorganic and organic nutrient concentrations, etc., whereas analysis of glacial and accretion ice from Vostok also implies that the elemental requirements for microbial growth could be satisfied in the lake by many possible electron donors (like H-2, Fe2+ and NO (2) (-) ). Recent reports on the recovery of the longest ever ice core of similar to 3,769 m open up a new window for answering many questions about microbiological life in extremes, evolution, and adaptations. This review attempts to present an updated understanding on the potential significance of subglacial environments in unraveling the mystery of evolution of life.</t>
  </si>
  <si>
    <t>[Sinha, Rupesh Kumar; Krishnan, Kottekkatu Padinchati] Natl Ctr Antarctic &amp; Ocean Res, Cryobiol Lab, Vasco Da Gama 403804, Goa, India</t>
  </si>
  <si>
    <t>Ministry of Earth Sciences (MoES) - India; National Centre for Polar and Ocean Research (NCPOR)</t>
  </si>
  <si>
    <t>Krishnan, KP (corresponding author), Natl Ctr Antarctic &amp; Ocean Res, Cryobiol Lab, Vasco Da Gama 403804, Goa, India.</t>
  </si>
  <si>
    <t>kpkrishnan@gmail.com</t>
  </si>
  <si>
    <t>P, Krishnan K/ABF-8783-2020; Sinha, Rupesh/ABB-8319-2020</t>
  </si>
  <si>
    <t>Sinha, Rupesh Kumar/0000-0002-2080-0975; , K. P. Krishnan/0000-0003-1101-657X</t>
  </si>
  <si>
    <t>1590-4261</t>
  </si>
  <si>
    <t>1869-2044</t>
  </si>
  <si>
    <t>ANN MICROBIOL</t>
  </si>
  <si>
    <t>Ann. Microbiol.</t>
  </si>
  <si>
    <t>10.1007/s13213-012-0525-5</t>
  </si>
  <si>
    <t>Biotechnology &amp; Applied Microbiology; Microbiology</t>
  </si>
  <si>
    <t>146FF</t>
  </si>
  <si>
    <t>WOS:000319074600001</t>
  </si>
  <si>
    <t>Raymond, MR; Wharton, DA; Marshall, CJ</t>
  </si>
  <si>
    <t>Raymond, Melianie R.; Wharton, David A.; Marshall, Craig J.</t>
  </si>
  <si>
    <t>Factors determining nematode distributions at Cape Hallett and Gondwana station, Antarctica</t>
  </si>
  <si>
    <t>abiotic; Antarctic soils; biotic; habitat preference; Latitudinal Gradient Project</t>
  </si>
  <si>
    <t>MCMURDO DRY VALLEYS; SOIL BIODIVERSITY; VICTORIA LAND; ROSS ISLAND; BIOGEOCHEMISTRY; INVERTEBRATES; DIVERSITY; VARIABILITY; TARDIGRADES; ENVIRONMENT</t>
  </si>
  <si>
    <t>The distribution of nematodes at Cape Hallett and Gondwana station was found to be patchy but consistent, broad-scale habitat preferences were identified. These had been previously noted in McMurdo Dry Valleys soils and on Ross Island, indicating that habitat preferences are consistent across large scales and may play a role in determining range limits. Soil geochemistry, especially salinity, has a strong impact on distribution patterns. The distinct distribution patterns of the four species indicate different niches. Panagrolaimus davidi Timm is the only nematode that can survive within penguin rookeries, where salinity is high but bacterial food is plentiful. Scottnema lindsayae Timm was found across the greatest range of habitats, including the driest sites and largest salinity range. Plectus sp. was found in the wettest sites, with high organic content and low salinity. Eudorylaimus antarcticus Steiner (Yeates) was found at low densities and with other nematodes indicating a dependence on prey availability, an example of a biotic interaction structuring even these simplest ecosystems. Field-identifiable features could be used to identify probable nematode habitats, providing useful information for sampling and the selection of conservation areas.</t>
  </si>
  <si>
    <t>[Raymond, Melianie R.; Wharton, David A.] Univ Otago, Dept Zool, Dunedin, New Zealand; [Marshall, Craig J.] Univ Otago, Dept Biochem &amp; Genet Otago, Dunedin, New Zealand</t>
  </si>
  <si>
    <t>University of Otago; University of Otago</t>
  </si>
  <si>
    <t>Wharton, DA (corresponding author), Univ Otago, Dept Zool, POB 56, Dunedin, New Zealand.</t>
  </si>
  <si>
    <t>david.wharton@otago.ac.nz</t>
  </si>
  <si>
    <t>Marshall, Craig J./C-6668-2009</t>
  </si>
  <si>
    <t>Marshall, Craig J./0000-0003-4186-0368; Raymond, Melianie/0000-0002-6158-8202; Wharton, David/0000-0001-6369-4984</t>
  </si>
  <si>
    <t>Antarctica New Zealand; Kelly Tarlton award</t>
  </si>
  <si>
    <t>This work was generously supported by a Fanny Evans Postgraduate Scholarship for Women and a scholarship from Antarctica New Zealand and Kelly Tarlton's, awarded to MRR. We are grateful for the logistical support of Antarctica New Zealand (event KO66), technical support from Karen Judge, and field assistance from Justine Marshall, Francesca Cunninghame and Konstanze Gebauer. The constructive comments of the reviewers are also gratefully acknowledged.</t>
  </si>
  <si>
    <t>10.1017/S0954102012001162</t>
  </si>
  <si>
    <t>148BE</t>
  </si>
  <si>
    <t>WOS:000319216500002</t>
  </si>
  <si>
    <t>Nedbalová, L; Nyvlt, D; Kopácek, J; Sobr, M; Elster, J</t>
  </si>
  <si>
    <t>Nedbalova, Linda; Nyvlt, Daniel; Kopacek, Jiri; Sobr, Miroslav; Elster, Josef</t>
  </si>
  <si>
    <t>Freshwater lakes of Ulu Peninsula, James Ross Island, north-east Antarctic Peninsula: origin, geomorphology and physical and chemical limnology</t>
  </si>
  <si>
    <t>conductivity; deglaciation; lake origin; lake types; morphometry; nutrients</t>
  </si>
  <si>
    <t>PRINCE GUSTAV CHANNEL; MCMURDO DRY VALLEYS; VICTORIA LAND; GLACIAL HISTORY; CLIMATE-CHANGE; EVOLUTION; REGION; ENVIRONMENT; PHOSPHORUS; CHEMISTRY</t>
  </si>
  <si>
    <t>This study describes the origin, bedrock geology, geomorphology, hydrological stability and physical and chemical characteristics of a representative set of 29 lakes in the ice-free parts of the Ulu Peninsula, James Ross Island, located close to the northern tip of the Antarctic Peninsula. Based on these features, six different types of lakes were defined: stable shallow lakes on higher-altitude levelled surfaces, shallow coastal lakes, stable lakes in old moraines, small unstable lakes in young moraines, deep cirque lakes and kettle lakes. We observed a significant relationship between lake type and water chemistry. Bedrock, lake age and morphometry together with altitude were the most important factors underlying the observed limnological variability. Our results further suggested possible nitrogen limitation in the lake ecosystems. However, physical factors such as low temperature and light were also likely to be limiting.</t>
  </si>
  <si>
    <t>[Nedbalova, Linda] Charles Univ Prague, Fac Sci, Dept Ecol, CR-12844 Prague 2, Czech Republic; [Nedbalova, Linda; Elster, Josef] Inst Bot AS CR, Trebon 37982, Czech Republic; [Nyvlt, Daniel] Czech Geol Survey, Brno Branch, Brno 65869, Czech Republic; [Kopacek, Jiri] Biol Ctr AS CR, Inst Hydrobiol, Ceske Budejovice 37005, Czech Republic; [Sobr, Miroslav] Charles Univ Prague, Fac Sci, Dept Phys Geog &amp; Geoecol, Prague 12843 2, Czech Republic</t>
  </si>
  <si>
    <t>Charles University Prague; Czech Academy of Sciences; Institute of Botany of the Czech Academy of Sciences; Czech Geological Survey; Czech Academy of Sciences; Biology Centre of the Czech Academy of Sciences; Charles University Prague</t>
  </si>
  <si>
    <t>Nedbalová, L (corresponding author), Charles Univ Prague, Fac Sci, Dept Ecol, Vinicna 7, CR-12844 Prague 2, Czech Republic.</t>
  </si>
  <si>
    <t>lindane@natur.cuni.cz</t>
  </si>
  <si>
    <t>Elster, Josef/B-1031-2008; Nedbalová, Linda/AFF-8321-2022; Kopacek, Jiri/A-7373-2014; Nyvlt, Daniel/J-6504-2019; Nedbalová, Linda/AAF-1001-2022; Šobr, Miroslav/B-1356-2017</t>
  </si>
  <si>
    <t>Nedbalová, Linda/0000-0003-1800-714X; Kopacek, Jiri/0000-0002-4409-4032; Nyvlt, Daniel/0000-0002-6876-490X; Nedbalová, Linda/0000-0003-1800-714X; Elster, Josef/0000-0002-4535-5636</t>
  </si>
  <si>
    <t>project KONTAKT [ME 945]; project CzechPolar [LM2010009, MSM0021620828, MSM0021620831, CGS335200/2012]; R &amp; D project VaV SP II of the Ministry of the Environment of the Czech Republic [1a9/23/07]; [RVO 67985939]</t>
  </si>
  <si>
    <t>project KONTAKT; project CzechPolar; R &amp; D project VaV SP II of the Ministry of the Environment of the Czech Republic;</t>
  </si>
  <si>
    <t>This work was supported by the projects KONTAKT ME 945, CzechPolar LM2010009, MSM0021620828, MSM0021620831, CGS335200/2012, and by the long-term research development project no. RVO 67985939. DN fieldwork was funded by the R &amp; D project VaV SP II 1a9/23/07 of the Ministry of the Environment of the Czech Republic. The authors would also like to thank to the scientific infrastructure of the Czech Antarctic Station J.G. Mendel and its crew for their support. We gratefully acknowledge Dominic Hodgson, Elie Verleyen and an anonymous reviewer for their valuable comments on an earlier version of the manuscript.</t>
  </si>
  <si>
    <t>10.1017/S0954102012000934</t>
  </si>
  <si>
    <t>WOS:000319216500003</t>
  </si>
  <si>
    <t>La Mesa, M; Catalano, B; Jones, CD</t>
  </si>
  <si>
    <t>La Mesa, Mario; Catalano, Barbara; Jones, Christopher D.</t>
  </si>
  <si>
    <t>Early life history of the ocellated icefish, Chionodraco rastrospinosus, off the Antarctic Peninsula</t>
  </si>
  <si>
    <t>age and growth; Bransfield Strait; channichthyids; feeding; larval stages; Southern Ocean</t>
  </si>
  <si>
    <t>SCOTIA SEA; CHAENOCEPHALUS-ACERATUS; BRANSFIELD STRAIT; FISH STOCKS; GENE FLOW; AGE; CONNECTIVITY; CIRCULATION; POPULATIONS; VALIDATION</t>
  </si>
  <si>
    <t>Age, growth and feeding habits of early life stages of Chionodraco rastrospinosus Dewitt &amp; Hureau, the most abundant channichthyid in the larval fish assemblages of the Bransfield Strait, were studied by otolith microincrement counts and stomach content analyses. Individuals measuring 39-69 mm standard length were caught in the uppermost depth strata down to 300 m from Brabant to Joinville islands along the northern Antarctic Peninsula. The sample consisted of post-larvae and juveniles aged 105-211 days, with a mean growth rate of 0.25 mm day(-1). Larval size at hatching was estimated to be c. 17.2 mm. Hatching was spread over a relatively long period from August-November. Sagittal otoliths were characterized by a strong check located at 23-52 microincrements of distance from the core, tentatively associated with the onset of first exogenous feeding. The relatively long period during which larvae can rely on yolk reserves and the large size at hatching enable them to utilize a wide size range of prey, as well as cope with occasional food shortages. The stomach contents consisted exclusively of euphausiids (furcilia and adults) and larvae of Pleuragramma antarcticum Boulenger. Based on growth rate, the residence time in pelagic waters of juvenile C. rastrospinosus was estimated to be about a year and a half.</t>
  </si>
  <si>
    <t>[La Mesa, Mario] Ist Sci Marine, ISMAR CNR, I-60125 Ancona, Italy; [Catalano, Barbara] Ist Super Protez &amp; Ric Ambientale, ISPRA, I-00166 Rome, Italy; [Jones, Christopher D.] NOAA, SW Fisheries Sci Ctr, Natl Marine Fisheries Serv, La Jolla, CA 92037 USA</t>
  </si>
  <si>
    <t>Consiglio Nazionale delle Ricerche (CNR); Istituto di Scienze Marine (ISMAR-CNR); Italian Institute for Environmental Protection &amp; Research (ISPRA); National Oceanic Atmospheric Admin (NOAA) - USA</t>
  </si>
  <si>
    <t>La Mesa, M (corresponding author), Ist Sci Marine, ISMAR CNR, I-60125 Ancona, Italy.</t>
  </si>
  <si>
    <t>m.lamesa@ismar.cnr.it</t>
  </si>
  <si>
    <t>Catalano, Barbara/GRR-7882-2022; CNR, Ismar/P-1247-2014</t>
  </si>
  <si>
    <t>CNR, Ismar/0000-0001-5351-1486</t>
  </si>
  <si>
    <t>PNRA (Italian National Antarctic Research Program)</t>
  </si>
  <si>
    <t>We thank all the crew members, personnel and scientific staff aboard of RV Moana Wave for their invaluable support in sampling activities. Comments of two anonymous reviewers greatly improved the early version of the manuscript. This study was supported by the PNRA (Italian National Antarctic Research Program).</t>
  </si>
  <si>
    <t>10.1017/S0954102012001095</t>
  </si>
  <si>
    <t>WOS:000319216500004</t>
  </si>
  <si>
    <t>Southwell, CJ; Emmerson, LM</t>
  </si>
  <si>
    <t>Southwell, Colin J.; Emmerson, Louise M.</t>
  </si>
  <si>
    <t>New counts of Adelie penguin populations at Scullin and Murray monoliths, Mac. Robertson Land, East Antarctica</t>
  </si>
  <si>
    <t>Aerial photography; ASPA; bias; management plan; population count; uncertainty</t>
  </si>
  <si>
    <t>ABUNDANCE; SYSTEM</t>
  </si>
  <si>
    <t>Scullin and Murray monoliths are thought to hold the largest concentration of breeding seabirds in East Antarctica. The monoliths were designated as an Antarctic Specially Protected Area (ASPA No. 164) in 2005 in recognition of the global importance of the seabird assemblages and to protect their outstanding ecological and scientific values. The management plan for the Scullin and Murray Monoliths ASPA encourages regular seabird population monitoring using methods such as aerial photography, but the complex logistics of accessing this remote site has until now limited quantitative assessment of the seabird populations to a single survey in 1986/87. In December 2010 we photographed the Adelie penguin population to provide the population counts presented here. We discuss the potential biases and uncertainties in estimating the breeding population from both the recent and 1980s population count data.</t>
  </si>
  <si>
    <t>[Southwell, Colin J.; Emmerson, Louise M.] Australian Antarctic Div, Dept Sustainabil Environm Water Populat &amp; Commun, Kingston, Tas 7050, Australia</t>
  </si>
  <si>
    <t>Southwell, CJ (corresponding author), Australian Antarctic Div, Dept Sustainabil Environm Water Populat &amp; Commun, 203 Channel Highway, Kingston, Tas 7050, Australia.</t>
  </si>
  <si>
    <t>10.1017/S095410201200106X</t>
  </si>
  <si>
    <t>WOS:000319216500005</t>
  </si>
  <si>
    <t>Pavel, V; Weidinger, K</t>
  </si>
  <si>
    <t>Pavel, Vaclav; Weidinger, Karel</t>
  </si>
  <si>
    <t>First records of the white-rumped sandpiper and brown-hooded gull south-east of the Antarctic Peninsula</t>
  </si>
  <si>
    <t>ISLAND</t>
  </si>
  <si>
    <t>[Pavel, Vaclav] Palacky Univ, Fac Sci, Dept Zool, Olomouc 77146, Czech Republic; Palacky Univ, Fac Sci, Ornithol Lab, Olomouc 77146, Czech Republic</t>
  </si>
  <si>
    <t>Palacky University Olomouc; Palacky University Olomouc</t>
  </si>
  <si>
    <t>Pavel, V (corresponding author), Palacky Univ, Fac Sci, Dept Zool, Tr Svobody 26, Olomouc 77146, Czech Republic.</t>
  </si>
  <si>
    <t>vaclav.pavel@upol.cz</t>
  </si>
  <si>
    <t>Weidinger, Karel/J-6758-2012</t>
  </si>
  <si>
    <t>Czech Geological Survey; Ministry of Education [MSM 6198959212]; Ministry of Environment of the Czech Republic [VaV SP II 1a9/23/07]</t>
  </si>
  <si>
    <t>Czech Geological Survey; Ministry of Education; Ministry of Environment of the Czech Republic</t>
  </si>
  <si>
    <t>This study was supported by the Czech Geological Survey, the Ministry of Education (MSM 6198959212), and Ministry of Environment (VaV SP II 1a9/23/07) of the Czech Republic. The work in Antarctica was conducted under permission from the Ministry of Environment of the Czech Republic. Our thanks to the members of the J.G. Mendel station, to David Harderkopf for English corrections and to the reviewer.</t>
  </si>
  <si>
    <t>10.1017/S0954102012001137</t>
  </si>
  <si>
    <t>WOS:000319216500007</t>
  </si>
  <si>
    <t>Jadwiszczak, P; Krajewski, KP; Pushina, Z; Tatur, A; Zielinski, G</t>
  </si>
  <si>
    <t>Jadwiszczak, Piotr; Krajewski, Krzysztof P.; Pushina, Zinaida; Tatur, Andrzej; Zielinski, Grzegorz</t>
  </si>
  <si>
    <t>The first record of fossil penguins from East Antarctica</t>
  </si>
  <si>
    <t>bioapatite diagenesis; Fisher Massif; Late Miocene; Prince Charles Mountains; Spheniscus; wing skeleton</t>
  </si>
  <si>
    <t>STRONTIUM ISOTOPE STRATIGRAPHY; LOOK-UP TABLE; DIAGENETIC EVOLUTION; PAGODROMA GROUP; PRYDZ BAY; MIOCENE; BONE; MA; CRYSTALLINITY; SPHENISCUS</t>
  </si>
  <si>
    <t>This paper presents the first fossil penguin from East Antarctica, and the only one known south of the Antarctic Circle. It is represented by two well-preserved elements of the wing skeleton, humerus and radius, obviously assignable to the extant genus Spheniscus. They were found in the glaciomarine succession of the Fisher Bench Formation (Fisher Massif, Prince Charles Mountains, Mac. Robertson Land), which was dated using Strontium Isotope Stratigraphy to be Late Miocene in age (10.2 Ma). They are only slightly younger than the oldest remains undoubtedly attributable to this taxon. The X-ray diffraction and Fourier Transform Infrared Spectroscopy indicate diagenetic alteration of the original bone bioapatite under dominantly marine conditions. The Late Miocene was a period of ice margin retreat and marine incursion into the Lambert embayment that followed Middle Miocene cooling of the Antarctic climate. The fossils strongly suggest that variable climatic and environmental conditions in East Antarctica may have been an important factor in the evolution of penguins there during the Neogene.</t>
  </si>
  <si>
    <t>[Jadwiszczak, Piotr] Univ Bialystok, Inst Biol, PL-15950 Bialystok, Poland; [Krajewski, Krzysztof P.] Polish Acad Sci, Res Ctr Warszawa, Inst Geol Sci, PL-00818 Warsaw, Poland; [Pushina, Zinaida] All Russia Res Inst Geol &amp; Mineral Resources Worl, St Petersburg 190121, Russia; [Tatur, Andrzej] Warsaw Univ, Fac Geol, PL-02089 Warsaw, Poland; [Zielinski, Grzegorz] Natl Res Inst, Polish Geol Inst, PL-00975 Warsaw, Poland</t>
  </si>
  <si>
    <t>University of Bialystok; Polish Academy of Sciences; Institute of Geological Sciences of the Polish Academy of Sciences; A.P. Karpinsky Russian Geological Research Institute (VSEGEI); University of Warsaw; Polish Geological Institute - National Research Institute</t>
  </si>
  <si>
    <t>Jadwiszczak, P (corresponding author), Univ Bialystok, Inst Biol, Swierkowa 20B, PL-15950 Bialystok, Poland.</t>
  </si>
  <si>
    <t>piotrj@uwb.edu.pl</t>
  </si>
  <si>
    <t>Jadwiszczak, Piotr/K-5136-2014; Jadwiszczak, Piotr/P-4336-2019</t>
  </si>
  <si>
    <t>Jadwiszczak, Piotr/0000-0002-5263-1125</t>
  </si>
  <si>
    <t>Polish Ministry of Science and Higher Education [MNiSW 743/N-Rosja/2010/0]</t>
  </si>
  <si>
    <t>Polish Ministry of Science and Higher Education(Ministry of Science and Higher Education, Poland)</t>
  </si>
  <si>
    <t>The authors are grateful to Valery Lukin, Leader of the Russian Antarctic Expedition (RAE), for inviting Polish geoscientists to participate in the 53rd RAE to East Antarctica in 2008. Field companionship of all members of the geology team led by Dmitry Bolshiyanov in the Prince Charles Mountains is greatly appreciated. Bozena Lacka and Michal Kuzniarski at the Institute of Geological Sciences, Polish Academy of Sciences are thanked for processing the XRD and FTIR data. A photograph of the pectenoid shell was kindly provided by Andrzej Gazdzicki (Institute of Paleobiology, Polish Academy of Sciences). The authors greatly appreciate helpful reviews by Steven Emslie and Marcelo Reguero. The study was supported by a research grant of the Polish Ministry of Science and Higher Education no. MNiSW 743/N-Rosja/2010/0, aimed towards scientific collaboration between Poland and Russia in the fields of Antarctic research.</t>
  </si>
  <si>
    <t>10.1017/S0954102012000909</t>
  </si>
  <si>
    <t>WOS:000319216500009</t>
  </si>
  <si>
    <t>Van Der Putten, N; Verbruggen, C; Alexanderson, H; Björck, S; Van de Vijver, B</t>
  </si>
  <si>
    <t>Van Der Putten, Nathalie; Verbruggen, Cyriel; Alexanderson, Helena; Bjorck, Svante; Van de Vijver, Bart</t>
  </si>
  <si>
    <t>Postglacial sedimentary and geomorphological evolution of a small sub-Antarctic fjord landscape, Stromness Bay, South Georgia</t>
  </si>
  <si>
    <t>diatoms; Holocene relative sea level; raised beaches; stratigraphy; sub-Antarctic island</t>
  </si>
  <si>
    <t>GLACIAL GEOMORPHOLOGY; DEGLACIATION; FLUCTUATIONS; CALIBRATION; CHRONOLOGY; RECORD</t>
  </si>
  <si>
    <t>A detailed stratigraphical, palaeoecological and geomorphological reconstruction of a fjord head on South Georgia (Husvik, Stromness Bay) is presented. Six sites were chosen to reconstruct the lithostratigraphy of the area by means of coring. A maximum depth of 11m was attained and the sediments encountered vary from coarse gravel over sands to fine silts with, in some cases, intercalated peat layers. Diatom analysis allowed determination of whether the sedimentological units were deposited in a marine or freshwater environment. Six radiocarbon dates constrain the chronology. Deglaciation of the area was completed in the early Holocene and the postglacial geomorphological evolution of Husdal (unofficial name) was controlled by fluvio-deltaic deposition and sea level changes. Relative sea level rise was faster than, or kept pace with the isostatic rebound of the land. Our results challenge the presence of Late Glacial and Holocene raised beach deposits in the area as reported in earlier geomorphological studies.</t>
  </si>
  <si>
    <t>[Van Der Putten, Nathalie; Alexanderson, Helena; Bjorck, Svante] Lund Univ, Dept Geol, SE-22362 Lund, Sweden; [Verbruggen, Cyriel] Univ Ghent, Dept Geol &amp; Soil Sci, B-9000 Ghent, Belgium; [Van de Vijver, Bart] Natl Bot Garden Belgium, Dept Cryptogamy Bryophyta &amp; Thallophyta, B-1860 Domein Van Bouchout, Meise, Belgium</t>
  </si>
  <si>
    <t>Lund University; Ghent University</t>
  </si>
  <si>
    <t>Van Der Putten, N (corresponding author), Lund Univ, Dept Geol, Solvegatan 12, SE-22362 Lund, Sweden.</t>
  </si>
  <si>
    <t>nathalie.van_der_putten@geol.lu.se</t>
  </si>
  <si>
    <t>Van der Putten, Nathalie/0000-0002-0271-9321</t>
  </si>
  <si>
    <t>Research Foundation (FWO) Flanders [1.5.655-94, G.0203-97]; Ghent University, Belgium; Swedish Research Council [VR-623-2009-7399]; Swedish Research Council (LUCCI Linnaeus grant)</t>
  </si>
  <si>
    <t>Research Foundation (FWO) Flanders(FWO); Ghent University, Belgium(Ghent University); Swedish Research Council(Swedish Research Council); Swedish Research Council (LUCCI Linnaeus grant)(Swedish Research Council)</t>
  </si>
  <si>
    <t>British Antarctic Survey, Cambridge, UK provided the possibility and logistics for the fieldwork on South Georgia. E. Coppejans (Ghent University, Belgium) made the determination of the phaeophyte remains and B. De Vliegher did the vertical photogrammetric measurements. We also thank P. Cleveringa (TNO-NITG, The Netherlands) and D. Sugden (Edinburgh, United Kingdom) for interesting discussions. Gunhild Rosqvist and Marijke Ooms are thanked for their valuable comments on the manuscript. We acknowledge financial support from the Research Foundation (FWO) Flanders (Programs 1.5.655-94 and G.0203-97) and Ghent University, Belgium. NVdP is a post-doctoral research fellow funded by the Swedish Research Council (VR-623-2009-7399 and the LUCCI Linnaeus grant).</t>
  </si>
  <si>
    <t>10.1017/S0954102012000880</t>
  </si>
  <si>
    <t>WOS:000319216500010</t>
  </si>
  <si>
    <t>Fischer, M; Thomas, DN; Krell, A; Nehrke, G; Göttlicher, J; Norman, L; Meiners, KM; Riaux-Gobin, C; Dieckmann, GS</t>
  </si>
  <si>
    <t>Fischer, Michael; Thomas, David N.; Krell, Andreas; Nehrke, Gernot; Goettlicher, Joerg; Norman, Louiza; Meiners, Klaus M.; Riaux-Gobin, Catherine; Dieckmann, Gerhard S.</t>
  </si>
  <si>
    <t>Quantification of ikaite in Antarctic sea ice</t>
  </si>
  <si>
    <t>biogeochemistry; brine; calcium carbonate precipitation; inorganic carbon cycle; nutrients; Southern Ocean</t>
  </si>
  <si>
    <t>CARBONATE PRECIPITATION; SEAWATER; CO2; DYNAMICS; CALCIUM; SOLUBILITY; CHEMISTRY; TRANSPORT; CACO3; SNOW</t>
  </si>
  <si>
    <t>Calcium carbonate precipitation in sea ice is thought to potentially drive significant CO2 uptake by the ocean. However, little is known about the quantitative spatial and temporal distribution of CaCO3 within sea ice, although it is hypothesized that high quantities of dissolved organic matter and/or phosphate (common in sea ice) may inhibit its formation. In this quantitative study of hydrous calcium carbonate as ikaite, sea ice cores and brine samples were collected from pack and land fast sea ice between September and December 2007 during two expeditions, one in the East Antarctic sector and the other off Terre Adelie. Samples were analysed for CaCO3, salinity, dissolved organic carbon/nitrogen, inorganic phosphate, and total alkalinity. No relationship between these parameters and CaCO3 precipitation was evident. Ikaite was found mostly in the uppermost layers of sea ice with maximum concentrations of up to 126 mg ikaite per litre melted sea ice being measured, although both the temporal and horizontal spatial distributions of ikaite were highly heterogeneous. The precipitate was also found in the snow on top of the sea ice at some of the sampling locations.</t>
  </si>
  <si>
    <t>[Fischer, Michael; Krell, Andreas; Nehrke, Gernot; Dieckmann, Gerhard S.] Alfred Wegener Inst Polar &amp; Marine Res, D-27570 Bremerhaven, Germany; [Thomas, David N.; Norman, Louiza] Bangor Univ, Coll Nat Sci, Menai Bridge LL59 5AB, Anglesey, Wales; [Thomas, David N.] Finnish Environm Inst SYKE, Marine Ctr, FI-00251 Helsinki, Finland; [Thomas, David N.] Aarhus Univ, Arctic Res Ctr, Aarhus, Denmark; [Goettlicher, Joerg] Karlsruhe Inst Technol, Synchrotron Radiat Source ANKA, Inst Synchrotron Radiat ISS, D-76344 Eggenstein Leopoldshafen, Germany; [Meiners, Klaus M.] Australian Antarctic Div, Dept Sustainabil Environm Water Populat &amp; Communi, Kingston, Tas 7050, Australia; [Meiners, Klaus M.] Antarctic Climate &amp; Ecosyst Cooperat Res Ctr, Hobart, Tas 7001, Australia; [Riaux-Gobin, Catherine] EPHE, CNRS, CRIOBE, USR3278, F-66860 Perpignan, France</t>
  </si>
  <si>
    <t>Helmholtz Association; Alfred Wegener Institute, Helmholtz Centre for Polar &amp; Marine Research; Bangor University; Finnish Environment Institute; Aarhus University; Helmholtz Association; Karlsruhe Institute of Technology; Australian Antarctic Division; Antarctic Climate &amp; Ecosystems Cooperative Research Centre (ACE CRC); Universite PSL; Ecole Pratique des Hautes Etudes (EPHE); Centre National de la Recherche Scientifique (CNRS); CNRS - Institute of Ecology &amp; Environment (INEE)</t>
  </si>
  <si>
    <t>Fischer, M (corresponding author), Alfred Wegener Inst Polar &amp; Marine Res, Handelshafen 12, D-27570 Bremerhaven, Germany.</t>
  </si>
  <si>
    <t>michael.fischer@awi.de</t>
  </si>
  <si>
    <t>Dieckmann, Gerhard S/B-4307-2010; Thomas, David Neville/B-1448-2010</t>
  </si>
  <si>
    <t>Thomas, David Neville/0000-0001-8832-5907; Nehrke, Gernot/0000-0002-2851-3049</t>
  </si>
  <si>
    <t>NERC (UK); Leverhulme Trust; DFG [NE 1564/2-1 (SPP1158)]; Australian Government Co-operative Research Centre Program through the Antarctic Climate and Ecosystems Co-operative Research Centre (ACE CRC); Australian Government Co-operative Research Centre Program through Australian Antarctic Science grant [2767]</t>
  </si>
  <si>
    <t>NERC (UK)(UK Research &amp; Innovation (UKRI)Natural Environment Research Council (NERC)); Leverhulme Trust(Leverhulme Trust); DFG(German Research Foundation (DFG)); Australian Government Co-operative Research Centre Program through the Antarctic Climate and Ecosystems Co-operative Research Centre (ACE CRC)(Australian GovernmentDepartment of Industry, Innovation and ScienceCooperative Research Centres (CRC) Programme); Australian Government Co-operative Research Centre Program through Australian Antarctic Science grant(Australian Government)</t>
  </si>
  <si>
    <t>We thank the EPONTA (EPONTic micro-algae adapted to sea ice) program for funding and Institut Polaire Francais, Paul-Emile Victor (IPEV) for logistical assistance during the DDU campaign. We thank Harald Zoller, Thomas Spangenberg, Michael Wunsch, and Karlheinz Cerff for technical and computing support before and during the measurements, as well as Christiane Uhlig for preparing the samples for mineralogy and synthetic ikaite. We also thank Frank Gerard, all the scientists, and technicians from the French research station Dumont d'Urville, Antarctica as well as the captain and crew of the polar vessel Astrolabe and the pilots of the Australian Antarctic Division for all their help and support. Andreas Krell, Louiza Norman, and Klaus Meiners are particularly grateful for the support of the SIPEX team and crew of Aurora Australis, especially the expedition leader Tony Worby. David Thomas and Louiza Norman thank NERC (UK) and the Leverhulme Trust for funding. We thank the DFG for financial support through grant NE 1564/2-1 (SPP1158). This project was supported by the Australian Government Co-operative Research Centre Program through the Antarctic Climate and Ecosystems Co-operative Research Centre (ACE CRC) and through Australian Antarctic Science grant #2767. The constructive comments of the reviewers are gratefully acknowledged.</t>
  </si>
  <si>
    <t>10.1017/S0954102012001150</t>
  </si>
  <si>
    <t>WOS:000319216500011</t>
  </si>
  <si>
    <t>De Souza, JMAC; Paiva, AD; Von Schuckmann, K</t>
  </si>
  <si>
    <t>De Souza, Joao Marcos Azevedo Correia; Paiva, Afonso De Moraes; Von Schuckmann, Karina</t>
  </si>
  <si>
    <t>New estimates for the heat flux across the Polar Front: spatial and temporal variability in recent years</t>
  </si>
  <si>
    <t>ARGO; Mesoscale eddies; MOC; Southern Ocean</t>
  </si>
  <si>
    <t>ANTARCTIC CIRCUMPOLAR CURRENT; SEA-LEVEL RISE; OCEANIC EDDY TRANSPORTS; SOUTHERN-OCEAN; SATELLITE ALTIMETRY; DRAKE PASSAGE; WATER MASSES; WIND STRESS; WEDDELL SEA; CIRCULATION</t>
  </si>
  <si>
    <t>Two different methodologies are applied in order to quantify the eddy contribution to the heat flux across the Polar Front, between January 2006 and December 2009. First, the eddy fluxes are indirectly estimated through a heat balance based on geostrophic fluxes obtained from the Argo climatological temperature and salinity. Second, a parametric model based on sea level anomaly data from a merged satellite product is used to obtain a direct estimate of the eddy heat flux and its temporal and spatial variability. The results obtained through the heat balance (-80.5 +/- 16.45 x 10(13) W) and the parameterization (-56.2 +/- 4.18 x 10(13) W) are within the range established by previous studies. The eddy heat flux is observed to be concentrated in a few narrow regions, with a particularly large contribution from the Atlantic sector. A trend of intensification of the southward heat flux is observed in the study period (-0.44 x 10(13) W year(-1)), compatible with recent modelling and observational studies.</t>
  </si>
  <si>
    <t>[De Souza, Joao Marcos Azevedo Correia] IFREMER, LOS, Brest, France; [De Souza, Joao Marcos Azevedo Correia] Univ Hawaii, SOEST, Honolulu, HI 96822 USA; [Paiva, Afonso De Moraes] Univ Fed Rio de Janeiro, COPPE, PEnO, Rio de Janeiro, Brazil; [Von Schuckmann, Karina] CNRS, LOCEAN, Paris, France</t>
  </si>
  <si>
    <t>Ifremer; University of Hawaii System; Universidade Federal do Rio de Janeiro; Centre National de la Recherche Scientifique (CNRS); Museum National d'Histoire Naturelle (MNHN); Sorbonne Universite</t>
  </si>
  <si>
    <t>De Souza, JMAC (corresponding author), IFREMER, LOS, Brest, France.</t>
  </si>
  <si>
    <t>jsouza@soest.hawaii.edu</t>
  </si>
  <si>
    <t>de Souza, Joao Marcos Azevedo Correia/AFH-8303-2022; von Schuckmann, Karina/AAZ-8897-2021; Thomaz, Kathleen/HZI-4533-2023; Paiva, Afonso/AAI-2557-2020</t>
  </si>
  <si>
    <t>de Souza, Joao Marcos Azevedo Correia/0000-0001-7745-157X; von Schuckmann, Karina/0000-0002-9922-8528; Paiva, Afonso/0000-0002-2559-6037</t>
  </si>
  <si>
    <t>Coordenacao de Aperfeicoamento de Pessoal de Nivel Superior (CAPES); Institute Francais de Recherche pour l'Exploitation de la Mer (IFREMER)</t>
  </si>
  <si>
    <t>Coordenacao de Aperfeicoamento de Pessoal de Nivel Superior (CAPES)(Coordenacao de Aperfeicoamento de Pessoal de Nivel Superior (CAPES)); Institute Francais de Recherche pour l'Exploitation de la Mer (IFREMER)</t>
  </si>
  <si>
    <t>The present work would not be possible without the support from the Coordenacao de Aperfeicoamento de Pessoal de Nivel Superior (CAPES) and the Institute Francais de Recherche pour l'Exploitation de la Mer (IFREMER). Special thanks to all the crew of the Coastal and Oceanographic Engineering Group, from the Program of Ocean Engineering (PenO) of COPPE/UFRJ, and in particular to the Oceanic Processes Laboratory. Thanks to Marcia Hsu for the text revision. The authors would also like to acknowledge the two anonymous reviewers for their valuable contributions to improve this manuscript.</t>
  </si>
  <si>
    <t>10.1017/S0954102012001113</t>
  </si>
  <si>
    <t>WOS:000319216500012</t>
  </si>
  <si>
    <t>Leppäranta, M; Järvinen, O; Mattila, OP</t>
  </si>
  <si>
    <t>Lepparanta, Matti; Jarvinen, Onni; Mattila, Olli-Pekka</t>
  </si>
  <si>
    <t>Structure and life cycle of supraglacial lakes in Dronning Maud Land</t>
  </si>
  <si>
    <t>blue ice; life history; porosity; profile; radiation budget</t>
  </si>
  <si>
    <t>SNOW</t>
  </si>
  <si>
    <t>Supraglacial lakes form in Antarctic blue ice regions from penetration of solar radiation into the ice in summer. Three lakes were mapped for their structure in summers 2004-05 and 2010-11 in western Dronning Maud Land, and one was also examined for the radiation budget. The lake body consisted of two layers, each similar to 1m thick: an upper layer with a thin ice layer on top and main body of liquid water, and a lower layer containing slush and hard ice sub-layers. A sediment- rich slush pocket was found at the bottom. Hydraulic conductivity of the lake body was 0.25-30 cm s(-1) depending on the stage of evolution, with 6.3 cm s(-1) for closely packed slush. Albedo of the lake was 0.4-0.6 and light attenuation coefficient was 0.5-0.7m(-1). The formation and the depth scale of the lakes are determined by the light attenuation distance and thermal diffusion coefficient, limiting the growth to less than about 1.5m in one summer. The potential winter growth is more and thus the lakes freeze up in winter in the present climatic conditions.</t>
  </si>
  <si>
    <t>[Lepparanta, Matti; Jarvinen, Onni] Univ Helsinki, Dept Phys, FI-00014 Helsinki, Finland; [Mattila, Olli-Pekka] Finnish Environm Inst, Helsinki, Finland</t>
  </si>
  <si>
    <t>University of Helsinki; Finnish Environment Institute</t>
  </si>
  <si>
    <t>Leppäranta, M (corresponding author), Univ Helsinki, Dept Phys, POB 48,Erik Palmenin Aukio 1, FI-00014 Helsinki, Finland.</t>
  </si>
  <si>
    <t>matti.lepparanta@helsinki.fi</t>
  </si>
  <si>
    <t>; Lepparanta, Matti/M-7507-2017</t>
  </si>
  <si>
    <t>Mattila, Olli-Pekka/0000-0001-6887-2874; Lepparanta, Matti/0000-0002-4754-5564</t>
  </si>
  <si>
    <t>Academy of Finland</t>
  </si>
  <si>
    <t>Academy of Finland(Research Council of Finland)</t>
  </si>
  <si>
    <t>We are grateful to the logistics team of the FINNARP 2004 expedition and to Anne Lehtinen for information on the conditions in summer 2003-04 in the study lakes. Mika Makela is thanked for help in processing the ice samples. Funding was provided for our projects Seasonal snow in Antarctica II (2002-05) and Evolution of snow cover and dynamics of atmospheric deposits in the snow in the Antarctica (2009-12) by the Academy of Finland. The constructive comments of the reviewers are also gratefully acknowledged.</t>
  </si>
  <si>
    <t>10.1017/S0954102012001009</t>
  </si>
  <si>
    <t>WOS:000319216500014</t>
  </si>
  <si>
    <t>Smith, RO; Vennell, R; Bostock, HC; Williams, MJM</t>
  </si>
  <si>
    <t>Smith, Robert O.; Vennell, Ross; Bostock, Helen C.; Williams, Michael J. M.</t>
  </si>
  <si>
    <t>Interaction of the subtropical front with topography around southern New Zealand</t>
  </si>
  <si>
    <t>Subtropical front; STFZ; Topographic steering; Macquarie Ridge; New Zealand; Density compensation</t>
  </si>
  <si>
    <t>ANTARCTIC POLAR FRONT; INDIAN-OCEAN; SOUTHLAND CURRENT; CARBON-DIOXIDE; SURFACE-WATER; VARIABILITY; OCEANOGRAPHY; CONVERGENCE; EAST; DISTRIBUTIONS</t>
  </si>
  <si>
    <t>The subtropical front zone (STFZ) is a fundamental feature of the southwest Pacific Ocean. It separates waters in the subtropical gyres from subantarctic waters. In this study we examine a section of the global STFZ that passes around southern New Zealand, using hydrographic sections and remotely sensed sea surface temperature (SST) data collected during the austral autumns of 2007, 2008 and 2011. The STFZ was composed of a single southern subtropical front (S-STF) that marked the poleward edge of the STFZ, while the region north of the S-STF was characterised by a series of shallow fronts (&lt; 50 m depth) and a freshwater-induced neritic front. The S-STF around southern New Zealand is also distinguished by moderate-to-weak density compensation, in contrast to the strong density compensation to the west and east of New Zealand. We find strong coupling between the surface and subsurface expressions of the S-STF and demonstrate the practicality of tracing the pathway of the front using its surface expression from remotely sensed images. The S-STF is steered by topography as it crosses the Macquarie Ridge close to 49.6 degrees S and to the east of 166 degrees E as it turns equatorward following the upper continental slope. This is contrary to some previous descriptions that placed the S-STF lying across the Snares Shelf close to 47.5 degrees S. Topographic interactions between the S-STF and sharply defined bathymetry around southern New Zealand appear to strongly influence the position of the front in this region. Cross-frontal temperature and salinity gradients at the S-STF were also found to be intensified in regions of shallow bathymetry. Both results are attributed to topographic steering of the front by bathymetry at approximately 500 m depth. (C) 2013 Elsevier Ltd. All rights reserved.</t>
  </si>
  <si>
    <t>[Smith, Robert O.; Vennell, Ross] Univ Otago, Dept Marine Sci, Ocean Phys Grp, Dunedin 9054, New Zealand; [Bostock, Helen C.; Williams, Michael J. M.] Natl Inst Water &amp; Atmospher Res, Wellington 6021, New Zealand</t>
  </si>
  <si>
    <t>University of Otago; National Institute of Water &amp; Atmospheric Research (NIWA) - New Zealand</t>
  </si>
  <si>
    <t>Smith, RO (corresponding author), Univ Otago, Dept Marine Sci, Ocean Phys Grp, POB 56, Dunedin 9054, New Zealand.</t>
  </si>
  <si>
    <t>robsmithrobsmith@gmail.com</t>
  </si>
  <si>
    <t>Smith, Robert/F-7730-2011; Smith, Robert/AAE-4026-2019; Williams, Michael/H-9674-2014; Bostock, Helen/A-6834-2013; Vennell, Ross/A-7425-2010</t>
  </si>
  <si>
    <t>Bostock, Helen/0000-0002-8903-8958; Smith, Robert Owain/0000-0001-5931-3843; Vennell, Ross/0000-0001-6961-9977</t>
  </si>
  <si>
    <t>NIWA; University of Otago</t>
  </si>
  <si>
    <t>We thank the Captain, Crew and Scientific staff for their valuable assistance in collecting the data on RV Tangaroa voyages TAN0704, TAN0803 and TAN1106. We also thank the three anonymous reviewers for their helpful comments and suggestions for improving this work. This work has been supported by NIWA as part of its Government-funded core research and a University of Otago Doctoral Scholarship to R. Smith. This study uses implementations of the M_Map MATLAB toolbox made freely available by Rich Pawlowicz (http://www.eos.ubc.ca/similar to rich/map.html) and the Global Self-consistent Hierarchical High-resolution Shorelines (GSHHS) database (Wessel and Smith, 1996) made freely available by the National Geophysical Data Center (http://www.ngdc.noaa.gov/mgg/shorelines/data/gshhs/).</t>
  </si>
  <si>
    <t>10.1016/j.dsr.2013.02.007</t>
  </si>
  <si>
    <t>146KM</t>
  </si>
  <si>
    <t>WOS:000319090000002</t>
  </si>
  <si>
    <t>Gouramanis, C; De Deckker, P; Switzer, AD; Wilkins, D</t>
  </si>
  <si>
    <t>Gouramanis, Chris; De Deckker, Patrick; Switzer, Adam D.; Wilkins, Daniel</t>
  </si>
  <si>
    <t>Cross-continent comparison of high-resolution Holocene climate records from southern Australia - Deciphering the impacts of far-field teleconnections</t>
  </si>
  <si>
    <t>Lacustrine - marine cores; IOD; ENSO; SAM; ITCZ; Palaeoclimate</t>
  </si>
  <si>
    <t>LATE QUATERNARY PALEOECOLOGY; SECULAR VARIATION RECORD; MURRAY CANYONS AREA; LAST GLACIAL CYCLE; PACIFIC WARM POOL; EL-NINO; LATE PLEISTOCENE; LAKE KEILAMBETE; SUMMER MONSOON; SEA-LEVEL</t>
  </si>
  <si>
    <t>Several well-dated and high-resolution, multi-proxy Holocene palaeodimatic records have recently emerged that permit a cross-continent comparison of climatic changes in Australia. This synthesis seeks to compare these records with recently published records from southern Australia and investigate the role of far-field teleconnections that have played in the mid to late Holocene climatic history of the region. The modern climate of southeastern Australia (SEA) is influenced by the Indian Ocean sector of the Southern Annular Mode (IOS-SAM), the El Nino Southern Oscillation (ENSO) and the Indian Ocean Dipole (IOD) and contrasts with southwestern Australia (SWA), which is predominantly influenced by variations in the IOS-SAM. Both regions have undergone a period of increasing aridity through the second half of the Holocene in response to the southerly migration of the mean position of the Inter-Tropical Convergence Zone (ITCZ) and the southerly migration of the IOS-SAM. Comparison of the palaeorecords stemming from both SEA and SWA suggests that the SWA record differs from the climate recorded from SEA from approximately 5.6 ka. This difference is ascribed to an increased influence of large-scale climate drivers including the IOD and ENSO variability in SEA, which have negligible impact on the climate of SWA. Throughout the Holocene, the southerly migration of the ITCZ results in a weaker Asian summer monsoon. However, the rate of Asian summer monsoon weakening slowed during the middle Holocene and this coincides with a larger sea-surface temperature gradient across the equatorial Indian Ocean that resulted in a prolonged mode of positive IOD and a period of significantly increased evaporation in SEA. Those phenomena engendered a general decline in the lake levels in SEA, which is not seen in SWA as this region was not significantly affected by the IOD throughout the Holocene. This positive IOD period lasted until similar to 4.3 ka, before a return to the strengthening (weakening) of the Australian (Asian) summer monsoon conditions that resulted in a southward shift of the ITCZ during the austral winter. The southerly shift in the ITCZ was associated with a more southerly mean position of the IOS-SAM and drier conditions for SEA and SWA. The climate affecting SEA after 43 ka coincides with an increasing incidence and strengthening of the El Nino (non-El Nino or La Nina) mode coupled with positive (negative) modes of the IOD that resulted in a net deficit (excess) of water. The driest phase in SEA occurs at ca. 1.8 ka, when far-field palaeoclimate records indicate a peak in El Nino intensity, although the impact of the IOD cannot be discounted. Conversely, both the IOD and ENSO phenomena do not affect the climate of SWA, thus leading to significant differences in the climate across the southern margin of the Australian continent. (C) 2013 Elsevier B.V. All rights reserved.</t>
  </si>
  <si>
    <t>[Gouramanis, Chris; Switzer, Adam D.] Nanyang Technol Univ, Earth Observ Singapore, Singapore 639798, Singapore; [Gouramanis, Chris; De Deckker, Patrick; Wilkins, Daniel] Australian Natl Univ, Res Sch Earth Sci, Canberra, ACT 0200, Australia; [Switzer, Adam D.] Nanyang Technol Univ, Div Earth Sci, Singapore 639798, Singapore; [Wilkins, Daniel] Australian Antarctic Div, Dept Sustainabil Environm Water Populat &amp; Communi, Kingston, Tas 7150, Australia</t>
  </si>
  <si>
    <t>Nanyang Technological University; Australian National University; Nanyang Technological University; Australian Antarctic Division</t>
  </si>
  <si>
    <t>Gouramanis, C (corresponding author), Nanyang Technol Univ, Earth Observ Singapore, Singapore 639798, Singapore.</t>
  </si>
  <si>
    <t>cgouramanis@ntu.edu.sg</t>
  </si>
  <si>
    <t>Gouramanis, Chris/AAP-3165-2020; Switzer, Adam D/B-7036-2011; Wilkins, Daniel/AAF-3959-2020</t>
  </si>
  <si>
    <t>Gouramanis, Chris/0000-0003-2867-2258; Switzer, Adam D/0000-0002-4352-7852; Wilkins, Daniel/0000-0003-2081-483X</t>
  </si>
  <si>
    <t>ARC [DP0344932]; National Research Foundation Singapore under Singapore NRF [NRF-RF2010-04]; National Research Foundation Singapore; Singapore Ministry of Education under the Research Centres of Excellence initiative; Australian Research Council [DP0344932] Funding Source: Australian Research Council</t>
  </si>
  <si>
    <t>ARC(Australian Research Council); National Research Foundation Singapore under Singapore NRF(National Research Foundation, Singapore); National Research Foundation Singapore(National Research Foundation, Singapore); Singapore Ministry of Education under the Research Centres of Excellence initiative(Ministry of Education, Singapore); Australian Research Council(Australian Research Council)</t>
  </si>
  <si>
    <t>The authors would like to thank Jessica Reeves, Tas Van Ommen, Wenju Cai, Tim Cowan and David Battisti for the discussions of various aspects of this work. The senior author would also like to thank Xianfeng Wang, Tim Cowan and Judith Shelley who commented upon earlier versions of the manuscript. The authors would also like to thank the constructive comments of the two anonymous reviewers, which improved this manuscript. This work was originally funded through ARC Discovery Grant DP0344932 awarded to PDD and has since been supported by the National Research Foundation Singapore under its Singapore NRF Fellowship scheme (National Research Fellow Award No. NRF-RF2010-04 awarded to ADS) and administered by Earth Observatory of Singapore and the National Research Foundation Singapore and the Singapore Ministry of Education under the Research Centres of Excellence initiative. This manuscript also forms EOS Contribution No 47.</t>
  </si>
  <si>
    <t>10.1016/j.earscirev.2013.02.006</t>
  </si>
  <si>
    <t>148HR</t>
  </si>
  <si>
    <t>WOS:000319235800004</t>
  </si>
  <si>
    <t>Gebhardt, H; Roetzel, R</t>
  </si>
  <si>
    <t>Gebhardt, Holger; Roetzel, Reinhard</t>
  </si>
  <si>
    <t>The Antarctic viewpoint of the Central Paratethys: cause, timing, and duration of a deep valley incision in the Middle Miocene Alpine-Carpathian Foredeep of Lower Austria</t>
  </si>
  <si>
    <t>INTERNATIONAL JOURNAL OF EARTH SCIENCES</t>
  </si>
  <si>
    <t>Incised valley; Glacio-eustatic sea-level changes; Alpine-Carpathian Foredeep; Middle Miocene; Central Paratethys</t>
  </si>
  <si>
    <t>BADENIAN SALINITY CRISIS; SEA-LEVEL; CLIMATE VARIABILITY; OXYGEN ISOTOPES; MOLASSE BASIN; VIENNA BASIN; OLIGOCENE; PALEOGEOGRAPHY; STRATIGRAPHY; EVOLUTION</t>
  </si>
  <si>
    <t>Global, glacio-eustatic sea-level changes massively influenced the depositional history of the Central Paratethyan region. Here, we correlate Middle Miocene global delta O-18-shifts with ice volume changes on Antarctica and sea-level changes with corresponding phases of erosion (valley incision) and deposition in the Lower Austrian part of the Alpine-Carpathian Foredeep. This allows the exact dating of the valley formation. Two periods of positive delta O-18-shifts resulted in sea-level drops of about 60 and 40 m, respectively. The first drop in the late Langhian (middle Badenian) at c. 13.9 Ma (Mi3b) was fast and caused severe erosion on the emerged foredeep. In a second, less pronounced step around 13.0 Ma (Mi4) in the middle Serravallian (late Badenian), the base level was further deepened after a period of alternating erosion and deposition. The combined sea-level change (80-120 m) fits well with the maximum thickness of Sarmatian sediments drilled within incised valley (110 m). The global sea-level falls affected not only the geological history of the foredeep. The intensive erosion (valley incision) is combined with delta progradation in the adjacent Vienna Basin. Due to this massive sea-level drop, the interruption of marine connections resulted in vast salt deposits and faunal crises within the Central Paratethys during this time.</t>
  </si>
  <si>
    <t>[Gebhardt, Holger; Roetzel, Reinhard] Geol Bundesanstalt, A-1030 Vienna, Austria</t>
  </si>
  <si>
    <t>Gebhardt, H (corresponding author), Geol Bundesanstalt, Neulinggasse 38, A-1030 Vienna, Austria.</t>
  </si>
  <si>
    <t>holger.gebhardt@geologie.ac.at</t>
  </si>
  <si>
    <t>1437-3254</t>
  </si>
  <si>
    <t>1437-3262</t>
  </si>
  <si>
    <t>INT J EARTH SCI</t>
  </si>
  <si>
    <t>Int. J. Earth Sci.</t>
  </si>
  <si>
    <t>10.1007/s00531-012-0841-9</t>
  </si>
  <si>
    <t>147KZ</t>
  </si>
  <si>
    <t>WOS:000319167100001</t>
  </si>
  <si>
    <t>Polito, MJ; Reiss, CS; Trivelpiece, WZ; Patterson, WP; Emslie, SD</t>
  </si>
  <si>
    <t>Polito, Michael J.; Reiss, Christian S.; Trivelpiece, Wayne Z.; Patterson, William P.; Emslie, Steven D.</t>
  </si>
  <si>
    <t>Stable isotopes identify an ontogenetic niche expansion in Antarctic krill (Euphausia superba) from the South Shetland Islands, Antarctica</t>
  </si>
  <si>
    <t>TROPHIC RELATIONSHIPS; PHYTOPLANKTON COMMUNITIES; ADELIE PENGUINS; CARBON ISOTOPES; CLIMATE-CHANGE; GROWTH-RATE; SCOTIA SEA; FOOD-WEB; DIET; DELTA-N-15</t>
  </si>
  <si>
    <t>Antarctic krill (Euphausia superba) occupy a key position in the Southern Ocean linking primary production to secondary consumers. While krill is a dominant grazer of phytoplankton, it also consumes heterotrophic prey and the relative importance of these two resources may differ with ontogeny. We used stable isotope analyses to evaluate body size-dependent trophic and habitat shifts in krill during the austral summer around the South Shetland Islands, Antarctica. We found evidence for an asymmetric, ontogenetic niche expansion with adults of both sexes having higher and more variable delta N-15 values but consistent delta C-13 values in comparison with juveniles. This result suggests that while phytoplankton likely remains an important life-long resource, krill in our study area expand their dietary niche to include higher trophic food sources as body size increases. The broader dietary niches observed in adults may help buffer them from recent climate-driven shifts in phytoplankton communities that negatively affect larval or juvenile krill that rely predominately on autotrophic resources.</t>
  </si>
  <si>
    <t>[Polito, Michael J.] Woods Hole Oceanog Inst, Dept Biol, Woods Hole, MA 02543 USA; [Polito, Michael J.; Emslie, Steven D.] Univ N Carolina, Dept Biol &amp; Marine Biol, Wilmington, NC 28403 USA; [Reiss, Christian S.; Trivelpiece, Wayne Z.] Natl Marine Fisheries Serv, Antarctic Ecosyst Res Div, SW Fisheries Sci Ctr, La Jolla, CA 92037 USA; [Patterson, William P.] Univ Saskatchewan, Dept Geol Sci, Isotope Lab, Saskatoon, SK S7N 5E2, Canada</t>
  </si>
  <si>
    <t>Woods Hole Oceanographic Institution; University of North Carolina; University of North Carolina Wilmington; National Oceanic Atmospheric Admin (NOAA) - USA; University of Saskatchewan</t>
  </si>
  <si>
    <t>Polito, MJ (corresponding author), Woods Hole Oceanog Inst, Dept Biol, Woods Hole, MA 02543 USA.</t>
  </si>
  <si>
    <t>mpolito@whoi.edu</t>
  </si>
  <si>
    <t>Polito, Michael/G-9118-2012; Patterson, William P/J-6473-2012; , Bill/GSD-6628-2022</t>
  </si>
  <si>
    <t>Polito, Michael/0000-0001-8639-4431; Patterson, William/0000-0003-3387-708X</t>
  </si>
  <si>
    <t>U.S. National Science Foundation (NSF) Office of Polar Programs (OPP) [ANT-0739575]; US AMLR program; Directorate For Geosciences; Office of Polar Programs (OPP) [0739575] Funding Source: National Science Foundation</t>
  </si>
  <si>
    <t>U.S. National Science Foundation (NSF) Office of Polar Programs (OPP)(National Science Foundation (NSF)); US AMLR program; Directorate For Geosciences; Office of Polar Programs (OPP)(National Science Foundation (NSF)NSF - Directorate for Geosciences (GEO))</t>
  </si>
  <si>
    <t>This research was funded by U.S. National Science Foundation (NSF) Office of Polar Programs (OPP) grant ANT-0739575 and the US AMLR program. We thank A. Cossio, K. Dietrich, R. Driscoll, M. Goebel, C. Hewes, V. Loeb, A. VanCise, J. Walsh and the AMLR physical and biological oceanography and zooplankton teams for assistance with the collection of oceanographic data and krill samples. J. Seminoff, K. Durenberger, D. Besic, and J. Blum assisted with lipid extractions, stable isotope, and statistical analyses. J. Hinke, M. Goebel and two anonymous reviewers provided helpful comments on an earlier version of this manuscript.</t>
  </si>
  <si>
    <t>10.1007/s00227-013-2182-z</t>
  </si>
  <si>
    <t>149ZN</t>
  </si>
  <si>
    <t>WOS:000319360100002</t>
  </si>
  <si>
    <t>Santora, JA</t>
  </si>
  <si>
    <t>Santora, Jarrod A.</t>
  </si>
  <si>
    <t>Dynamic intra-seasonal habitat use by Antarctic fur seals suggests migratory hotspots near the Antarctic Peninsula</t>
  </si>
  <si>
    <t>SOUTH SHETLAND ISLANDS; ARCTOCEPHALUS-GAZELLA PETERS; KING GEORGE ISLAND; SPATIAL-DISTRIBUTION; ELEPHANT ISLAND; SCOTIA SEA; FORAGING BEHAVIOR; MACARONI PENGUINS; MARINE PREDATORS; PUP PRODUCTION</t>
  </si>
  <si>
    <t>Antarctic fur seals (Arctocephalus gazella) are major secondary consumers in the Southern Ocean, placing them in potential competition with commercial fisheries and requiring research to understand their seasonal habitat use. Using the data obtained during 14 shipboard surveys sampled on a fixed grid (150 K km(2)) during mid- to late summer, I quantified the spatial distribution and intra-seasonal variability of fur seal sightings relative to distance to land and hydrographic boundaries. I test the hypothesis that fur seals display an increase in their at-sea abundance during mid- to late summer near the Antarctic Peninsula as they prepare to take up wintering grounds. I also test whether abundances of their potential prey, krill and myctophids, exhibit intra-seasonal variability. During midsummer, high-abundance areas are located near major breeding colonies; however, during late summer, there is an order-of-magnitude increase in fur seal abundance, coinciding with an increase in the number of high-abundance areas located in Bransfield Strait. Coincidently, abundance of Euphausia superba decreased and the myctophid Electrona antarctica increased between mid- and late-summer surveys. High-abundance areas of fur seals are not associated with the southern Antarctic Circumpolar Current front but are concentrated within 100 km from land, potentially indicating the location of haul out and important coastal habitat use areas. The dynamic increase in the number and location of high-abundance areas during late summer represents a considerable amount of mammalian predators entering the Antarctic Peninsula marine ecosystem. This information is important for understanding the seasonal impact of fur seals on regional marine food webs and their potential interaction with the autumn-winter krill fishery.</t>
  </si>
  <si>
    <t>[Santora, Jarrod A.] NOAA, Fisheries Ecol Div, SW Fisheries Sci Ctr, Natl Marine Fisheries Serv, Santa Cruz, CA 95060 USA; [Santora, Jarrod A.] Farallon Inst Adv Ecosyst Res, Petaluma, CA 94952 USA</t>
  </si>
  <si>
    <t>National Oceanic Atmospheric Admin (NOAA) - USA</t>
  </si>
  <si>
    <t>Santora, JA (corresponding author), NOAA, Fisheries Ecol Div, SW Fisheries Sci Ctr, Natl Marine Fisheries Serv, 110 Shaffer Rd, Santa Cruz, CA 95060 USA.</t>
  </si>
  <si>
    <t>jasantora@gmail.com</t>
  </si>
  <si>
    <t>AMLR; NSF-OPP Grants [9983751, 0337648]</t>
  </si>
  <si>
    <t>AMLR; NSF-OPP Grants</t>
  </si>
  <si>
    <t>I greatly appreciate the effort and dedication of the many cruise participants of the US Antarctic Marine Living Resource (AMLR) program. Special thanks to Michael P. Force and Darci Lombard for their assistance in surveying seabirds and marine mammals, and Michael Goebel and Christian S. Reiss for valuable discussion. The feedback from three anonymous reviewers and the editor greatly improved this paper. This research was supported by AMLR contracts to J. A. Santora and NSF-OPP Grants (9983751, 0337648) to R. R. Veit.</t>
  </si>
  <si>
    <t>10.1007/s00227-013-2190-z</t>
  </si>
  <si>
    <t>WOS:000319360100008</t>
  </si>
  <si>
    <t>La Mesa, M; Catalano, B; Koubbi, P; Jones, CD</t>
  </si>
  <si>
    <t>La Mesa, Mario; Catalano, Barbara; Koubbi, Philippe; Jones, Christopher D.</t>
  </si>
  <si>
    <t>Early ontogeny of the mackerel icefish, Champsocephalus gunnari, in the southern Scotia Arc</t>
  </si>
  <si>
    <t>Age and growth; Yolk-sac larvae; Channichthyid; Bransfield strait; Southern Ocean</t>
  </si>
  <si>
    <t>EARLY-LIFE-HISTORY; AGE-DETERMINATIONS; ANTARCTIC FISH; GEORGIA; LARVAL; GROWTH; PERSPECTIVE; VALIDATION; STRATEGIES; ISLANDS</t>
  </si>
  <si>
    <t>During the early ontogeny of fishes, the timing and duration of key events such as larval hatching and the switch from endogenous to exogenous feeding largely determine the offspring viability and survival. The aim of the present study was to investigate the life history traits of the early larvae of the mackerel icefish, Champsocephalus gunnari, collected in summer south of the South Shetland Islands in the Bransfield Strait and north of Elephant Island. Through the analysis of sagittal otolith microstructure, we assessed the timing and duration of egg incubation, larval hatching, first exogenous feeding, rate of yolk resorption and body growth rate. Compared to populations living further north (i.e. around South Georgia and Kerguelen Islands), mackerel icefish in the southern Scotia Arc exhibits longer egg incubation (lasting 90-120 days from winter to summer) and delayed hatching time spread over a relatively short period lasting 26 days between January and February. The first exogenous feeding takes place between 13 and 24 days after hatching still in the presence of the yolk-sac, indicating a prolonged mixed feeding afterward. The specific growth rate or daily percentage change in size (G) was 1.9 % SL day(-1), corresponding to a daily growth rate at mean size of 0.31 mm day(-1). While showing significant differences in early life history traits across their geographical distribution, C. gunnari populations share a common strategy, spawning a small number of large eggs that hatch in relatively large-sized larvae, at a time which may be independent of the timing of pack-ice retreat and onset of the production cycle.</t>
  </si>
  <si>
    <t>[La Mesa, Mario] Ist Sci Marine, ISMAR CNR, I-60125 Ancona, Italy; [Catalano, Barbara] Ist Super Protez &amp; Ric Ambientale, ISPRA, I-00166 Rome, Italy; [Koubbi, Philippe] Univ Paris 06, Stn Zool, CNRS UMR 7093, LOV, F-06230 Villefranche Sur Mer, France; [Jones, Christopher D.] NOAA, Antarctic Ecosyst Res Div, SW Fisheries Sci Ctr, Natl Marine Fisheries Serv, La Jolla, CA 92037 USA</t>
  </si>
  <si>
    <t>Consiglio Nazionale delle Ricerche (CNR); Istituto di Scienze Marine (ISMAR-CNR); Italian Institute for Environmental Protection &amp; Research (ISPRA); Centre National de la Recherche Scientifique (CNRS); CNRS - National Institute for Earth Sciences &amp; Astronomy (INSU); Sorbonne Universite; National Oceanic Atmospheric Admin (NOAA) - USA</t>
  </si>
  <si>
    <t>Koubbi, Philippe/D-5873-2015; Catalano, Barbara/GRR-7882-2022; CNR, Ismar/P-1247-2014</t>
  </si>
  <si>
    <t>We thank the U.S. AMLR scientific staff, and the crew members and personnel aboard the R/V Moana Wave for their support in sampling activities. This study was supported by the PNRA (Italian National Antarctic Research Program). We are very grateful to three anonymous referees for their helpful comments.</t>
  </si>
  <si>
    <t>10.1007/s00300-013-1304-x</t>
  </si>
  <si>
    <t>141JX</t>
  </si>
  <si>
    <t>WOS:000318722600004</t>
  </si>
  <si>
    <t>Ono, A; Moteki, M</t>
  </si>
  <si>
    <t>Ono, Atsushi; Moteki, Masato</t>
  </si>
  <si>
    <t>Spatial distributions and population dynamics of two salp species, Ihlea racovitzai and Salpa thompsoni, in the waters north of Lutzow-Holm Bay (East Antarctica) during austral summers of 2005 and 2006</t>
  </si>
  <si>
    <t>Ihlea racovitzai; Salpa thompsoni; Population structure; Spatial distribution; Lutzow-Holm Bay; Southern Ocean</t>
  </si>
  <si>
    <t>SEA-ICE EXTENT; SOUTHERN-OCEAN; ATLANTIC SECTOR; KRILL; THALIACEA; TUNICATA; MACROZOOPLANKTON; CIRCULATION; ABUNDANCE; ECOSYSTEM</t>
  </si>
  <si>
    <t>Information on the sequences of generations and reproductive states of salps in the Southern Ocean is essential for an improved understanding of salp population growth, although changes in distribution patterns of two species of salps, Salpa thompsoni and Ihlea racovitzai, in the Southern Ocean have the potential to alter the Southern Ocean ecosystem. We used stratified, quantitative sampling from the surface to 2,000 m depth with an RMT 8 net in January of 2005 and 2006 to determine the distribution and population structure of salps in the north of Lutzow-Holm Bay, East Antarctica. Ihlea racovitzai occurred in both 2005 and 2006, but S. thompsoni was found only in 2005. Ihlea racovitzai occurred abundantly along the ice edge where Antarctic Winter Water was well developed, whereas S. thompsoni was more abundant at northern stations affected by warm Modified Circumpolar Deep Water. Small solitary stages of I. racovitzai dominated in 2005, but they had declined significantly by 2006. The S. thompsoni population was composed of small immature aggregates and mature solitary stages, suggesting that the solitary stages were reproducing. We did not find mature aggregate and immature solitary stages in the present study and thus suggested that S. thompsoni was unable to complete its life cycle in the north of Lutzow-Holm Bay because of failure of sexual reproduction in the aggregate stage. The S. thompsoni population was therefore probably transported to our study area by advection.</t>
  </si>
  <si>
    <t>[Ono, Atsushi; Moteki, Masato] Tokyo Univ Marine Sci &amp; Technol, Dept Ocean Sci, Minato Ku, Tokyo 1088477, Japan</t>
  </si>
  <si>
    <t>Tokyo University of Marine Science &amp; Technology</t>
  </si>
  <si>
    <t>Ono, A (corresponding author), Marine Works Japan Ltd, Dept Marine Sci, Geochem Oceanog Off Geochem Anal, 2-15 Natsushima, Yokosuka, Kanagawa 2370061, Japan.</t>
  </si>
  <si>
    <t>onoa@mwj.co.jp</t>
  </si>
  <si>
    <t>Japan Society for the Promotion of Science [14255102, 19255014, 16101001]; Grants-in-Aid for Scientific Research [19255014, 16101001]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</si>
  <si>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</si>
  <si>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captain, officers, and crew members of the TRV Umitaka Maru and all of the on-board cadets in the Advanced Course for Marine Science and Technology for their cooperation in sample collection. We are grateful to Drs. T. Ishimaru, Y. Yamaguchi, Y. Tanaka, and N. Miyazaki (TUMSAT) for their collaboration and valuable comments. We also thank our scientific colleagues from the National Institute of Polar Research (NIPR), Hokkaido University, and other institutes for help with processing samples and with hydrographic ship-based observations. Mr. R. Toda (TUMSAT) kindly helped us with producing some of the figures and with sorting zooplankton in net samples. Dr. G. W. Hosie (Australian Antarctic Division) provided critical input on the early draft. The present study was supported primarily by Grants-in-Aid for Scientific Research from the Japan Society for the Promotion of Science (Nos. 14255102 and 19255014 to T. Ishimaru and 16101001 to M. Fukuchi of the NIPR).</t>
  </si>
  <si>
    <t>10.1007/s00300-013-1305-9</t>
  </si>
  <si>
    <t>WOS:000318722600005</t>
  </si>
  <si>
    <t>Wiernes, MP; Sahade, R; Tatián, M; Chiappero, MB</t>
  </si>
  <si>
    <t>Paula Wiernes, M.; Sahade, Ricardo; Tatian, Marcos; Chiappero, Marina B.</t>
  </si>
  <si>
    <t>Genetic variability and differentiation among polymorphic populations of the genus Synoicum (Tunicata, Ascidiacea) from the South Shetland Islands</t>
  </si>
  <si>
    <t>Synoicum; COI; Morphotypes; Genetic differentiation</t>
  </si>
  <si>
    <t>BOTRYLLUS-SCHLOSSERI; MITOCHONDRIAL-DNA; DRAKE PASSAGE; COLOR MORPHS; DIVERSITY; PHYLOGEOGRAPHY; SPECIATION; CONNECTIVITY; MORPHOTYPES; DISPERSAL</t>
  </si>
  <si>
    <t>In Antarctica, ascidians are among the most conspicuous and abundant organisms in benthic ecosystems and many species present wide distribution patterns. Two similar forms of ascidians of the colonial genus Synoicum were sampled along the South Shetland Islands, one greenish-yellow with elongated colony stalks and the other yellow-orange with shorter stalks and more rounded colony bodies. The taxonomic analyses indicated that the greenish-yellow form corresponded to the description of the species S. ostentor and the yellow-orange form to that of S. adareanum. However, molecular analyses using the cytochrome oxidase I gene did not detect clear differences between both forms. The frequency and geographic distribution of haplotypes indicate that some degree of gene flow may be occurring, strongly suggesting that both morphotypes did not achieve a complete reproductive isolation yet, that they can still interbreed and should therefore be considered as a single species. Surprisingly, these results are not in line with recent studies of Antarctic fauna using a similar approach, which revealed several cases of morphologically indistinguishable but genetically distinct species.</t>
  </si>
  <si>
    <t>[Paula Wiernes, M.; Sahade, Ricardo; Tatian, Marcos; Chiappero, Marina B.] Inst Diversidad &amp; Ecol Anim CONICET UNC, RA-5000 Cordoba, Argentina; [Paula Wiernes, M.; Sahade, Ricardo; Tatian, Marcos; Chiappero, Marina B.] Univ Nacl Cordoba, Fac Ciencias Exactas Fis &amp; Nat, RA-5000 Cordoba, Argentina</t>
  </si>
  <si>
    <t>National University of Cordoba</t>
  </si>
  <si>
    <t>Wiernes, MP (corresponding author), Inst Diversidad &amp; Ecol Anim CONICET UNC, Ave Velez Sarstield 299, RA-5000 Cordoba, Argentina.</t>
  </si>
  <si>
    <t>paulawiernes@hotmail.com; rsahade@efn.uncor.edu</t>
  </si>
  <si>
    <t>Tatian, Marcos/0000-0002-9092-9184; Sahade, Ricardo/0000-0001-5650-8135; Chiappero, Marina Beatriz/0000-0003-3009-8646</t>
  </si>
  <si>
    <t>Consejo Nacional de Investigaciones Cientificas y Tecnicas (CONICET); Instituto Antartico Argentino (IAA); Fondo para la Investigacion Cientifica y Tecnologica (FONCyT); National University of Cordoba</t>
  </si>
  <si>
    <t>Consejo Nacional de Investigaciones Cientificas y Tecnicas (CONICET)(Consejo Nacional de Investigaciones Cientificas y Tecnicas (CONICET)); Instituto Antartico Argentino (IAA); Fondo para la Investigacion Cientifica y Tecnologica (FONCyT)(FONCyT); National University of Cordoba</t>
  </si>
  <si>
    <t>We thank the crew and participants of the BENTART-06 (BIO Hesperides) for their help and assistance and Ana Ramos for her support. We are grateful to Milagros Demarchi and Cristian Lagger who helped in collecting part of the samples. Financial and logistic supports were provided by the Consejo Nacional de Investigaciones Cientificas y Tecnicas (CONICET), Instituto Antartico Argentino (IAA), Fondo para la Investigacion Cientifica y Tecnologica (FONCyT) and the National University of Cordoba.</t>
  </si>
  <si>
    <t>10.1007/s00300-013-1312-x</t>
  </si>
  <si>
    <t>WOS:000318722600011</t>
  </si>
  <si>
    <t>Wojtun, B; Kolon, K; Samecka-Cymerman, A; Jasion, M; Kempers, AJ</t>
  </si>
  <si>
    <t>Wojtun, Bronislaw; Kolon, Krzysztof; Samecka-Cymerman, Aleksandra; Jasion, Mateusz; Kempers, Alexander J.</t>
  </si>
  <si>
    <t>A survey of metal concentrations in higher plants, mosses, and lichens collected on King George Island in 1988</t>
  </si>
  <si>
    <t>Bioindication; Metal; Maritime Antarctic</t>
  </si>
  <si>
    <t>TRACE-ELEMENTS; BASE-LINE; ANTARCTICA; CADMIUM; MERCURY; RECORD; COLONY; COPPER; SOILS; LEAD</t>
  </si>
  <si>
    <t>Antarctica is considered to be one of the least polluted regions on earth, and therefore, it is important to survey and control the level of contamination. Antarctic vegetation is very sparse and is essentially restricted to seashore oases and nunataks. Therefore, any data concerning metal levels in plants and lichens are of crucial value for this area. Our first goal was to determine metal concentrations in two higher plants and the most dominant species of mosses and lichens collected in 1988. We then compared the results of our survey with recent studies employing similar methodology. In our study, Cr, Cu, Fe, Ni, Pb, V, and Zn concentrations in mosses, C. quitensis and D. antarctica were also higher than typical values for mosses and vascular plants from unpolluted areas indicating anthropogenic influence. Mosses were determined to be better bioindicators of metals than lichens. Hg concentrations in mosses were significantly higher than those in shoots of C. quitensis and D. antarctica. Increases in Cr, Pb, and V concentrations over time were observed in moss when concentrations from samples collected in 1988 were compared with more recent data from other studies. Our results for King George Island may apply at least to all the maritime Antarctic where climate and plant communities are similar.</t>
  </si>
  <si>
    <t>[Wojtun, Bronislaw; Kolon, Krzysztof; Samecka-Cymerman, Aleksandra; Jasion, Mateusz] Univ Wroclaw, Dept Ecol Biogeochem &amp; Environm Protect, PL-50328 Wroclaw, Poland; [Kempers, Alexander J.] Radboud Univ Nijmegen, Dept Environm Sci, NL-6525 AJ Nijmegen, Netherlands</t>
  </si>
  <si>
    <t>University of Wroclaw; Radboud University Nijmegen</t>
  </si>
  <si>
    <t>Samecka-Cymerman, A (corresponding author), Univ Wroclaw, Dept Ecol Biogeochem &amp; Environm Protect, Ul Kanonia 6-8, PL-50328 Wroclaw, Poland.</t>
  </si>
  <si>
    <t>bronislaw.wojtun@biol.uni.wroc.pl; kolonk@biol.uni.wroc.pl; sameckaa@biol.uni.wroc.pl; L.Kempers@science.ru.nl</t>
  </si>
  <si>
    <t>Samecka-Cymerman, Aleksandra/0000-0002-5421-0092; Wojtun, Bronislaw/0000-0003-1029-1078</t>
  </si>
  <si>
    <t>10.1007/s00300-013-1306-8</t>
  </si>
  <si>
    <t>WOS:000318722600015</t>
  </si>
  <si>
    <t>Jung, HR; Kim, MA; Seo, YS; Lee, YB; Chun, BS; Kim, SB</t>
  </si>
  <si>
    <t>Jung, Hae Rim; Kim, Min-A; Seo, Yong-Soo; Lee, Yang-Bong; Chun, Byung-Soo; Kim, Seon-Bong</t>
  </si>
  <si>
    <t>Decreasing effect of fluoride content in Antarctic krill (Euphausia superba) by chemical treatments</t>
  </si>
  <si>
    <t>INTERNATIONAL JOURNAL OF FOOD SCIENCE AND TECHNOLOGY</t>
  </si>
  <si>
    <t>Antarctic krill; chemical treatment; fluoride reduction; Peeled krill meat</t>
  </si>
  <si>
    <t>FISH-MEAL; DIETARY; GROWTH; ACCUMULATION; EXTRACTION; MYKISS; BONE; FOOD</t>
  </si>
  <si>
    <t>Decreasing effects of fluoride contents in Antarctic krill (Euphausia superba) as affected by chemical treatments with and without heating were investigated. The used chemicals were NaOH, Na2CO3, Na2SO3, citric acid, acetic acid, phosphoric acid, HCl, ethanol, lysine, aminoguanidine, arginine, carnitine, betaine, and creatine. Fluoride contents per dry weight were 788 +/- 10mgkg1 in the whole body of krill (WBK) and 294 +/- 4mgkg1 in the peeled krill meat (PKM) respectively. When WBK was treated with chemicals with and without heating or thawed, fluoride was not decreased. On the other hand, when the PKM was treated with chemicals without heating was remarkably decreased to less than 100mgkg1, which is the criteria recommended by FDA. Particularly, the treatment of betaine without heating showed the best reduction effect of 30 +/- 6mgkg1, followed by carnitine (38 +/- 17mgkg1), acetic acid (52 +/- 1mgkg1), phosphoric acid (67 +/- 2mgkg1) and hydrochloric acid (68 +/- 1mgkg1).</t>
  </si>
  <si>
    <t>[Jung, Hae Rim; Kim, Min-A; Lee, Yang-Bong; Chun, Byung-Soo; Kim, Seon-Bong] Pukyong Natl Univ, Inst Food Sci, Dept Food Sci &amp; Technol, Pusan 608737, South Korea; [Seo, Yong-Soo] Pukyong Natl Univ, Cooperat Lab Ctr, Pusan 608737, South Korea</t>
  </si>
  <si>
    <t>Pukyong National University; Pukyong National University</t>
  </si>
  <si>
    <t>Kim, SB (corresponding author), Pukyong Natl Univ, Inst Food Sci, Dept Food Sci &amp; Technol, Pusan 608737, South Korea.</t>
  </si>
  <si>
    <t>owlkim@pknu.ac.kr</t>
  </si>
  <si>
    <t>Korea Institute of Planning and Evaluation for Technology of Food, Agriculture, Forestry and Fisheries; Korea government [310008-3]</t>
  </si>
  <si>
    <t>Korea Institute of Planning and Evaluation for Technology of Food, Agriculture, Forestry and Fisheries(Institute of Planning &amp; Evaluation for Technology in Food, Agriculture, Forestry, &amp; Fisheries (iPET), Republic of Korea); Korea government(Korean Government)</t>
  </si>
  <si>
    <t>This study was supported by the Korea Institute of Planning and Evaluation for Technology of Food, Agriculture, Forestry and Fisheries grant funded by the Korea government (No. 310008-3).</t>
  </si>
  <si>
    <t>0950-5423</t>
  </si>
  <si>
    <t>1365-2621</t>
  </si>
  <si>
    <t>INT J FOOD SCI TECH</t>
  </si>
  <si>
    <t>Int. J. Food Sci. Technol.</t>
  </si>
  <si>
    <t>10.1111/ijfs.12084</t>
  </si>
  <si>
    <t>Food Science &amp; Technology</t>
  </si>
  <si>
    <t>140EP</t>
  </si>
  <si>
    <t>WOS:000318637500018</t>
  </si>
  <si>
    <t>Antonello, A</t>
  </si>
  <si>
    <t>Antonello, Alessandro</t>
  </si>
  <si>
    <t>The European Antarctic: Science and Strategy in Scandinavia and the British Empire</t>
  </si>
  <si>
    <t>HISTORICAL RECORDS OF AUSTRALIAN SCIENCE</t>
  </si>
  <si>
    <t>Book Review</t>
  </si>
  <si>
    <t>[Antonello, Alessandro] Australian Natl Univ, Sch Hist, Res Sch Social Sci, Canberra, ACT, Australia</t>
  </si>
  <si>
    <t>Australian National University</t>
  </si>
  <si>
    <t>Antonello, A (corresponding author), Australian Natl Univ, Sch Hist, Res Sch Social Sci, Canberra, ACT, Australia.</t>
  </si>
  <si>
    <t>CSIRO PUBLISHING</t>
  </si>
  <si>
    <t>CLAYTON</t>
  </si>
  <si>
    <t>UNIPARK, BLDG 1, LEVEL 1, 195 WELLINGTON RD, LOCKED BAG 10, CLAYTON, VIC 3168, AUSTRALIA</t>
  </si>
  <si>
    <t>0727-3061</t>
  </si>
  <si>
    <t>1448-5508</t>
  </si>
  <si>
    <t>HIST REC AUST SCI</t>
  </si>
  <si>
    <t>Hist. Rec. Aust. Sci.</t>
  </si>
  <si>
    <t>137JS</t>
  </si>
  <si>
    <t>WOS:000318432500018</t>
  </si>
  <si>
    <t>Muhs, DR</t>
  </si>
  <si>
    <t>Muhs, Daniel R.</t>
  </si>
  <si>
    <t>The geologic records of dust in the Quaternary</t>
  </si>
  <si>
    <t>AEOLIAN RESEARCH</t>
  </si>
  <si>
    <t>Dust; Loess; Lake sediments; Soils; Marine sediments; Ice cores</t>
  </si>
  <si>
    <t>CENTRAL GREAT-PLAINS; CENTRAL EQUATORIAL PACIFIC; GRAIN-SIZE DISTRIBUTIONS; LAST GLACIAL MAXIMUM; TERRIGENOUS SEDIMENTATION PROCESSES; HOLOCENE LOESS DEPOSITION; GENERAL-CIRCULATION MODEL; MASS ACCUMULATION RATES; LONG-RANGE TRANSPORT; EAST-ASIAN MONSOON</t>
  </si>
  <si>
    <t>Study of geologic records of dust composition, sources and deposition rates is important for understanding the role of dust in the overall planetary radiation balance, fertilization of organisms in the world's oceans, nutrient additions to the terrestrial biosphere and soils, and for paleoclimatic reconstructions. Both glacial and non-glacial processes produce fine-grained particles that can be transported by the wind. Geologic records of dust flux occur in a number of depositional archives for sediments: (1) loess deposits; (2) lake sediments; (3) soils; (4) deep-ocean basins; and (5) ice sheets and smaller glaciers. These archives have several characteristics that make them highly suitable for understanding the dynamics of dust entrainment, transport, and deposition. First, they are often distributed over wide geographic areas, which permits reconstruction of spatial variation of dust flux. Second, a number of dating methods can be applied to sediment archives, which allows identification of specific periods of greater or lesser dust flux. Third, aeolian sediment particle size and composition can be determined so that dust source areas can be ascertained and dust transport pathways can be reconstructed. Over much of the Earth's surface, dust deposition rates were greater during the last glacial period than during the present interglacial period. A dustier Earth during glacial periods is likely due to increased source areas, greater aridity, less vegetation, lower soil moisture, possibly stronger winds, a decreased intensity of the hydrologic cycle, and greater production of dust-sized particles from expanded ice sheets and glaciers. Published by Elsevier B.V.</t>
  </si>
  <si>
    <t>US Geol Survey, Fed Ctr, Denver, CO 80225 USA</t>
  </si>
  <si>
    <t>United States Department of the Interior; United States Geological Survey</t>
  </si>
  <si>
    <t>Muhs, DR (corresponding author), US Geol Survey, Fed Ctr, MS 980,Box 25046, Denver, CO 80225 USA.</t>
  </si>
  <si>
    <t>dmuhs@usgs.gov</t>
  </si>
  <si>
    <t>Climate and Land Use Change Program of the US Geological Survey; NSF [1003509]; Div Atmospheric &amp; Geospace Sciences; Directorate For Geosciences [1003509] Funding Source: National Science Foundation</t>
  </si>
  <si>
    <t>Climate and Land Use Change Program of the US Geological Survey; NSF(National Science Foundation (NSF)); Div Atmospheric &amp; Geospace Sciences; Directorate For Geosciences(National Science Foundation (NSF)NSF - Directorate for Geosciences (GEO))</t>
  </si>
  <si>
    <t>This review was inspired by a special session on dust organized by Art Bettis (University of Iowa), held at the 2010 annual meeting of the American Association for the Advancement of Science in San Diego. My work is supported by the Climate and Land Use Change Program of the US Geological Survey and this paper is a contribution to the Impacts of climate change on coastal and eolian landscapes project. The paper is also a contribution to the African Humid Period dust project of N. Mahowald (Cornell University), supported by NSF Grant #1003509. I thank Tim Horscroft, Jeff Lee and Ted Zobeck for inviting me to do this review. Many thanks go to my dust and loess friends who have provided me with many of the thoughts and observations reviewed here. I also thank Eric Wolff (British Antarctic Survey), Ana Moreno (Universitat de Barcelona), and Gisela Winckler (Lamont-Doherty Earth Observatory) who kindly supplied digital files of their dust data from Greenland, the Canary Basin, and the central equatorial Pacific, respectively. Ken Tanaka (USGS, Flagstaff) and Nathan Bridges (Johns Hopkins University) helped me put together the figures for Mars. Thanks go to Josh Preston of Oh Boy Records/Red Pajamas Records/Blue Plate Music for allowing me to use the quote from Steve Goodman's great song. Jan-Berend Stuut (Universitat Bremen), Jeff Pigati, Tom Judkins and Gene Ellis (all USGS), and an anonymous reviewer provided helpful comments on an earlier draft of this paper, which I appreciate.</t>
  </si>
  <si>
    <t>1875-9637</t>
  </si>
  <si>
    <t>2212-1684</t>
  </si>
  <si>
    <t>AEOLIAN RES</t>
  </si>
  <si>
    <t>Aeolian Res.</t>
  </si>
  <si>
    <t>10.1016/j.aeolia.2012.08.001</t>
  </si>
  <si>
    <t>Geography, Physical</t>
  </si>
  <si>
    <t>Physical Geography</t>
  </si>
  <si>
    <t>153WF</t>
  </si>
  <si>
    <t>WOS:000319632500002</t>
  </si>
  <si>
    <t>Jones, JE; Lee, G; Wilson, SJ</t>
  </si>
  <si>
    <t>Jones, Joanna E.; Lee, Greg; Wilson, Stephen J.</t>
  </si>
  <si>
    <t>A Statistical Model to Estimate Bud Fruitfulness in Pinot noir</t>
  </si>
  <si>
    <t>AMERICAN JOURNAL OF ENOLOGY AND VITICULTURE</t>
  </si>
  <si>
    <t>statistical model; fruitfulness; inflorescence primordium; carbohydrates; pruning</t>
  </si>
  <si>
    <t>VITIS-VINIFERA; FERTILITY; SHIRAZ</t>
  </si>
  <si>
    <t>A statistical model to estimate and describe bud fruitfulness in Pinot noir in cool environments was developed. The study compared Pinor noir fruitfulness at three different sites during winter dormancy by light microscopy and actual fruitfulness established three weeks after budburst. Strong differences were observed between inflorescence primordia counts and actual inflorescence number after budburst. When examined microscopically, fruitfulness was evenly distributed along the cane with the exception of the first two nodes, which were significantly lower. In contrast, actual fruitfulness after budburst showed site differences and interactions between fruitfulness and node position. Cane starch was a significant predictor for inflorescence count.</t>
  </si>
  <si>
    <t>[Jones, Joanna E.; Wilson, Stephen J.] Univ Tasmania, Sch Agr Sci, Tasmanian Inst Agr, Hobart, Tas 7001, Australia; [Lee, Greg] Univ Tasmania, Antarctic Climate &amp; Ecosyst CRC, Hobart, Tas 7001, Australia</t>
  </si>
  <si>
    <t>Jones, JE (corresponding author), Univ Tasmania, Sch Agr Sci, Tasmanian Inst Agr, Private Bag 98, Hobart, Tas 7001, Australia.</t>
  </si>
  <si>
    <t>Joanna.Jones@utas.edu.au</t>
  </si>
  <si>
    <t>Lee, Greg/0000-0002-8206-1151</t>
  </si>
  <si>
    <t>Grape and Wine Research and Development Corporation</t>
  </si>
  <si>
    <t>This research was made possible through Grape and Wine Research and Development Corporation funding. The authors thank the Meadowbank and Meehans vineyards, where the research was conducted, for their cooperation and assistance, and Robert Menary at TIA, for guidance and assistance with developing the bud dissection methodology.</t>
  </si>
  <si>
    <t>AMER SOC ENOLOGY VITICULTURE</t>
  </si>
  <si>
    <t>DAVIS</t>
  </si>
  <si>
    <t>PO BOX 1855, DAVIS, CA 95617-1855 USA</t>
  </si>
  <si>
    <t>0002-9254</t>
  </si>
  <si>
    <t>1943-7749</t>
  </si>
  <si>
    <t>AM J ENOL VITICULT</t>
  </si>
  <si>
    <t>Am. J. Enol. Vitic.</t>
  </si>
  <si>
    <t>10.5344/ajev.2013.12086</t>
  </si>
  <si>
    <t>Biotechnology &amp; Applied Microbiology; Food Science &amp; Technology; Horticulture</t>
  </si>
  <si>
    <t>Biotechnology &amp; Applied Microbiology; Food Science &amp; Technology; Agriculture</t>
  </si>
  <si>
    <t>AL1YX</t>
  </si>
  <si>
    <t>WOS:000338924000012</t>
  </si>
  <si>
    <t>Hill, S</t>
  </si>
  <si>
    <t>Hill, Simeon</t>
  </si>
  <si>
    <t>Bridging the great Antarctic krill divide</t>
  </si>
  <si>
    <t>Simeon, Hill L/B-2307-2008</t>
  </si>
  <si>
    <t>10.1017/S0954102013000412</t>
  </si>
  <si>
    <t>WOS:000319216500001</t>
  </si>
  <si>
    <t>Cuba-Díaz, M; Troncoso, JM; Cordero, C; Finot, VL; Rondanelli-Reyes, M</t>
  </si>
  <si>
    <t>Cuba-Diaz, Marely; Max Troncoso, J.; Cordero, Cristian; Finot, Victor L.; Rondanelli-Reyes, Mauricio</t>
  </si>
  <si>
    <t>Juncus bufonius, a new non-native vascular plant in King George Island, South Shetland Islands</t>
  </si>
  <si>
    <t>ANTARCTICA; TERRESTRIAL</t>
  </si>
  <si>
    <t>[Cuba-Diaz, Marely; Max Troncoso, J.; Cordero, Cristian; Rondanelli-Reyes, Mauricio] Univ Concepcion, Dept Ciencias &amp; Tecnol Vegetal, Los Angeles, Chile; [Finot, Victor L.] Univ Concepcion, Dept Anim Prod, Chillan, Chile</t>
  </si>
  <si>
    <t>Universidad de Concepcion; Universidad de Concepcion</t>
  </si>
  <si>
    <t>Cuba-Díaz, M (corresponding author), Univ Concepcion, Dept Ciencias &amp; Tecnol Vegetal, Campus Los Angeles,Juan Antonio Coloma 0201,Casil, Los Angeles, Chile.</t>
  </si>
  <si>
    <t>mcuba@udec.cl</t>
  </si>
  <si>
    <t>Cuba-Diaz, Marely/V-3109-2019</t>
  </si>
  <si>
    <t>Cordero, Cristian/0009-0001-0270-3434; Cuba-Diaz, Marely/0000-0002-2981-0328</t>
  </si>
  <si>
    <t>Chilean Antarctic Institute [INACH T_03-09]</t>
  </si>
  <si>
    <t>Chilean Antarctic Institute</t>
  </si>
  <si>
    <t>This work was financed by the INACH T_03-09 project of the Chilean Antarctic Institute. We thank INACH, the Chilean Navy and the Arctowski Polish Antarctic Station for their logistical support, and I. Cid and H. Veas for their technical assistance. We also thank H. Lowry for her assistance in revising the English and K. Hughes for his valuable assistance in reviewing this paper.</t>
  </si>
  <si>
    <t>10.1017/S0954102012000958</t>
  </si>
  <si>
    <t>WOS:000319216500006</t>
  </si>
  <si>
    <t>Mendonça, T; Melo, VF; Alleoni, LRF; Schaefer, CEGR; Michel, RFM</t>
  </si>
  <si>
    <t>Mendonca, Thiago; Melo, Vander F.; Alleoni, Luis R. F.; Schaefer, Carlos E. G. R.; Michel, Roberto F. M.</t>
  </si>
  <si>
    <t>Lead adsorption in the clay fraction of two soil profiles from Fildes Peninsula, King George Island</t>
  </si>
  <si>
    <t>allophone; amorphous minerals; chemisorptions; imogolite; Langmuir isotherm; Maritime Antarctic; ornithogenic activity</t>
  </si>
  <si>
    <t>SOUTH-SHETLAND ISLANDS; METAL CONTAMINATION; SORPTION; CADMIUM; EXTRACTION; MINERALS; SEDIMENTS; STATION</t>
  </si>
  <si>
    <t>Antarctica is considered the most isolated continent, but it is not free of pollution, which arrives at specific localities mainly as a result of tourism and research activities. Among environmentally harmful substances, heavy metals are especially important because of their high toxicity to organisms. The aim of this study was to estimate the maximum adsorption of lead (Pb) onto the clay fraction of samples from two soil profiles from the Fildes Peninsula, King George Island, South Shetland Islands. Experimental data were fitted to the Langmuir isotherm, and the adsorption parameters were correlated to mineralogical attributes of this soil fraction characterized by chemical extractions and X-ray diffraction. Values of maximum adsorption of Pb in the clay fraction were extremely high (maximum value: 322 581 mg kg(-1)) when compared to those of soil samples from other regions of the world. Adsorption occurred in two stages: first stage in which a high percentage of Pb was adsorbed, and second stage in which adsorption was lower. From an environmental point of view, soils with high contents of clay and amorphous minerals, ones usually associated with ornithogenic activity in Antarctica, should have greater efficiency in filtering Pb, thus reducing risks of leaching and groundwater contamination.</t>
  </si>
  <si>
    <t>[Mendonca, Thiago; Melo, Vander F.] Univ Fed Parana, Dept Solos &amp; Engn Agr, BR-80035070 Curitiba, Parana, Brazil; [Alleoni, Luis R. F.] Univ Sao Paulo, Escola Super Agr Luiz de Queiroz, Dept Ciencia Solo, BR-13418900 Sao Paulo, Brazil; [Schaefer, Carlos E. G. R.] Univ Fed Vicosa, Dept Solos, BR-36570000 Vicosa, MG, Brazil; [Michel, Roberto F. M.] FEAM, BR-31630900 Belo Horizonte, MG, Brazil</t>
  </si>
  <si>
    <t>Universidade Federal do Parana; Universidade de Sao Paulo; Universidade Federal de Vicosa</t>
  </si>
  <si>
    <t>Melo, VF (corresponding author), Univ Fed Parana, Dept Solos &amp; Engn Agr, Rua Funcionarios 1540, BR-80035070 Curitiba, Parana, Brazil.</t>
  </si>
  <si>
    <t>vanderfm@ufpr.br</t>
  </si>
  <si>
    <t>Criosfera, Inct/J-8639-2013; Schaefer, Carlos Ernesto/AAY-4977-2020; Michel, Roberto Ferreira Machado/H-4578-2016; Alleoni, Luis/C-3440-2012; Melo, Vander/I-4135-2014</t>
  </si>
  <si>
    <t>Michel, Roberto Ferreira Machado/0000-0001-5951-4610; Ernesto Goncalves Reynaud Schaefer, Carlos/0000-0001-5735-3227; Alleoni, Luis/0000-0002-0300-2584; Melo, Vander/0000-0003-0761-1536; Ernesto Goncalves Reynaud Schaefer, Carlos/0000-0001-7060-1598</t>
  </si>
  <si>
    <t>Brazilian National Research and Technology Council (CNPq); Coordination for the Improvement of Higher Level Personnel (CAPES)</t>
  </si>
  <si>
    <t>Brazilian National Research and Technology Council (CNPq)(Conselho Nacional de Desenvolvimento Cientifico e Tecnologico (CNPQ)Fundacao de Apoio a Pesquisa do Distrito Federal (FAPDF)); Coordination for the Improvement of Higher Level Personnel (CAPES)(Coordenacao de Aperfeicoamento de Pessoal de Nivel Superior (CAPES))</t>
  </si>
  <si>
    <t>We are grateful to the Brazilian National Research and Technology Council (CNPq) and to the Coordination for the Improvement of Higher Level Personnel (CAPES) for financing this research. We are also grateful to the Brazilian Navy and the Brazilian Antarctic Program for overseeing logistics during the Antarctica expedition. The constructive comments of the reviewers are also gratefully acknowledged.</t>
  </si>
  <si>
    <t>10.1017/S0954102012001071</t>
  </si>
  <si>
    <t>WOS:000319216500008</t>
  </si>
  <si>
    <t>Annett, AL; Henley, SF; Van Beek, P; Souhaut, M; Ganeshram, R; Venables, HJ; Meredith, MP; Geibert, W</t>
  </si>
  <si>
    <t>Annett, Amber L.; Henley, Sian F.; Van Beek, Pieter; Souhaut, Marc; Ganeshram, Raja; Venables, Hugh J.; Meredith, Michael P.; Geibert, Walter</t>
  </si>
  <si>
    <t>Use of radium isotopes to estimate mixing rates and trace sediment inputs to surface waters in northern Marguerite Bay, Antarctic Peninsula</t>
  </si>
  <si>
    <t>actinium-227; glacial inputs; horizontal eddy diffusivity; land-ocean interface; Radium Delayed Coincidence Counter (RaDeCC); Ryder Bay</t>
  </si>
  <si>
    <t>RA-223; AC-227; SHELF; UNCERTAINTIES; SEAWATER; WEST; IRON</t>
  </si>
  <si>
    <t>In the western Antarctic Peninsula region, micronutrient injection facilitates strong plankton blooms that support productive food webs, unlike large areas of the low-productivity Southern Ocean. We use naturally occurring radioisotopes of radium to constrain rates of chemical fluxes into Ryder Bay (a small coastal embayment in northern Marguerite Bay), and hence to evaluate possible sources of sediment-derived micronutrients and estimate sediment-ocean mixing rates. We present the first coupled, short-lived radium isotope (Ra-223 and Ra-224) measurements from Antarctic waters, both present at very low activities (mean 0.155 and 3.21 dpm m(-3), respectively), indicating much lower radium inputs than in other coastal environments. Longer-lived Ra-228 activity was also lower than existing nearshore values, but higher than open ocean waters, indicating some degree of coastal radium input on timescales exceeding the week-to-month range reflected by Ra-223 and Ra-224. Using a simple diffusion model along a shore to mid-bay transect, effective horizontal eddy diffusivity estimates ranged from 0.22-0.83m(2) s(-1) from Ra-223 and Ra-224, respectively, much lower than already-low mixing estimates for the Southern Ocean. Significant radium enrichment and much faster mixing (18m(2) s(-1)) was found near a marine-terminating glacier and consequently any sediment-derived micronutrient inputs in this location are more probably dominated by glacial processes than groundwater, land runoff, or marine sediment sources.</t>
  </si>
  <si>
    <t>[Annett, Amber L.; Henley, Sian F.; Ganeshram, Raja; Geibert, Walter] Univ Edinburgh, Sch GeoSci, Edinburgh EH9 3JW, Midlothian, Scotland; [Van Beek, Pieter; Souhaut, Marc] Observ Midi Pyrenees, CNRS UPS IRD CNES, Lab Etud Geophys &amp; Oceanog Spatiales, F-31400 Toulouse, France; [Venables, Hugh J.; Meredith, Michael P.] British Antarctic Survey, NERC, Cambridge CB3 0ET, England; [Geibert, Walter] Scottish Marine Inst, SAMS, Oban, Argyll, Scotland</t>
  </si>
  <si>
    <t>University of Edinburgh; Universite de Toulouse; Universite Toulouse III - Paul Sabatier; Centre National de la Recherche Scientifique (CNRS); Institut de Recherche pour le Developpement (IRD); Laboratoire d'Etudes en Geophysique et oceanographie spatiales; UK Research &amp; Innovation (UKRI); Natural Environment Research Council (NERC); NERC British Antarctic Survey</t>
  </si>
  <si>
    <t>Annett, AL (corresponding author), Univ Edinburgh, Sch GeoSci, Edinburgh EH9 3JW, Midlothian, Scotland.</t>
  </si>
  <si>
    <t>amber.annett@ed.ac.uk</t>
  </si>
  <si>
    <t>Geibert, Walter/ABA-9785-2020; Ganeshram, Raja S/JPX-5314-2023</t>
  </si>
  <si>
    <t>Geibert, Walter/0000-0001-8646-2334; Meredith, Michael/0000-0002-7342-7756; van Beek, Pieter/0000-0002-3872-8916; Annett, Amber/0000-0002-3730-2438; Henley, Sian Frances/0000-0003-1221-1983</t>
  </si>
  <si>
    <t>Antarctic Science Bursary; National Environment Research Council, UK; British Council-EGIDE ALLIANCE/Franco-British Research Partnership Programme; NSERC; University of Edinburgh; Natural Environment Research Council [bas0100028] Funding Source: researchfish; NERC [bas0100028] Funding Source: UKRI</t>
  </si>
  <si>
    <t>Antarctic Science Bursary; National Environment Research Council, UK(UK Research &amp; Innovation (UKRI)Natural Environment Research Council (NERC)); British Council-EGIDE ALLIANCE/Franco-British Research Partnership Programme; NSERC(Natural Sciences and Engineering Research Council of Canada (NSERC)); University of Edinburgh; Natural Environment Research Council(UK Research &amp; Innovation (UKRI)Natural Environment Research Council (NERC)); NERC(UK Research &amp; Innovation (UKRI)Natural Environment Research Council (NERC))</t>
  </si>
  <si>
    <t>The authors would like to thank the Rothera Research Station marine staff, in particular Danny Edmunds, for help with sample collection, and the British Antarctic Survey for logistical support. Jan Scholten at the International Atomic Energy Agency in Monaco kindly provided standards, and helpful discussion regarding methodology. The editor (L. Padman) and two anonymous reviewers provided valuable comments to improve the manuscript. This work was supported by an Antarctic Science Bursary, Collaborative Gearing Scheme funding (through the National Environment Research Council, UK), the British Council-EGIDE ALLIANCE/Franco-British Research Partnership Programme, an NSERC scholarship and the University of Edinburgh.</t>
  </si>
  <si>
    <t>10.1017/S0954102012000892</t>
  </si>
  <si>
    <t>WOS:000319216500013</t>
  </si>
  <si>
    <t>Zeng, YX; Zhang, F; He, JF; Lee, SH; Qiao, ZY; Yu, Y; Li, HR</t>
  </si>
  <si>
    <t>Zeng, Yin-Xin; Zhang, Fang; He, Jian-Feng; Lee, Sang H.; Qiao, Zong-Yun; Yu, Yong; Li, Hui-Rong</t>
  </si>
  <si>
    <t>Bacterioplankton community structure in the Arctic waters as revealed by pyrosequencing of 16S rRNA genes</t>
  </si>
  <si>
    <t>ANTONIE VAN LEEUWENHOEK INTERNATIONAL JOURNAL OF GENERAL AND MOLECULAR MICROBIOLOGY</t>
  </si>
  <si>
    <t>Bacterioplankton community; Pyrosequencing; Kongsfjorden; Chukchi Borderland</t>
  </si>
  <si>
    <t>BACTERIAL COMMUNITIES; MICROBIAL DIVERSITY; KONGSFJORDEN; ABUNDANCE; PROTEOBACTERIA; ASSEMBLAGES; DYNAMICS; BIOMASS; OCEAN; ICE</t>
  </si>
  <si>
    <t>Fjords and open oceans are two typical marine ecosystems in the Arctic region, where glacial meltwater and sea ice meltwater have great effects on the bacterioplankton community structure during the summer season. This study aimed to determine the differences in bacterioplankton communities between these two ecosystems in the Arctic region. We conducted a detailed census of microbial communities in Kongsfjorden (Spitsbergen) and the Chukchi Borderland using high-throughput pyrosequencing of the 16S rRNA gene. Gammaproteobacteria and Bacteroidetes were the dominant members of the bacterioplankton community in Kongsfjorden. By contrast, the most abundant bacterial groups in the surface seawater samples from the Chukchi Borderland were Alphaproteobacteria and Actinobacteria. Differences in bacterial communities were found between the surface and subsurface waters in the investigation area of the Chukchi Borderland, and significant differences in bacterial community structure were also observed in the subsurface water between the shelf and deep basin areas. These results suggest the effect of hydrogeographic conditions on bacterial communities. Ubiquitous phylotypes found in all the investigated samples belonged to a few bacterial groups that dominate marine bacterioplankton communities. The sequence data suggested that changes in environmental conditions result in abundant rare phylotypes and reduced amounts of other phylotypes.</t>
  </si>
  <si>
    <t>[Zeng, Yin-Xin; Zhang, Fang; He, Jian-Feng; Yu, Yong; Li, Hui-Rong] Polar Res Inst China, Key Lab Polar Sci State Ocean Adm, Shanghai 200136, Peoples R China; [Zeng, Yin-Xin; Qiao, Zong-Yun] Jimei Univ, Coll Biol Engn, Xiamen 361021, Peoples R China; [Lee, Sang H.] Pusan Natl Univ, Dept Oceanog, Pusan 609735, South Korea</t>
  </si>
  <si>
    <t>Polar Research Institute of China; Jimei University; Pusan National University</t>
  </si>
  <si>
    <t>Zeng, YX (corresponding author), Polar Res Inst China, Key Lab Polar Sci State Ocean Adm, Shanghai 200136, Peoples R China.</t>
  </si>
  <si>
    <t>yxzeng@yahoo.com</t>
  </si>
  <si>
    <t>National Natural Science Foundation of China [41076131]; Youth Marine Science Foundation of State Oceanic Administration [2011104]; Public Science and Technology Research Funds Projects of Ocean [201105022]; Chinese Polar Environment Comprehensive Investigation and Assessment Program [CHINARE2013-02-01, CHINARE2013-04-01]; National High-Tech Research and Development Program of China [2012AA021706]; Polar Academic Program; Korea Polar Research Institute [PM11080]</t>
  </si>
  <si>
    <t>National Natural Science Foundation of China(National Natural Science Foundation of China (NSFC)); Youth Marine Science Foundation of State Oceanic Administration; Public Science and Technology Research Funds Projects of Ocean; Chinese Polar Environment Comprehensive Investigation and Assessment Program; National High-Tech Research and Development Program of China(National High Technology Research and Development Program of China); Polar Academic Program; Korea Polar Research Institute(Korea Polar Research Institute of Marine Research Placement (KOPRI))</t>
  </si>
  <si>
    <t>We appreciate the assistance of the Korean icebreaker Araon crew and the scientists who collected samples for us during the first Korean Arctic cruise. We would also like to express our appreciation of the assistance extended to us by the Chinese Arctic and Antarctic Administration (CAA) who organized the Chinese Arctic Yellow River Station Expedition in 2011. We are also grateful to Dr. Ho Kyung Ha of the Korea Polar Research Institute for kindly providing CTD data. This work was supported by the National Natural Science Foundation of China (Grant No. 41076131), the Youth Marine Science Foundation of State Oceanic Administration (Grant No. 2011104), the Public Science and Technology Research Funds Projects of Ocean (Grant No. 201105022), the Chinese Polar Environment Comprehensive Investigation and Assessment Program (CHINARE2013-02-01, CHINARE2013-04-01), and the National High-Tech Research and Development Program of China (Grant No. 2012AA021706). Supports for Dr. Sang H Lee were provided by grants from the Polar Academic Program and the Korea Polar Research Institute (Grant No. PM11080).</t>
  </si>
  <si>
    <t>0003-6072</t>
  </si>
  <si>
    <t>1572-9699</t>
  </si>
  <si>
    <t>ANTON LEEUW INT J G</t>
  </si>
  <si>
    <t>Antonie Van Leeuwenhoek</t>
  </si>
  <si>
    <t>10.1007/s10482-013-9912-6</t>
  </si>
  <si>
    <t>148TA</t>
  </si>
  <si>
    <t>WOS:000319269200012</t>
  </si>
  <si>
    <t>Cobcroft, JM; Battaglene, SC</t>
  </si>
  <si>
    <t>Cobcroft, Jennifer M.; Battaglene, Stephen C.</t>
  </si>
  <si>
    <t>Skeletal malformations in Australian marine finfish hatcheries</t>
  </si>
  <si>
    <t>AQUACULTURE</t>
  </si>
  <si>
    <t>Marine fish larvae; Deformities; Lates calcarifer; Seriola lalandi; Epinephelus; Latris lineata</t>
  </si>
  <si>
    <t>BASS DICENTRARCHUS-LABRAX; EUROPEAN SEA BASS; TRUMPETER LATRIS-LINEATA; BREAM SPARUS-AURATA; SALMO-SALAR L.; HALIBUT HIPPOGLOSSUS-HIPPOGLOSSUS; COD GADUS-MORHUA; ATLANTIC SALMON; PAGRUS-MAJOR; VITAMIN-A</t>
  </si>
  <si>
    <t>The Australian finfish aquaculture industry has a target to more than treble production from 2005 to 100,000 t p.a. by 2015. Most of the current production is from sea cage culture of Salmo salar and Thunnus maccoyii but new and emerging species are predicted to have a faster increase in production and were the focus of this study. The quantity and quality of hatchery-produced fingerlings is an impediment to achieving growth in the marine finfish sector. A survey of 18 hatcheries revealed that 44% indicated skeletal malformations were a significant issue in hatchery production, and 89% reported variability in malformation rates between production batches. Samples of fish from selected hatcheries were cleared and stained for assessment of abnormal bone development. Two hatcheries that had indicated malformations were not a significant problem submitted samples with &gt;5% severe malformations. Jaw and spinal malformations occurred in Lates calcarifer, Seriola lalandi, Epinephelus fuscoguttatus, E. coioides, and Latris lineata. To the best of our knowledge, causative factors of malformations in Australian hatcheries have only been identified for jaw malformation in Lates calcarifer and Latris lineata, and further research is either needed or underway with other species and malformation types in order to improve culture protocols and increase fingerling quality. Improved monitoring techniques for skeletal malformations would substantially enhance the comparison of production methods at a commercial scale and enhance research efforts. (c) 2013 Elsevier B.V. All rights reserved.</t>
  </si>
  <si>
    <t>[Cobcroft, Jennifer M.; Battaglene, Stephen C.] Univ Tasmania, Inst Marine &amp; Antarctic Studies Fisheries Aquacul, Hobart, Tas 7001, Australia</t>
  </si>
  <si>
    <t>Cobcroft, JM (corresponding author), Univ Tasmania, Inst Marine &amp; Antarctic Studies Fisheries Aquacul, Private Bag 49, Hobart, Tas 7001, Australia.</t>
  </si>
  <si>
    <t>jenny.cobcroft@utas.edu.au</t>
  </si>
  <si>
    <t>Battaglene, Stephen C/H-9683-2014; Cobcroft, Jennifer/E-3331-2013</t>
  </si>
  <si>
    <t>Cobcroft, Jennifer/0000-0002-2398-9267</t>
  </si>
  <si>
    <t>Australian Research Council's Linkage Projects funding scheme [LP0882042]; Australian Research Council [LP0882042] Funding Source: Australian Research Council</t>
  </si>
  <si>
    <t>Australian Research Council's Linkage Projects funding scheme(Australian Research Council); Australian Research Council(Australian Research Council)</t>
  </si>
  <si>
    <t>We thank the participating marine fish hatcheries and staff, particularly Clean Seas Tuna, Darwin Aquaculture Centre and QDPI Northern Fisheries Centre. The hatchery and laboratory staff and students at IMAS are thanked for assistance with experimentation, survey data management and fish sample processing. Comments from four anonymous reviewers improved the manuscript and were appreciated. This research was supported under Australian Research Council's Linkage Projects funding scheme (project number LP0882042).</t>
  </si>
  <si>
    <t>0044-8486</t>
  </si>
  <si>
    <t>Aquaculture</t>
  </si>
  <si>
    <t>10.1016/j.aquaculture.2013.02.027</t>
  </si>
  <si>
    <t>139AK</t>
  </si>
  <si>
    <t>WOS:000318553500009</t>
  </si>
  <si>
    <t>Edwards, HGM; Hutchinson, IB; Ingley, R; Parnell, J; Vítek, P; Jehlicka, J</t>
  </si>
  <si>
    <t>Edwards, Howell G. M.; Hutchinson, Ian B.; Ingley, Richard; Parnell, John; Vitek, Petr; Jehlicka, Jan</t>
  </si>
  <si>
    <t>Raman Spectroscopic Analysis of Geological and Biogeological Specimens of Relevance to the ExoMars Mission</t>
  </si>
  <si>
    <t>ASTROBIOLOGY</t>
  </si>
  <si>
    <t>Biosignatures; Mars Exploration Rovers; Raman spectroscopy; Search for life (biosignatures); Planetary instrumentation</t>
  </si>
  <si>
    <t>ANTARCTIC HABITATS; MARS; COLONIZATION</t>
  </si>
  <si>
    <t>A novel miniaturized Raman spectrometer is scheduled to fly as part of the analytical instrumentation package on an ESA remote robotic lander in the ESA/Roscosmos ExoMars mission to search for evidence for extant or extinct life on Mars in 2018. The Raman spectrometer will be part of the first-pass analytical stage of the sampling procedure, following detailed surface examination by the PanCam scanning camera unit on the ExoMars rover vehicle. The requirements of the analytical protocol are stringent and critical; this study represents a laboratory blind interrogation of specimens that form a list of materials that are of relevance to martian exploration and at this stage simulates a test of current laboratory instrumentation to highlight the Raman technique strengths and possible weaknesses that may be encountered in practice on the martian surface and from which future studies could be formulated. In this preliminary exercise, some 10 samples that are considered terrestrial representatives of the mineralogy and possible biogeologically modified structures that may be identified on Mars have been examined with Raman spectroscopy, and conclusions have been drawn about the viability of the unambiguous spectral identification of biomolecular life signatures. It is concluded that the Raman spectroscopic technique does indeed demonstrate the capability to identify biomolecular signatures and the mineralogy in real-world terrestrial samples with a very high degree of success without any preconception being made about their origin and classification.</t>
  </si>
  <si>
    <t>[Edwards, Howell G. M.] Univ Bradford, Ctr Astrobiol &amp; Extremophiles Res, Sch Life Sci, Bradford, W Yorkshire, England; [Edwards, Howell G. M.; Hutchinson, Ian B.; Ingley, Richard] Univ Leicester, Dept Phys &amp; Astron, Space Res Ctr, Leicester LE1 7RH, Leics, England; [Parnell, John] Univ Aberdeen, Dept Geol &amp; Petr Geol, Aberdeen, Scotland; [Vitek, Petr; Jehlicka, Jan] Charles Univ Prague, Inst Geochem Mineral &amp; Mineral Res, Fac Sci, Prague, Czech Republic</t>
  </si>
  <si>
    <t>University of Bradford; University of Leicester; University of Aberdeen; Charles University Prague</t>
  </si>
  <si>
    <t>Hutchinson, IB (corresponding author), Univ Leicester, Dept Phys &amp; Astron, Space Res Ctr, Univ Rd, Leicester LE1 7RH, Leics, England.</t>
  </si>
  <si>
    <t>ibh1@star.le.ac.uk</t>
  </si>
  <si>
    <t>Vitek, Petr/R-8022-2016; Jehlicka, Jan/H-9357-2016</t>
  </si>
  <si>
    <t>Jehlicka, Jan/0000-0002-4294-876X</t>
  </si>
  <si>
    <t>STFC Research Council in the UK; Grant Agency of the Czech Republic [210/10/0467]; Ministry of Education of the Czech Republic [MSM0021620855]; UK Space Agency [ST/L006103/1, ST/I002677/1] Funding Source: researchfish</t>
  </si>
  <si>
    <t>STFC Research Council in the UK; Grant Agency of the Czech Republic(Grant Agency of the Czech RepublicNorwegian Agency for Development Cooperation - NORAD); Ministry of Education of the Czech Republic(Ministry of Education, Youth &amp; Sports - Czech Republic); UK Space Agency</t>
  </si>
  <si>
    <t>H.G.M.E., I.H., and R.I. acknowledge the support of the STFC Research Council in the UK ExoMars programme. J.J. and P.V. acknowledge the support of the Grant Agency of the Czech Republic (210/10/0467) and of the Ministry of Education of the Czech Republic (MSM0021620855).</t>
  </si>
  <si>
    <t>MARY ANN LIEBERT, INC</t>
  </si>
  <si>
    <t>NEW ROCHELLE</t>
  </si>
  <si>
    <t>140 HUGUENOT STREET, 3RD FL, NEW ROCHELLE, NY 10801 USA</t>
  </si>
  <si>
    <t>1531-1074</t>
  </si>
  <si>
    <t>1557-8070</t>
  </si>
  <si>
    <t>Astrobiology</t>
  </si>
  <si>
    <t>10.1089/ast.2012.0872</t>
  </si>
  <si>
    <t>Astronomy &amp; Astrophysics; Biology; Geosciences, Multidisciplinary</t>
  </si>
  <si>
    <t>Astronomy &amp; Astrophysics; Life Sciences &amp; Biomedicine - Other Topics; Geology</t>
  </si>
  <si>
    <t>168LO</t>
  </si>
  <si>
    <t>WOS:000320707500004</t>
  </si>
  <si>
    <t>Martí, J; Geyer, A; Aguirre-Diaz, G</t>
  </si>
  <si>
    <t>Marti, Joan; Geyer, Adelina; Aguirre-Diaz, Gerardo</t>
  </si>
  <si>
    <t>Origin and evolution of the Deception Island caldera (South Shetland Islands, Antarctica)</t>
  </si>
  <si>
    <t>Caldera; Tectonic depression; Faults; Volcanism; Current geothermal system</t>
  </si>
  <si>
    <t>VOLCANIC EVOLUTION; BRANSFIELD STRAIT; TECTONICS</t>
  </si>
  <si>
    <t>Deception Island has been interpreted variously as a classical ring fault caldera, as a tectonically controlled collapse caldera or as a tectonic depression. Review of previous studies combined with new fieldwork has allowed us to obtain a more precise model of the formation and internal structure of the Deception Island caldera. It formed as a result of the explosive eruption of basaltic-to-andesitic magmas, mostly as pyroclastic density currents representing in total a bulk volume of the order of 90 km(3). Caldera collapse occurred rapidly along a polygonal structural network consisting of several pre-existing major normal faults. These faults, which originated as a result of regional tectonics, controlled pre- and post-caldera volcanism on the island. The formation of the caldera generated a very active geothermal system inside its depression, which is responsible for most of the present-day seismic activity and may also have a significant influence on the observed surface deformation. Our results do not support the hypothesis that there is a large but shallow, active magma chamber beneath the current caldera; instead we suggest that recent eruptions have been fed by small batches of deeper-sourced magmas. The intrusive remains of these eruptions and probably of other minor intrusions that have not reached the surface provide the main heat source that sustains the current geothermal system.</t>
  </si>
  <si>
    <t>[Marti, Joan; Geyer, Adelina] CSIC, Inst Ciencias Tierra Jaume Almera, E-08028 Barcelona, Spain; [Aguirre-Diaz, Gerardo] Ctr Geociencias, Santiago De Queretaro 76230, Queretaro, Mexico</t>
  </si>
  <si>
    <t>Consejo Superior de Investigaciones Cientificas (CSIC); CSIC - Geociencias Barcelona (GEO3BCN)</t>
  </si>
  <si>
    <t>Martí, J (corresponding author), CSIC, Inst Ciencias Tierra Jaume Almera, LLuis Sole Sabaris S-N, E-08028 Barcelona, Spain.</t>
  </si>
  <si>
    <t>joan.marti@ictja.csic.es</t>
  </si>
  <si>
    <t>Geyer, Adelina/C-9490-2011; Marti, Joan/L-4203-2014; Geyer, Adelina/A-6624-2012</t>
  </si>
  <si>
    <t>Marti, Joan/0000-0003-3930-8603; Geyer, Adelina/0000-0002-8803-6504</t>
  </si>
  <si>
    <t>MICINN [CTM2009-05919-E, CGL2010-22022-C02-02]; Juan de la Cierva Grant [JCI-2010-06092]</t>
  </si>
  <si>
    <t>MICINN(Spanish Government); Juan de la Cierva Grant</t>
  </si>
  <si>
    <t>This research was supported by MICINN grants CTM2009-05919-E and CGL2010-22022-C02-02. AG had a Juan de la Cierva Grant (JCI-2010-06092). We warmly thank Jose Manuel Lupiani and all the military staff of the Antarctic Base Gabriel de Castilla for their logistic support and constant help, without which this research would have been impossible. We would also like to thank the Associate Editor Steve Self and John Smellie and Joachim Gottsmann for their detailed and constructive reviews.</t>
  </si>
  <si>
    <t>10.1007/s00445-013-0732-3</t>
  </si>
  <si>
    <t>WOS:000321776100010</t>
  </si>
  <si>
    <t>Bader, J; Flügge, M; Kvamsto, NG; Mesquita, MDS; Voigt, A</t>
  </si>
  <si>
    <t>Bader, Jurgen; Flugge, Martin; Kvamsto, Nils Gunnar; Mesquita, Michel D. S.; Voigt, Aiko</t>
  </si>
  <si>
    <t>Atmospheric winter response to a projected future Antarctic sea-ice reduction: a dynamical analysis</t>
  </si>
  <si>
    <t>NORTH-ATLANTIC SST; ANOMALIES; PERSPECTIVES; CIRCULATION; CCM3</t>
  </si>
  <si>
    <t>Several studies have analysed the atmospheric response to sea-ice changes in the Arctic region, but only few have considered the Antarctic. Here, the atmospheric response to sea-ice variability in the Southern Hemisphere is investigated with the atmospheric general circulation model ECHAM5. The model is forced by the present and a projected future seasonal cycle of Antarctic sea ice. In September, the mean atmospheric response exhibits distinct similarities to the structure of the negative phase of the Southern Annular Mode, the leading mode of Southern Hemisphere variability. In the reduced Antarctic sea-ice integration, there is an equatorward shift of the Southern Hemisphere mid-latitude jet and the storm tracks. In contrast to a recent previous study, our findings indicate that a substantial impact of Southern Hemispheric future sea-ice reduction on the mid-latitude circulation cannot be ruled out.</t>
  </si>
  <si>
    <t>[Bader, Jurgen; Voigt, Aiko] Max Planck Inst Meteorol, D-20146 Hamburg, Germany; [Bader, Jurgen; Mesquita, Michel D. S.] Uni Res, Bjerknes Ctr Climate Res, Bergen, Norway; [Flugge, Martin; Kvamsto, Nils Gunnar] Univ Bergen, Inst Geophys, Bergen, Norway</t>
  </si>
  <si>
    <t>Max Planck Society; Bjerknes Centre for Climate Research; University of Bergen</t>
  </si>
  <si>
    <t>Bader, J (corresponding author), Max Planck Inst Meteorol, Bundesstr 53, D-20146 Hamburg, Germany.</t>
  </si>
  <si>
    <t>juergen.bader@zmaw.de</t>
  </si>
  <si>
    <t>Mesquita, Michel D. S./J-9342-2019; Mesquita, Michel d. S./C-3414-2009; Voigt, Aiko/H-4691-2012</t>
  </si>
  <si>
    <t>Mesquita, Michel D. S./0000-0002-4556-5414; Mesquita, Michel d. S./0000-0002-4556-5414; Voigt, Aiko/0000-0002-7394-8252</t>
  </si>
  <si>
    <t>Max Planck Society; Federal Ministry of Education and Research in Germany (BMBF) [FKZ: 01LP1158A]; research council of Norway</t>
  </si>
  <si>
    <t>Max Planck Society(Max Planck Society); Federal Ministry of Education and Research in Germany (BMBF)(Federal Ministry of Education &amp; Research (BMBF)); research council of Norway(Research Council of Norway)</t>
  </si>
  <si>
    <t>We are grateful to two anonymous reviewers and Davide Zanchettin who has done the internal review at MPI-M. The UK Meteorological Office and Hadley Centre is acknowledged for providing the HadISST 1.1-global SST-data-set. We also thank Dr. Kevin Hodges (University of Reading, UK) for providing the storm tracking algorithm TRACK. This work was supported by the Max Planck Society, the Federal Ministry of Education and Research in Germany (BMBF) through the research programme MiKlip (FKZ: 01LP1158A) and by the DecCen project funded by the research council of Norway.</t>
  </si>
  <si>
    <t>10.1007/s00382-012-1507-9</t>
  </si>
  <si>
    <t>WOS:000319360800009</t>
  </si>
  <si>
    <t>Huhn, O; Rhein, M; Hoppema, M; van Heuven, S</t>
  </si>
  <si>
    <t>Huhn, Oliver; Rhein, Monika; Hoppema, Mario; van Heuven, Steven</t>
  </si>
  <si>
    <t>Decline of deep and bottom water ventilation and slowing down of anthropogenic carbon storage in the Weddell Sea, 1984-2011</t>
  </si>
  <si>
    <t>Southern Ocean; Weddell Sea; Transient tracers; Chlorofluorocarbon (CFC); Transit time distribution (TTD); Ventilation; Antarctic Bottom Water (AABW); Weddell Sea Bottom Water (WSBW); Weddell Sea Deep Water (WSDW); Anthropogenic carbon (C-ant)</t>
  </si>
  <si>
    <t>SUBPOLAR NORTH-ATLANTIC; ICE STATION WEDDELL; SOUTHERN-OCEAN; TRACER OBSERVATIONS; SULFUR-HEXAFLUORIDE; SCOTIA CONFLUENCE; TRANSIT-TIME; SHELF WATER; CO2; DISTRIBUTIONS</t>
  </si>
  <si>
    <t>We use a 27 year long time series of repeated transient tracer observations to investigate the evolution of the ventilation time scales and the related content of anthropogenic carbon (C-ant) in deep and bottom water in the Weddell Sea. This time series consists of chlorofluorocarbon (CFC) observations from 1984 to 2008 together with first combined CFC and sulphur hexafluoride (SF6) measurements from 2010/2011 along the Prime Meridian in the Antarctic Ocean and across the Weddell Sea. Applying the Transit Time Distribution (TTD) method we find that all deep water masses in the Weddell Sea have been continually growing older and getting less ventilated during the last 27 years. The decline of the ventilation rate of Weddell Sea Bottom Water (WSBW) and Weddell Sea Deep Water (WSDW) along the Prime Meridian is in the order of 15-21%; the Warm Deep Water (WDW) ventilation rate declined much faster by 33%. About 88-94% of the age increase in WSBW near its source regions (1.8-2.4 years per year) is explained by the age increase of WDW (4.5 years per year). As a consequence of the aging, the C-ant increase in the deep and bottom water formed in the Weddell Sea slowed down by 14-21% over the period of observations. (C) 2013 Published by Elsevier Ltd.</t>
  </si>
  <si>
    <t>[Huhn, Oliver; Rhein, Monika] Univ Bremen, Inst Environm Phys, D-28359 Bremen, Germany; [Hoppema, Mario] Alfred Wegener Inst Polar &amp; Marine Res, Bremerhaven, Germany; [van Heuven, Steven] Univ Groningen, Ctr Isotop Res, NL-9700 AB Groningen, Netherlands</t>
  </si>
  <si>
    <t>University of Bremen; Helmholtz Association; Alfred Wegener Institute, Helmholtz Centre for Polar &amp; Marine Research; University of Groningen</t>
  </si>
  <si>
    <t>Huhn, O (corresponding author), Univ Bremen, Inst Environm Phys, Otto Hahn Allee, D-28359 Bremen, Germany.</t>
  </si>
  <si>
    <t>ohuhn@physik.uni-bremen.de; mrhein@physik.uni-bremen.de</t>
  </si>
  <si>
    <t>Hoppema, Mario/I-6286-2013; Rhein, Monika/P-1969-2016</t>
  </si>
  <si>
    <t>Hoppema, Mario/0000-0002-2326-619X; Rhein, Monika/0000-0003-1496-2828; Huhn, Oliver/0000-0003-3626-9135</t>
  </si>
  <si>
    <t>Deutsche Forschungsgemeinschaft (DFG, German Science Foundation) [SPP 1158, HU 1544/2, RH 25/27]; EU FP7 project CARBOCHANGE; European Commission's Seventh Framework Programme [264879]</t>
  </si>
  <si>
    <t>Deutsche Forschungsgemeinschaft (DFG, German Science Foundation)(German Research Foundation (DFG)); EU FP7 project CARBOCHANGE(European Union (EU)); European Commission's Seventh Framework Programme(European Union (EU))</t>
  </si>
  <si>
    <t>We gratefully thank the Deutsche Forschungsgemeinschaft (DFG, German Science Foundation) for funding the most recent tracer measurements and data analysis with the Schwerpunkt-programm Antarktisforschung (SPP 1158, grants HU 1544/2 and RH 25/27). We thank Klaus Bulsiewicz, the head of our CFC lab, and student helpers on board and in the lab for providing excellent tracer measurements of high quality. Masters and crews on FS Polarstern are acknowledged for providing a unique research platform. M. Hoppema acknowledges support by EU FP7 project CARBOCHANGE, which received funding from the European Commission's Seventh Framework Programme under grant agreement no. 264879. We thank our colleagues at the AWI Bremerhaven, Eberhard Fahrbach, Gerd Rohardt, Mike Schroder, Andreas Wisotzki, Michael Schodlok (now at JPL), and many others for excellent cooperation on board and providing high quality hydrographic data. Fruitful discussions with Reiner Steinfeldt and Wolfgang Roether are gratefully appreciated and helped to improve this manuscript.</t>
  </si>
  <si>
    <t>10.1016/j.dsr.2013.01.005</t>
  </si>
  <si>
    <t>WOS:000319090000006</t>
  </si>
  <si>
    <t>Zhou, M; Zhu, YW; Measures, CI; Hatta, M; Charette, MA; Gille, ST; Frants, M; Jiang, MS; Mitchell, BG</t>
  </si>
  <si>
    <t>Zhou, Meng; Zhu, Yiwu; Measures, Christopher I.; Hatta, Mariko; Charette, Matthew A.; Gille, Sarah T.; Frants, Marina; Jiang, Mingshun; Mitchell, B. Greg</t>
  </si>
  <si>
    <t>Winter mesoscale circulation on the shelf slope region of the southern Drake Passage</t>
  </si>
  <si>
    <t>Southern Ocean; Drake Passage; Antarctic Circumpolar Current; Shelf waters; Mesoscale eddies; Mixing; Iron transport</t>
  </si>
  <si>
    <t>ANTARCTIC PENINSULA; ELEPHANT ISLAND; PHYSICAL OCEANOGRAPHY; PHYTOPLANKTON BIOMASS; CARBON SEQUESTRATION; IRON FERTILIZATION; BRANSFIELD STRAIT; CONTINENTAL-SHELF; AUSTRAL FALL; WATER MASSES</t>
  </si>
  <si>
    <t>An austral winter cruise in July-August 2006 was conducted to study the winter circulation and iron delivery processes in the Southern Drake Passage and Bransfield Strait. Results from current and hydrographic measurements revealed a circulation pattern similar to that of the austral summer season observed in previous studies: The Shackleton Transverse Ridge (STR) in the southern Drake Passage blocks a part of the eastward Antarctic Circumpolar Current (ACC) which forces the ACC to detour southward, produces a Taylor Column over the STR, and forms an ACC jet within the Shackleton Gap, a deep channel between the STR and the shelf of Elephant Island. Observations show that to the west of the STR, the Upper Circumpolar Deep Water (UCDW) intruded onto the shelf around the South Shetland Islands while to the east of the STR, shelf waters were transported off the northern shelf of Elephant Island. Along a similar west-east transect approximately 50 km off the shelf, the northward transport of shelf waters was approximately 2.4 and 1.2 Sv in the austral winter and summer, respectively. The waters around Elephant Island primarily consist of the UCDW that has been modified by local cooling and freshening, unmodified UCDW that has recently intruded onto the shelf, and Bransfield Current water that is a mixture of shelf and Bransfield Strait waters. Weddell Sea outflows were observed which affect the hydrography and circulation in the Bransfield Strait and indirectly affect the circulation patterns in the southern Drake Passage and around Elephant Island. Two coupled Fe enrichment and transport mechanisms are proposed which operate together to firstly enrich water with iron and then transfer this water offshelf. These are an initial intrusion of UCDW onto the northern shelf region of the South Shetland Islands which occurs due to Ekman pumping driven by the prevailing westerly wind in the region, and subsequently, an offshelf transport of shelf waters which occurs east of Elephant Island due to acquisition of positive vorticity by shelf waters from horizontal mixing with ACC waters being intruded onto the shelf. Published by Elsevier Ltd.</t>
  </si>
  <si>
    <t>[Zhou, Meng; Zhu, Yiwu; Jiang, Mingshun] Univ Massachusetts, Dept Environm Earth &amp; Ocean Sci, Boston, MA 02125 USA; [Measures, Christopher I.; Hatta, Mariko] Univ Hawaii Manoa, Honolulu, HI 96822 USA; [Charette, Matthew A.] Woods Hole Oceanog Inst, Woods Hole, MA 02543 USA; [Gille, Sarah T.; Frants, Marina; Mitchell, B. Greg] Univ Calif San Diego, Scripps Inst Oceanog, La Jolla, CA 92093 USA</t>
  </si>
  <si>
    <t>University of Massachusetts System; University of Massachusetts Boston; University of Hawaii System; University of Hawaii Manoa; Woods Hole Oceanographic Institution; University of California System; University of California San Diego; Scripps Institution of Oceanography</t>
  </si>
  <si>
    <t>Zhou, M (corresponding author), Univ Massachusetts, Dept Environm Earth &amp; Ocean Sci, 100 Morrissey Blvd, Boston, MA 02125 USA.</t>
  </si>
  <si>
    <t>meng.zhou@umb.edu</t>
  </si>
  <si>
    <t>Charette, Matthew/I-9495-2012; Gille, Sarah T./B-3171-2012</t>
  </si>
  <si>
    <t>Hatta, Mariko/0000-0002-4892-7708; Gille, Sarah/0000-0001-9144-4368</t>
  </si>
  <si>
    <t>National Science Foundation [OPP-0229966, ANT-0444040, ANT-0948378, OPP0230445, ANT0443403, ANT-0948357, ANT0443869, ANT-0948442, OPP0230443, ANT0444134, ANT0948338]; Directorate For Geosciences; Division Of Polar Programs [0739566, 0948442] Funding Source: National Science Foundation; Division Of Polar Programs; Directorate For Geosciences [0948378] Funding Source: National Science Foundation; Office of Polar Programs (OPP); Directorate For Geosciences [0948338] Funding Source: National Science Foundation</t>
  </si>
  <si>
    <t>National Science Foundation(National Science Foundation (NSF)); Directorate For Geosciences; Division Of Polar Programs(National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</si>
  <si>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project was supported by the National Science Foundation Grant nos. OPP-0229966, ANT-0444040 and ANT-0948378 to M. Zhou, OPP0230445, ANT0443403 and ANT-0948357 to C. Measures, ANT0443869 and ANT-0948442 to M. Charette, and OPP0230443, ANT0444134 and ANT0948338 to B.G. Mitchell. We would like to acknowledge Raytheon Polar Service Co. for assisting with networking, data transferring and CTD casts, and the crews of the A.S.R.V. L.M. Gould and R.V.I.B. N.B. Palmer for tirelessly fighting the rough sea. We would also like to acknowledge the reviewers for improving the quality of this manuscript.</t>
  </si>
  <si>
    <t>10.1016/j.dsr2.2013.03.041</t>
  </si>
  <si>
    <t>WOS:000320142000002</t>
  </si>
  <si>
    <t>Frants, M; Gille, ST; Hewes, CD; Holm-Hansen, O; Kahru, M; Lombrozo, A; Measures, CI; Mitchell, BG; Wang, HL; Zhou, M</t>
  </si>
  <si>
    <t>Frants, Marina; Gille, Sarah T.; Hewes, Christopher D.; Holm-Hansen, Osmund; Kahru, Mati; Lombrozo, Aaron; Measures, Christopher I.; Mitchell, B. Greg; Wang, Haili; Zhou, Meng</t>
  </si>
  <si>
    <t>Optimal multiparameter analysis of source water distributions in the Southern Drake Passage</t>
  </si>
  <si>
    <t>Southern Ocean; Drake Passage; Iron; OMP analysis; Ona Basin</t>
  </si>
  <si>
    <t>PHYTOPLANKTON BLOOM; BRANSFIELD STRAIT; IRON; MASSES; THERMOCLINE; CIRCULATION; CARBON; ISLAND; OCEAN</t>
  </si>
  <si>
    <t>In order to evaluate the effects of horizontal advection on iron supply in the vicinity of the Shackleton Transverse Ridge (SIR) in the southern Drake Passage, the water composition in the region is estimated along the isopycnal containing the subsurface iron peak. Optimal Multiparameter (OMP) analysis of temperature, salinity, oxygen and nutrient data is used to estimate the water composition at CID stations sampled in summer 2004 and winter 2006. The highest iron concentrations in the Ona Basin are found below the mixed layer, both in summer and in winter. The water composition derived from the OMP analysis is consistent with a scenario in which iron-rich shelf waters from the South Shetland Islands and the Antarctic Peninsula are advected northward on the eastern side of the SIR, where they interact with the low-iron waters of the Antarctic Circumpolar Current (ACC) in the Ona Basin. The shelf waters and the ACC waters appear to interact through a stirring process without fully mixing, resulting in a filamented distribution that has also been inferred from the satellite data. To the west of the STR, the shelf waters are primarily confined to the continental shelf, and do not extend northwards. This source of water distribution is consistent with the idea that iron enters the Ona Basin from the continental shelf through advection along an isopycnal, resulting in an iron concentration peak occurring below the winter mixed layer in the Ona Basin. (c) 2012 Elsevier Ltd. All rights reserved.</t>
  </si>
  <si>
    <t>[Frants, Marina; Gille, Sarah T.; Hewes, Christopher D.; Holm-Hansen, Osmund; Kahru, Mati; Lombrozo, Aaron; Mitchell, B. Greg] Univ Calif San Diego, Scripps Inst Oceanog, La Jolla, CA 92093 USA; [Measures, Christopher I.] Univ Hawaii, Honolulu, HI 96822 USA; [Zhou, Meng] Univ Massachusetts, Boston, MA 02125 USA; [Wang, Haili] Xiamen Univ, Xiamen, Fujian Province, Peoples R China</t>
  </si>
  <si>
    <t>University of California System; University of California San Diego; Scripps Institution of Oceanography; University of Hawaii System; University of Massachusetts System; University of Massachusetts Boston; Xiamen University</t>
  </si>
  <si>
    <t>Frants, M (corresponding author), Univ Calif San Diego, Scripps Inst Oceanog, La Jolla, CA 92093 USA.</t>
  </si>
  <si>
    <t>mfrants@ucsd.edu</t>
  </si>
  <si>
    <t>Gille, Sarah T./B-3171-2012</t>
  </si>
  <si>
    <t>Gille, Sarah/0000-0001-9144-4368</t>
  </si>
  <si>
    <t>National Science Foundation [ANT0444134, ANT0948338, OCE0957342, OCE0622740]; Office of Polar Programs (OPP); Directorate For Geosciences [0948338] Funding Source: National Science Foundation</t>
  </si>
  <si>
    <t>National Science Foundation(National Science Foundation (NSF)); Office of Polar Programs (OPP); Directorate For Geosciences(National Science Foundation (NSF)NSF - Directorate for Geosciences (GEO))</t>
  </si>
  <si>
    <t>The funding for this research was provided by the National Science Foundation, Grants nos. ANT0444134, ANT0948338, OCE0957342 and OCE0622740.</t>
  </si>
  <si>
    <t>10.1016/j.dsr2.2012.06.002</t>
  </si>
  <si>
    <t>WOS:000320142000004</t>
  </si>
  <si>
    <t>Frants, M; Gille, ST; Hatta, M; Hiscock, WT; Kahru, M; Measures, CI; Mitchell, BG; Zhou, M</t>
  </si>
  <si>
    <t>Frants, Marina; Gille, Sarah T.; Hatta, Mariko; Hiscock, William T.; Kahru, Mati; Measures, Christopher I.; Mitchell, B. Greg; Zhou, Meng</t>
  </si>
  <si>
    <t>Analysis of horizontal and vertical processes contributing to natural iron supply in the mixed layer in southern Drake Passage</t>
  </si>
  <si>
    <t>Southern ocean; Drake passage; Iron; Mixing; Diapycnal mixing; Ona basin</t>
  </si>
  <si>
    <t>WIND STRESS MEASUREMENTS; DISSOLVED IRON; PHYTOPLANKTON BLOOM; KERGUELEN PLATEAU; FERTILIZATION EXPERIMENT; ANTARCTIC WATERS; CHLOROPHYLL; CARBON; OCEAN; SCALE</t>
  </si>
  <si>
    <t>Horizontal advection, vertical mixing, and mixed-layer entrainment all affect iron concentrations and biological productivity in the Ona Basin, near the Shackleton Transverse Ridge (STR) in southern Drake Passage. Trace metal sampling in the region indicates that dissolved iron concentrations are significantly higher on the continental shelf near the Antarctic Peninsula and the South Shetland Islands than they are in the deep waters away from the shelf. Comparisons between satellite-derived sea surface height (SSH) and Chlorophyll-a (Chl-a) levels in the Ona Basin show &gt; 95% correlation between Chl-a concentrations and horizontal advection of these iron-rich shelf waters during the months of November and December for the years 1997-2010. However, no significant correlations are found for January-April, while high Chl-a concentrations in the Ona Basin persist through March. Enhanced vertical (diapycnal) mixing and mixed-layer entrainment are considered as alternative mechanisms for delivering iron into the Ona Basin mixed layer and sustaining the high Chl-a concentrations. Estimates of iron flux based on in situ measurements of dissolved iron concentrations suggest that diapycnal mixing alone can supply iron to the base of the mixed layer at a rate of 64 +/- 2 nmol m(-2) day(-1) during the summer. In addition, the summer mixed layer in the Ona Basin deepens from January to April, allowing for iron-rich water to be steadily entrained from below. Estimates based on monthly mixed-layer climatologies produce average daily entrainment rates ranging from 5 to 25 nmol m(-2) day(-1). While neither diapycnal mixing nor entrainment alone is always sufficient to meet the estimated iron demand for the Ona Basin bloom, numerical simulation suggests that the combined effect of the two processes can consistently supply sufficient iron to sustain the bloom. (c) 2012 Elsevier Ltd. All rights reserved.</t>
  </si>
  <si>
    <t>[Frants, Marina; Gille, Sarah T.; Kahru, Mati; Mitchell, B. Greg] Univ Calif San Diego, Scripps Inst Oceanog, La Jolla, CA 92093 USA; [Hatta, Mariko; Measures, Christopher I.] Univ Hawaii, Honolulu, HI 96822 USA; [Hiscock, William T.] Univ Bern, CH-3012 Bern, Switzerland; [Zhou, Meng] Univ Massachusetts, Boston, MA 02125 USA</t>
  </si>
  <si>
    <t>University of California System; University of California San Diego; Scripps Institution of Oceanography; University of Hawaii System; University of Bern; University of Massachusetts System; University of Massachusetts Boston</t>
  </si>
  <si>
    <t>US National Science Foundation [OPP-0230443, ANT-0444134, ANT-0948338, OCE-0622740, OCE-0957342]; Directorate For Geosciences; Division Of Polar Programs [0948378] Funding Source: National Science Foundation; Directorate For Geosciences; Office of Polar Programs (OPP) [0948338] Funding Source: National Science Foundation</t>
  </si>
  <si>
    <t>US National Science Foundation(National Science Foundation (NSF)); Directorate For Geosciences; Division Of Polar Programs(National Science Foundation (NSF)NSF - Directorate for Geosciences (GEO)); Directorate For Geosciences; Office of Polar Programs (OPP)(National Science Foundation (NSF)NSF - Directorate for Geosciences (GEO))</t>
  </si>
  <si>
    <t>The authors would like to thank the crews of the R/V Laurence M. Gould and R/V Nathaniel B. Palmer, the employees of the Raytheon Polar Services Company, and Katherine Barbeau of Scripps Institution of Oceanography. NCEP Reanalysis data were provided by the NOAA/OAR/ESRL PSD, Boulder, Colorado, USA, from their Web site at http://www.esrl.noaa.gov/psd/. This research was supported by the US National Science Foundation (grants OPP-0230443, ANT-0444134, ANT-0948338, OCE-0622740 and OCE-0957342).</t>
  </si>
  <si>
    <t>10.1016/j.dsr2.2012.06.001</t>
  </si>
  <si>
    <t>WOS:000320142000007</t>
  </si>
  <si>
    <t>Hopkinson, BM; Seegers, B; Hatta, M; Measures, CI; Mitchell, BG; Barbeau, KA</t>
  </si>
  <si>
    <t>Hopkinson, Brian M.; Seegers, Brian; Hatta, Mariko; Measures, Christopher I.; Mitchell, B. Greg; Barbeau, Katherine A.</t>
  </si>
  <si>
    <t>Planktonic C:Fe ratios and carrying capacity in the southern Drake Passage</t>
  </si>
  <si>
    <t>Iron; Southern Ocean; Plankton; Elemental ratios</t>
  </si>
  <si>
    <t>ELECTRON-TRANSPORT; IRON LIMITATION; PHYTOPLANKTON; OCEAN; LIGHT; GROWTH; COASTAL; BIOMASS; WATERS; TEMPERATURE</t>
  </si>
  <si>
    <t>The carbon to iron (C:Fe) ratio of planktonic biomass constrains net production in iron-limited regions of the ocean and is an important parameter for predicting biomass production from iron inputs. On a cruise to the southern Drake Passage in July-August 2006, we used two approaches to determine the C:Fe ratio of planktonic material: dual-radiotracer labeling and net biomass production in iron-limited grow-out experiments. There was variability in C:Fe ratios among experiments, but values from the two methods overlapped with average values of 1.4 x 10(5) (mol:mol) for the radiotracer method and 1.7 x 10(5) for the net biomass production method. This is notable since the net biomass production method is a new approach to determine C:Fe ratios. Although it has potential issues related to bottle effects and sensitivity to trace contamination, the method avoids some of the questions associated with iron speciation and bioavailability since ambient iron supports production. Because light intensity is known to affect C:Fe ratios in phytoplankton through photosynthetic iron demands, we tested the effect of light level on C:Fe in Antarctic assemblages. In contrast to what is seen in many phytoplankton cultures, C:Fe ratios increased at low-light, but we suspect that this is due to initial photoinhibition of the low-light adapted winter assemblages at higher light levels. (c) 2012 Elsevier Ltd. All rights reserved.</t>
  </si>
  <si>
    <t>[Hopkinson, Brian M.; Seegers, Brian; Mitchell, B. Greg; Barbeau, Katherine A.] Univ Calif San Diego, Scripps Inst Oceanog, San Diego, CA 92093 USA; [Hatta, Mariko; Measures, Christopher I.] Univ Hawaii, Dept Oceanog, Honolulu, HI 96822 USA</t>
  </si>
  <si>
    <t>University of California System; University of California San Diego; Scripps Institution of Oceanography; University of Hawaii System</t>
  </si>
  <si>
    <t>Hopkinson, BM (corresponding author), Univ Georgia, Dept Marine Sci, Athens, GA 30602 USA.</t>
  </si>
  <si>
    <t>bmhopkin@uga.edu</t>
  </si>
  <si>
    <t>Hatta, Mariko/0000-0002-4892-7708; Barbeau, Katherine/0000-0002-2132-7219</t>
  </si>
  <si>
    <t>National Science Foundation [ANT 04-44134, ANT 09-48338]; Division Of Polar Programs; Directorate For Geosciences [0948378] Funding Source: National Science Foundation; Office of Polar Programs (OPP); Directorate For Geosciences [0948338] Funding Source: National Science Foundation</t>
  </si>
  <si>
    <t>National Science Foundation(National Science Foundation (NSF)); Division Of Polar Programs; Directorate For Geosciences(National Science Foundation (NSF)NSF - Directorate for Geosciences (GEO)); Office of Polar Programs (OPP); Directorate For Geosciences(National Science Foundation (NSF)NSF - Directorate for Geosciences (GEO))</t>
  </si>
  <si>
    <t>We thank the captain and crew of the R/V Nathaniel B. Palmer and Raytheon Polar Service staff for support of the field work. We thank Bridget Seegers, Sue Reynolds, and Alison Cleary for help with incubation setup and sampling. This work was supported by the National Science Foundation (Grants ANT 04-44134 and ANT 09-48338).</t>
  </si>
  <si>
    <t>10.1016/j.dsr2.2012.09.001</t>
  </si>
  <si>
    <t>WOS:000320142000010</t>
  </si>
  <si>
    <t>Jiang, MS; Barbeau, KA; Selph, KE; Measures, CI; Buck, KN; Azam, F; Mitchell, BG; Zhou, M</t>
  </si>
  <si>
    <t>Jiang, Mingshun; Barbeau, Katherine A.; Selph, Karen E.; Measures, Christopher I.; Buck, Kristen N.; Azam, Farooq; Mitchell, B. Greg; Zhou, Meng</t>
  </si>
  <si>
    <t>The role of organic ligands in iron cycling and primary productivity in the Antarctic Peninsula: A modeling study</t>
  </si>
  <si>
    <t>Iron; Organic ligands; Model; Bacteria; Phytoplankton; Bio-complexation; Photo-reduction; Scavenging; Carbon; Antarctic Peninsula; Southern Ocean; Primary productivity</t>
  </si>
  <si>
    <t>ATLANTIC TIME-SERIES; SOUTHERN-OCEAN PHYTOPLANKTON; DRAKE PASSAGE; COLLOIDAL IRON; WATER-COLUMN; PLANKTON COMMUNITIES; BRANSFIELD STRAIT; MARINE ECOSYSTEM; DISSOLVED IRON; NORTH-ATLANTIC</t>
  </si>
  <si>
    <t>Iron (Fe) is the limiting nutrient for primary productivity in the Southern Ocean, with much of the dissolved iron (dFe) bound to organic ligands or colloids. A Fe model for the Southern Ocean (SOFe) is developed to understand the role of bacteria and organic ligands in controlling Fe cycling and productivity. The model resolves the classical food web and microbial loop, including three types of nutrients (N, Si, Fe) and two types of Fe ligands. Simulations of the zero-dimensional (0-D) model are calibrated with detailed results of shipboard grow-out incubation experiments conducted with Antarctic Peninsula phytoplankton communities during winter 2006 to provide the best estimate of key biological parameters. Then a one-dimensional (1-D) model is developed by coupling the biological model with the Regional Oceanic Modeling System (ROMS) for a site on the Antarctic Peninsula shelf, and the model parameters are further calibrated with data collected from two surveys (summer 2004 and winter 2006) in the area. The results of the numerical simulations agree reasonably well with observations. An analysis of the 1-D model results suggests that bacteria and organic ligands may play an important role in Fe cycling, which can be categorized into a relatively fast mode within the euphotic zone dominated by photo-reactions (summer d Fe residence time about 600 days) and complexation and a slow mode below with most of the dFe biologically complexed (summer dFe residence time &gt; 10 years). The dFe removal from the euphotic zone is dominated by colloidal formation and further aggregations with additional contribution from biological uptake, and an increase of organic ligands would reduce Fe export. The decrease of Fe removal rate over depth is due to the continuous dissolution and remineralization of particulate Fe. A number of sensitivity experiments are carried out for both O-D and 1-D models to understand the importance of photo-reactive processes in primary productivity, bacterial activity, Fe speciation, and dFe residence time within the euphotic zone. The bio-availability of ligand-bound Fe (FeL) is critical to modeled high primary productivity, which is consistent with both shipboard measurements and field observations. In addition, model productivity is sensitive to photoreaction rates if FeL is not directly available for phytoplankton uptake. (C) 2013 Elsevier Ltd. All rights reserved.</t>
  </si>
  <si>
    <t>[Jiang, Mingshun; Zhou, Meng] Univ Massachusetts, Dept Environm Earth &amp; Ocean Sci, Boston, MA 02115 USA; [Barbeau, Katherine A.; Azam, Farooq; Mitchell, B. Greg] Univ Calif San Diego, Scripps Inst Oceanog, La Jolla, CA 92093 USA; [Selph, Karen E.; Measures, Christopher I.] Univ Hawaii Manoa, Dept Oceanog, Honolulu, HI 96822 USA; [Buck, Kristen N.] Bermuda Inst Ocean Sci, Biol Stn 17, St Georges, Bermuda</t>
  </si>
  <si>
    <t>University of Massachusetts System; University of Massachusetts Boston; University of California System; University of California San Diego; Scripps Institution of Oceanography; University of Hawaii System; University of Hawaii Manoa; Bermuda Institute of Ocean Sciences</t>
  </si>
  <si>
    <t>Jiang, MS (corresponding author), Univ Massachusetts, Dept Environm Earth &amp; Ocean Sci, 100 Morrissey Blvd, Boston, MA 02115 USA.</t>
  </si>
  <si>
    <t>Buck, Kristen/O-3988-2014</t>
  </si>
  <si>
    <t>Buck, Kristen/0000-0002-3871-870X; Barbeau, Katherine/0000-0002-2132-7219; Selph, Karen/0000-0001-7281-4706</t>
  </si>
  <si>
    <t>NOAA [NA09OAR4310062]; NSF ANT grant [0948378, 0948338]; Office of Polar Programs (OPP); Directorate For Geosciences [0948338] Funding Source: National Science Foundation</t>
  </si>
  <si>
    <t>NOAA(National Oceanic Atmospheric Admin (NOAA) - USA); NSF ANT grant; Office of Polar Programs (OPP); Directorate For Geosciences(National Science Foundation (NSF)NSF - Directorate for Geosciences (GEO))</t>
  </si>
  <si>
    <t>MJ and MZ are supported by NOAA grant NA09OAR4310062 and NSF ANT grant 0948378, resp[ectively. KB is supported by NSF ANT grant 0948338. Discussion with A. Tagliabue has been very helpful for the model development. We thank B. Hopkinson and R. Bundy for sharing their unpublished Fe-ligand data. This manuscript represents BIOS contribution number 2019 for coauthor Buck. We thank Dr. Philip Boyd and an anonymous reviewer for their constructive comments.</t>
  </si>
  <si>
    <t>10.1016/j.dsr2.2013.01.029</t>
  </si>
  <si>
    <t>WOS:000320142000011</t>
  </si>
  <si>
    <t>Blok, A</t>
  </si>
  <si>
    <t>Blok, Anders</t>
  </si>
  <si>
    <t>Comparative Globalities: Actor-Network Theory and the Topologies of Japanese Research Whales</t>
  </si>
  <si>
    <t>EAST ASIAN SCIENCE TECHNOLOGY AND SOCIETY-AN INTERNATIONAL JOURNAL</t>
  </si>
  <si>
    <t>Japanese whaling; global connections; actor-network theory; topology; comparison</t>
  </si>
  <si>
    <t>STS; ETHNOGRAPHY; POLITICS</t>
  </si>
  <si>
    <t>This article draws on ethnographic studies (conducted in Japan) into ongoing controversies over Japanese research whaling, in order to theorize what it might mean, in STS and elsewhere, to think comparatively about global connections, networks, and flows. Since the 1970s, Japanese whaling has been constituted as a high-profile global controversy, mired in a sensitive cultural politics of so-called whaling cultures (alongside Norway, Iceland, and various indigenous groups). While Euro-American environmentalists attempt to turn whales into charismatic friends of humankind, the Japanese prowhaling establishment continues to justify whaling in the Antarctic for scientific purposes. The ethnographic puzzle picked up here is how such work of scientific justification plays out in transnational contexts. Engaging discussions in actor-network theory (ANT), the article addresses this question by elaborating a notion of comparative globalities. Gradually, this concept comes to absorb three different STS-analytical strategies in the context of Japanese whaling: the multicultural global (ubiquitous cultural comparisons with political effects); global assemblages (specific conjunctures of scientific, legal, and cultural trajectories); and a notion of interobject and intraobject comparisons elaborated in the (post-) ANT language of topology (Law and Mol). This topological strategy of formal comparison aims to extend the notion that technoscientific objects, such as Japanese whale inscriptions, travel the world in different sociospatial patterns, each carrying specifiable effects. The article ends by reflecting on the methodological implications of such comparative globalities for STS work, which, like this article itself, travels between Euro-American and East Asian contexts.</t>
  </si>
  <si>
    <t>[Blok, Anders] Univ Copenhagen, Dept Sociol, Copenhagen, Denmark</t>
  </si>
  <si>
    <t>University of Copenhagen</t>
  </si>
  <si>
    <t>Blok, A (corresponding author), Univ Copenhagen, Dept Sociol, Copenhagen, Denmark.</t>
  </si>
  <si>
    <t>abl@soc.ku.dk</t>
  </si>
  <si>
    <t>Blok, Anders/0000-0002-3403-698X</t>
  </si>
  <si>
    <t>TAYLOR &amp; FRANCIS INC</t>
  </si>
  <si>
    <t>PHILADELPHIA</t>
  </si>
  <si>
    <t>530 WALNUT STREET, STE 850, PHILADELPHIA, PA 19106 USA</t>
  </si>
  <si>
    <t>1875-2160</t>
  </si>
  <si>
    <t>1875-2152</t>
  </si>
  <si>
    <t>E ASIAN SCI TECH SOC</t>
  </si>
  <si>
    <t>East Asian Sci. Technol. Soc.</t>
  </si>
  <si>
    <t>10.1215/18752160-2145260</t>
  </si>
  <si>
    <t>Area Studies; History &amp; Philosophy Of Science; Asian Studies</t>
  </si>
  <si>
    <t>Area Studies; History &amp; Philosophy of Science; Asian Studies</t>
  </si>
  <si>
    <t>V22FN</t>
  </si>
  <si>
    <t>WOS:000215007800002</t>
  </si>
  <si>
    <t>Catry, P; Dias, MP; Phillips, RA; Granadeiro, JP</t>
  </si>
  <si>
    <t>Catry, Paulo; Dias, Maria P.; Phillips, Richard A.; Granadeiro, Jose P.</t>
  </si>
  <si>
    <t>Carry-over effects from breeding modulate the annual cycle of a long-distance migrant: an experimental demonstration</t>
  </si>
  <si>
    <t>ECOLOGY</t>
  </si>
  <si>
    <t>Calonectris diomedea; Cory's Shearwater; costs of reproduction; partial migration</t>
  </si>
  <si>
    <t>CALONECTRIS-DIOMEDEA; WINTER; REPRODUCTION; COMPETITION; DEPARTURE; SONGBIRD; ARRIVAL; COSTS; MOLT</t>
  </si>
  <si>
    <t>Carry-over effects relate to events or processes that influence individual performance in a subsequent season, but their occurrence in the annual cycle of migratory avian taxa is seldom studied. We investigated if different levels of resource allocation to reproduction may result in carry-over effects that change the timing and destination of long-distance migration. We reduced the parental investment of Cory's Shearwaters Calonectris diomedea by removing their chick at an early stage. When compared to individuals with greater parental investment (controls that raised chicks to close to fledging), manipulated birds started most stages of migration sooner and returned to the colony earlier at the start of the following breeding season. Late arrival in the subsequent nesting season increased the probability of skipping a breeding year. Manipulated males were less likely to engage in long-distance migration, which supports the idea that partial migration is condition dependent. Our study demonstrates experimentally that energetic or time-dependent costs of reproduction may have an enduring impact on migration schedule and on nonbreeding geographical distribution of long-distance migrants, which may also influence the ability to breed in the following season.</t>
  </si>
  <si>
    <t>[Catry, Paulo; Dias, Maria P.] ISPA, Ecoethol Res Unit, Lisbon, Portugal; [Catry, Paulo; Dias, Maria P.] Museu Nacl Hist Nat &amp; Ciencia, Lisbon, Portugal; [Phillips, Richard A.] NERC, British Antarctic Survey, Cambridge, England; [Granadeiro, Jose P.] Univ Lisbon, CESAM, Museu Nacl Hist Nat &amp; Ciencia, P-1699 Lisbon, Portugal</t>
  </si>
  <si>
    <t>Instituto Superior Psicologia Aplicada (ISPA); UK Research &amp; Innovation (UKRI); Natural Environment Research Council (NERC); NERC British Antarctic Survey; Universidade de Lisboa</t>
  </si>
  <si>
    <t>Catry, P (corresponding author), ISPA, Ecoethol Res Unit, Lisbon, Portugal.</t>
  </si>
  <si>
    <t>paulo.catry@gmail.com</t>
  </si>
  <si>
    <t>Granadeiro, José Pedro/E-8060-2011; Dias, Maria P./D-1331-2012; Catry, Paulo/I-5408-2013</t>
  </si>
  <si>
    <t>Granadeiro, José Pedro/0000-0002-7207-3474; Dias, Maria P./0000-0002-7281-4391; Catry, Paulo/0000-0003-3000-0522</t>
  </si>
  <si>
    <t>Servico do Parque Natural da Madeira; Fundacao para a Ciencia e a Tecnologia (FCT Portugal) [PTDC/MAR/71927/2006, PEst-OE/MAR/UI0331/2011]; FCT [BPD/46827/08]; Natural Environment Research Council [bas0100025] Funding Source: researchfish; NERC [bas0100025] Funding Source: UKRI; Fundação para a Ciência e a Tecnologia [PTDC/MAR/71927/2006] Funding Source: FCT</t>
  </si>
  <si>
    <t>Servico do Parque Natural da Madeira; Fundacao para a Ciencia e a Tecnologia (FCT Portugal)(Fundacao para a Ciencia e a Tecnologia (FCT)); FCT(Fundacao para a Ciencia e a Tecnologia (FCT)); Natural Environment Research Council(UK Research &amp; Innovation (UKRI)Natural Environment Research Council (NERC)); NERC(UK Research &amp; Innovation (UKRI)Natural Environment Research Council (NERC)); Fundação para a Ciência e a Tecnologia(Fundacao para a Ciencia e a Tecnologia (FCT))</t>
  </si>
  <si>
    <t>Servico do Parque Natural da Madeira provided permissions and support for the work at Selvagens, and many collaborators helped with fieldwork. This study is an output from a project on the ecology of Cory's Shearwaters (PTDC/MAR/71927/2006) and project PEst-OE/MAR/UI0331/2011 supported by Fundacao para a Ciencia e a Tecnologia (FCT Portugal). M. Dias benefited from a fellowship from FCT (BPD/46827/08).</t>
  </si>
  <si>
    <t>0012-9658</t>
  </si>
  <si>
    <t>1939-9170</t>
  </si>
  <si>
    <t>10.1890/12-2177.1</t>
  </si>
  <si>
    <t>168OG</t>
  </si>
  <si>
    <t>WOS:000320714800004</t>
  </si>
  <si>
    <t>Shamim, K; Naik, MM; Pandey, A; Dubey, SK</t>
  </si>
  <si>
    <t>Shamim, Kashif; Naik, Milind Mohan; Pandey, Anju; Dubey, Santosh Kumar</t>
  </si>
  <si>
    <t>Isolation and identification of Aeromonas caviae strain KS-1 as TBTC- and lead-resistant estuarine bacteria</t>
  </si>
  <si>
    <t>ENVIRONMENTAL MONITORING AND ASSESSMENT</t>
  </si>
  <si>
    <t>Lead; TBTC; Morphology; Biosorption; Bacterial resistance</t>
  </si>
  <si>
    <t>MORPHOLOGICAL-CHANGES; METAL ACCUMULATION; PSEUDOMONAS-PUTIDA; MARINE-BACTERIA; PROTEINS; INTERFERENCE; TOLERANCE</t>
  </si>
  <si>
    <t>Tributyltin chloride (TBTC)- and lead-resistant estuarine bacterium from Mandovi estuary, Goa, India was isolated and identified as Aeromonas caviae strain KS-1 based on biochemical characteristics and FAME analysis. It tolerates TBTC and lead up to 1.0 and 1.4 mM, respectively, in the minimal salt medium (MSM) supplemented with 0.4 % glucose. Scanning electron microscopy clearly revealed a unique morphological pattern in the form of long inter-connected chains of bacterial cells on exposure to 1 mM TBTC, whereas cells remained unaltered in presence of 1.4 mM Pb(NO3)(2) but significant biosorption of lead (8 %) on the cell surface of this isolate was clearly revealed by scanning electron microscopy coupled with energy dispersive X-ray spectroscopy. SDS-PAGE analysis of whole-cell proteins of this lead-resistant isolate interestingly demonstrated three lead-induced proteins with molecular mass of 15.7, 16.9 and 32.4 kDa, respectively, when bacterial cells were grown under the stress of 1.4 mM Pb (NO3)(2). This clearly demonstrated their possible involvement exclusively in lead resistance. A. caviae strain KS-1 also showed tolerance to several other heavy metals, viz. zinc, cadmium, copper and mercury. Therefore, we can employ this TBTC and lead-resistant bacterial isolate for lead bioremediation and also for biomonitoring TBTC from lead and TBTC contaminated environment.</t>
  </si>
  <si>
    <t>[Shamim, Kashif; Naik, Milind Mohan; Pandey, Anju; Dubey, Santosh Kumar] Goa Univ, Lab Bacterial Genet &amp; Environm Biotechnol, Dept Microbiol, Taleigao Plateau 403206, Goa, India</t>
  </si>
  <si>
    <t>Goa University</t>
  </si>
  <si>
    <t>Dubey, SK (corresponding author), Goa Univ, Lab Bacterial Genet &amp; Environm Biotechnol, Dept Microbiol, Taleigao Plateau 403206, Goa, India.</t>
  </si>
  <si>
    <t>santoshdubey.gu@gmail.com</t>
  </si>
  <si>
    <t>Shamim, Kashif/HCH-9033-2022</t>
  </si>
  <si>
    <t>Shamim, Kashif/0000-0001-7996-1477; Dubey, Santosh Kumar/0000-0002-4601-7655</t>
  </si>
  <si>
    <t>Department of Biotechnology, Government of India</t>
  </si>
  <si>
    <t>Department of Biotechnology, Government of India(Department of Biotechnology (DBT) India)</t>
  </si>
  <si>
    <t>Dr. Dubey is thankful to Department of Biotechnology, Government of India for financial support as a major R&amp;D grant. We gratefully acknowledge the help of Dr. M. J. Beg, Dr. R. Mohan and Ms. Sahina Gazi from National Centre for Antarctic and Ocean Research, Vasco da Gama, Goa, India for kindly providing SEM-EDX facility.</t>
  </si>
  <si>
    <t>0167-6369</t>
  </si>
  <si>
    <t>ENVIRON MONIT ASSESS</t>
  </si>
  <si>
    <t>Environ. Monit. Assess.</t>
  </si>
  <si>
    <t>10.1007/s10661-012-2940-2</t>
  </si>
  <si>
    <t>138IV</t>
  </si>
  <si>
    <t>WOS:000318503100058</t>
  </si>
  <si>
    <t>Beckett, RP; Zavarzina, AG; Liers, C</t>
  </si>
  <si>
    <t>Beckett, Richard P.; Zavarzina, Anna G.; Liers, Christiane</t>
  </si>
  <si>
    <t>Oxidoreductases and cellulases in lichens: Possible roles in lichen biology and soil organic matter turnover</t>
  </si>
  <si>
    <t>FUNGAL BIOLOGY</t>
  </si>
  <si>
    <t>Humic substances; Laccase; Peroxidase; Reactive oxygen species; Stress; Tyrosinases</t>
  </si>
  <si>
    <t>LIGNIN MODEL COMPOUNDS; EVERNIA-PRUNASTRI; BETA-GLUCOSIDASE; SUBORDER PELTIGERINEAE; FUNGAL TYROSINASES; PLEUROTUS-ERYNGII; LACCASE ACTIVITY; BETA-1,4-GLUCANASE; PURIFICATION; PEROXIDASE</t>
  </si>
  <si>
    <t>Lichens are symbiotic associations of a fungus (usually an Ascomycete) with green algae and/or a cyanobacterium. They dominate on 8% of the world's land surface, mainly in Arctic and Antarctic regions, tundra, high mountain elevations and as components of dryland crusts. In many ecosystems, lichens are the pioneers on the bare rock or soil following disturbance, presumably because of their tolerance to desiccation and high temperature. Lichens have long been recognized as agents of mineral weathering and fine-earth stabilization. Being dominant biomass producers in extreme environments they contribute to primary accumulation of soil organic matter. However, biochemical role of lichens in soil. processes is unknown. Our recent research has demonstrated that Peltigeralean lichens contain redox enzymes which in free-living fungi participate in lignocellulose degradation and humification. Thus lichen enzymes may catalyse formation and degradation of soil organic matter, particularly in high-stress communities dominated by lower plants. In the present review we synthesize recently published data on lichen phenol oxidases, peroxidases, and cellulases and discuss their possible roles in lichen physiology and soil organic matter transformations. (C) 2013 The British Mycological Society. Published by Elsevier Ltd. All rights reserved.</t>
  </si>
  <si>
    <t>[Beckett, Richard P.] Univ KwaZulu Natal, Sch Life Sci, ZA-3209 Scottsville, South Africa; [Zavarzina, Anna G.] Moscow MV Lomonosov State Univ, Fac Soil Sci, Dept Soil Chem, Moscow 119991, Russia; [Liers, Christiane] Int Grad Sch Zittau, Unit Environm Biotechnol, D-02763 Zittau, Germany</t>
  </si>
  <si>
    <t>University of Kwazulu Natal; Lomonosov Moscow State University; Technische Universitat Dresden</t>
  </si>
  <si>
    <t>Beckett, RP (corresponding author), Univ KwaZulu Natal, Sch Life Sci, PBag X01, ZA-3209 Scottsville, South Africa.</t>
  </si>
  <si>
    <t>rpbeckett@gmail.com</t>
  </si>
  <si>
    <t>Beckett, Richard P/G-1706-2016; Beckett, Richard P/E-9377-2010; Zavarzina, Anna/ADH-3065-2022</t>
  </si>
  <si>
    <t>Beckett, Richard P/0000-0002-0530-4244; Liers, Christiane/0000-0002-2000-0820</t>
  </si>
  <si>
    <t>RFBR, Programme 28 of the Presidium of RAS (Russia) [13-04-01693]; NRF (South Africa); European Union</t>
  </si>
  <si>
    <t>RFBR, Programme 28 of the Presidium of RAS (Russia); NRF (South Africa)(National Research Foundation - South Africa); European Union(European Union (EU))</t>
  </si>
  <si>
    <t>We thank Alexander Lisov, Alexei Zavarzin, Harald Kellner, and Farida Minibayeva for valuable comments on the text. The RFBR, Programme 28 of the Presidium of RAS (Russia, grant number 13-04-01693), NRF (South Africa), and the European Union (integrated project PEROXICATS) are thanked for financial contributions that made this project possible.</t>
  </si>
  <si>
    <t>1878-6146</t>
  </si>
  <si>
    <t>FUNGAL BIOL-UK</t>
  </si>
  <si>
    <t>Fungal Biol.</t>
  </si>
  <si>
    <t>10.1016/j.funbio.2013.04.007</t>
  </si>
  <si>
    <t>Mycology</t>
  </si>
  <si>
    <t>185BE</t>
  </si>
  <si>
    <t>WOS:000321939400005</t>
  </si>
  <si>
    <t>Tian, J; Yang, M; Lyle, MW; Wilkens, R; Shackford, JK</t>
  </si>
  <si>
    <t>Tian, Jun; Yang, Mei; Lyle, Mitchell W.; Wilkens, Roy; Shackford, Julia K.</t>
  </si>
  <si>
    <t>Obliquity and long eccentricity pacing of the Middle Miocene climate transition</t>
  </si>
  <si>
    <t>Middle Miocene; global ice volume; ocean carbon reservoir; phase shift</t>
  </si>
  <si>
    <t>ATMOSPHERIC CARBON-DIOXIDE; SOUTH CHINA SEA; ORBITAL ECCENTRICITY; ISOTOPE RECORDS; MARGIN EROSION; GLACIAL CYCLES; PACIFIC-OCEAN; ASIAN MONSOON; ICE VOLUME; EVOLUTION</t>
  </si>
  <si>
    <t>The Middle Miocene East Antarctic ice sheet expansion (EAIE), which is indicated by an abrupt similar to 1 parts per thousand increase in global benthic foraminiferal O-18 at similar to 13.8Ma, marks the Middle Miocene climate transition (MMCT) and has been related to astronomically modulated changes in the global carbon cycle. Here, we present high resolution (3-4kyr) benthic foraminiferal O-18 and C-13 records from IODP Site U1337 in the central equatorial Pacific, which spans the period 12.2-15.8Ma. The isotopic records clearly demonstrate significant imprints from periodic variations in the Earth's orbital parameters, particularly the obliquity (40kyr) and the long eccentricity (400kyr) cycles. While the benthic O-18 and C-13 exhibit nearly identical amplitudes for glacial-interglacial cycles from 15.8 to 12.2Ma, the long-term trends in the benthic O-18 and C-13 had started to reverse after the beginning of the EAIE. Within the 400-kyr band, the benthic -O-18 and C-13 displays a constant phase relationship between 15.8 and 12.2Ma. At the 41-kyr band, however, a phase reversal reaching &gt;180 degrees between -O-18 and C-13 occurs from 13.8Ma to 14.0Ma during the period of the EAIE. A similar phase relationship of benthic foraminiferal -O-18 and C-13 at the 400-kyr band and the 41-kyr band is also observed at ODP Site 1146 from the northern South China Sea. This phase jump occurs when the long-term trends in O-18 and C-13 split, suggesting a decoupling of the global ice volume and ocean carbon reservoir changes during the Middle Miocene.</t>
  </si>
  <si>
    <t>[Tian, Jun; Yang, Mei] Tongji Univ, State Key Lab Marine Geol, Shanghai 200092, Peoples R China; [Lyle, Mitchell W.; Shackford, Julia K.] Texas A&amp;M Univ, Dept Oceanog, College Stn, TX 77843 USA; [Wilkens, Roy] Univ Hawaii Manoa, Hawaii Inst Geophys &amp; Planetol, Honolulu, HI 96822 USA</t>
  </si>
  <si>
    <t>Tongji University; Texas A&amp;M University System; Texas A&amp;M University College Station; University of Hawaii System; University of Hawaii Manoa</t>
  </si>
  <si>
    <t>Tian, J (corresponding author), Tongji Univ, State Key Lab Marine Geol, 1239 Siping Rd, Shanghai 200092, Peoples R China.</t>
  </si>
  <si>
    <t>tianjun@tongji.edu.cn</t>
  </si>
  <si>
    <t>NSFC [40976024, 91128208]; Shanghai Shuguang Program [11SG24]; Fok Ying Tong Education Foundation [111016]; New Century Excellent Talents in University [NCET-08-0401]; NSF [OCE-0962184]; Directorate For Geosciences; Division Of Ocean Sciences [0962184] Funding Source: National Science Foundation</t>
  </si>
  <si>
    <t>NSFC(National Natural Science Foundation of China (NSFC)); Shanghai Shuguang Program; Fok Ying Tong Education Foundation(Fok Ying Tung Education Foundation); New Century Excellent Talents in University(Program for New Century Excellent Talents in University (NCET)); NSF(National Science Foundation (NSF)); Directorate For Geosciences; Division Of Ocean Sciences(National Science Foundation (NSF)NSF - Directorate for Geosciences (GEO))</t>
  </si>
  <si>
    <t>This research used samples provided by the Integrated Ocean Drilling Program (IODP). Funding for this research was provided by the NSFC (Grant No. 40976024, Grant No. 91128208). This research was also sponsored by Shanghai Shuguang Program (11SG24), Fok Ying Tong Education Foundation (111016), and program for New Century Excellent Talents in University (NCET-08-0401). Lyle and Shackford were supported by NSF grant OCE-0962184.</t>
  </si>
  <si>
    <t>10.1002/ggge.20108</t>
  </si>
  <si>
    <t>WOS:000321960000005</t>
  </si>
  <si>
    <t>Skinner, LC; Scrivner, AE; Vance, D; Barker, S; Fallon, S; Waelbroeck, C</t>
  </si>
  <si>
    <t>Skinner, L. C.; Scrivner, A. E.; Vance, D.; Barker, S.; Fallon, S.; Waelbroeck, C.</t>
  </si>
  <si>
    <t>North Atlantic versus Southern Ocean contributions to a deglacial surge in deep ocean ventilation</t>
  </si>
  <si>
    <t>CARBON-DIOXIDE; CIRCULATION; SEAWATER; PACIFIC; CYCLE; AGE</t>
  </si>
  <si>
    <t>Past glacial-interglacial climate transitions were accompanied by millennial-scale pulses in atmospheric CO2 that are widely thought to have resulted from the release of CO2 via the Southern Ocean. However, direct proxy evidence for a Southern Ocean role in regulating past ocean-atmosphere CO2 exchange is scarce. Here we use combined radiocarbon and neodymium isotope measurements from the last deglaciation to confirm greatly enhanced overturning and/or air-sea exchange rates relative to today, in particular during the Bolling-Allerod warm interval. We show that this deglacial pulse in ocean ventilation was not driven by the North Atlantic overturning alone, and must have involved an increase in the ventilation of southern-sourced deep waters. Our results thus confirm the removal of a physical and/or dynamical barrier to effective air-sea (CO2) exchange in the Southern Ocean during deglaciation, and highlight the Antarctic region as a key locus for global climate/carbon-cycle feedbacks.</t>
  </si>
  <si>
    <t>[Skinner, L. C.; Scrivner, A. E.] Univ Cambridge, Dept Earth Sci, Godwin Lab Palaeoclimate Res, Cambridge CB2 3EQ, England; [Vance, D.] Univ Bristol, Sch Earth Sci, Bristol BS8 1RJ, Avon, England; [Barker, S.] Cardiff Univ, Sch Earth &amp; Ocean Sci, Cardiff CF10 3YE, S Glam, Wales; [Fallon, S.] Australian Natl Univ, Res Sch Earth Sci, Canberra, ACT 0200, Australia; [Waelbroeck, C.] Lab CNRS CEA UVSQ, LCSE IPSL, F-91198 Gif Sur Yvette, France</t>
  </si>
  <si>
    <t>University of Cambridge; University of Bristol; Cardiff University; Australian National University; Universite Paris Saclay; CEA</t>
  </si>
  <si>
    <t>Skinner, LC (corresponding author), Univ Cambridge, Dept Earth Sci, Godwin Lab Palaeoclimate Res, Cambridge CB2 3EQ, England.</t>
  </si>
  <si>
    <t>Stephen, Barker/C-2770-2009; Fallon, Stewart/G-6645-2011</t>
  </si>
  <si>
    <t>Fallon, Stewart/0000-0002-8064-5903; Barker, Stephen/0000-0001-7870-6431; waelbroeck, claire/0000-0002-7256-5727</t>
  </si>
  <si>
    <t>Cambridge Newton Trust; Royal Society; NERC [NE/G010501/1, NE/D007046/1]; NERC [NE/J008133/1, NE/G010501/1] Funding Source: UKRI; Natural Environment Research Council [NE/G010501/1] Funding Source: researchfish</t>
  </si>
  <si>
    <t>Cambridge Newton Trust(National Institutes of Health Research (NIHR)); Royal Society(Royal Society);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</si>
  <si>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Cambridge Newton Trust via support granted to Scrivner, by the Royal Society via funding granted to Skinner, and by NERC grants NE/G010501/1 and NE/D007046/1. We are particularly grateful to Francois Primeau for the provision of the model dye-tracer data used in Figure 1, and to four anonymous reviewers for their critical comments.</t>
  </si>
  <si>
    <t>10.1130/G34133.1</t>
  </si>
  <si>
    <t>203DF</t>
  </si>
  <si>
    <t>WOS:000323269800011</t>
  </si>
  <si>
    <t>Vérard, C; Stampfli, GM</t>
  </si>
  <si>
    <t>Verard, Christian; Stampfli, Gerard M.</t>
  </si>
  <si>
    <t>Geodynamic Reconstructions of the Australides-2: Mesozoic-Cainozoic</t>
  </si>
  <si>
    <t>GEOSCIENCES</t>
  </si>
  <si>
    <t>Australia; Antarctica; Tasmania; New Zealand; Lord Howe Rise; Tasman Sea; west Pacific; plate tectonics; geodynamic reconstructions</t>
  </si>
  <si>
    <t>The present work, derived from a full global geodynamic reconstruction model over 600 Ma and based on a large database, focuses herein on the interaction between the Pacific, Australian and Antarctic plates since 200 Ma, and proposes integrated solutions for a coherent, physically consistent scenario. The evolution of the Australia-Antarctica-West Pacific plate system is dependent on the Gondwana fit chosen for the reconstruction. Our fit, as defined for the latest Triassic, implies an original scenario for the evolution of the region, in particular for the early opening history of the Tasman Sea. The interaction with the Pacific, moreover, is characterised by many magmatic arc migrations and ocean openings, which are stopped by arc-arc collision, arc-spreading axis collision, or arc-oceanic plateau collision, and subduction reversals. Mid-Pacific oceanic plateaus created in the model are much wider than they are on present-day maps, and although they were subducted to a large extent, they were able to stop subduction. We also suggest that adduction processes (i.e., re-emergence of subducted material) may have played an important role, in particular along the plate limit now represented by the Alpine Fault in New Zealand.</t>
  </si>
  <si>
    <t>[Verard, Christian; Stampfli, Gerard M.] Univ Lausanne, Inst Earth Sci, Geopolis Quartier Mouline, CH-1015 Lausanne, Switzerland</t>
  </si>
  <si>
    <t>University of Lausanne</t>
  </si>
  <si>
    <t>Stampfli, GM (corresponding author), Univ Lausanne, Inst Earth Sci, Geopolis Quartier Mouline, CH-1015 Lausanne, Switzerland.</t>
  </si>
  <si>
    <t>xian_verard@hotmail.com; gerard.stampfli@unil.ch</t>
  </si>
  <si>
    <t>Swiss National Fund (SNF)</t>
  </si>
  <si>
    <t>Swiss National Fund (SNF)(Swiss National Science Foundation (SNSF))</t>
  </si>
  <si>
    <t>We gratefully thank Cyril Hochard, Laurent Thum, Claire Gracia-Garay, Kennet Flores-Reyes, and all members of the Stampfli's working group for sharing their data, ideas, and time with us. We kindly acknowledge Petroconsultant IHS Global S. A. (Geneva) and Shell (UK) for access to their database. The Swiss National Fund (SNF) is equally acknowledged for funding the present work. The work was carried out as part of the research program of the University of Lausanne on the Stampfli geodynamic model, which is now owned by Neftex Petroleum Consultants Ltd. and attached to the Neftex Earth Model. We are grateful to Neftex for allowing us to present in this publication some details from the geodynamic model obtained prior to 28 February 2010.</t>
  </si>
  <si>
    <t>MDPI</t>
  </si>
  <si>
    <t>BASEL</t>
  </si>
  <si>
    <t>ST ALBAN-ANLAGE 66, CH-4052 BASEL, SWITZERLAND</t>
  </si>
  <si>
    <t>2076-3263</t>
  </si>
  <si>
    <t>Geosciences</t>
  </si>
  <si>
    <t>10.3390/geosciences3020331</t>
  </si>
  <si>
    <t>VA0XO</t>
  </si>
  <si>
    <t>WOS:000409631500008</t>
  </si>
  <si>
    <t>Cano, E; López-González, PJ</t>
  </si>
  <si>
    <t>Cano, Esperanza; Lopez-Gonzalez, Pablo J.</t>
  </si>
  <si>
    <t>Two new species of Ammothea (Pycnogonida, Ammotheidae) from Antarctic waters</t>
  </si>
  <si>
    <t>Pycnogonida; Southern Ocean; Antarctica; Ammothea; New species</t>
  </si>
  <si>
    <t>ARTHROPODA</t>
  </si>
  <si>
    <t>Two new species of the genus Ammothea are described from Elephant Island and the South Shetlands Islands, Antarctica. The material was captured during the Polarstern cruise XXIII/8 to the Antarctic Peninsula area. The main features of Ammothea pseudospinosa n. sp. are a proboscis distinctly trilobulated distally with a constriction at 2/3 of its length and dimorphism between the propodi of the anterior (first and second) and posterior (third and fourth) legs, and a trunk: proboscis length ratio of about 1.5. The main features of Ammothea childi n. sp. are a cylindrical proboscis, longer than trunk length, and adults with functional chelifores. These species are compared with their closest congeners from the Southern Ocean: A. pseudospinosa n. sp. with Ammothea spinosa and Ammothea allopodes; A. childi n. sp. with Ammothea gigantea, Ammothea bicorniculata and Ammothea hesperidensis.</t>
  </si>
  <si>
    <t>[Cano, Esperanza; Lopez-Gonzalez, Pablo J.] Univ Seville, Dept Zool, Fac Biol, E-41012 Seville, Spain</t>
  </si>
  <si>
    <t>Cano, E (corresponding author), Univ Seville, Dept Zool, Fac Biol, Avda Reina Mercedes 6, E-41012 Seville, Spain.</t>
  </si>
  <si>
    <t>Polarstern ANT XXIII/8-CLIMANT [POL2006-06399/CGL]</t>
  </si>
  <si>
    <t>Polarstern ANT XXIII/8-CLIMANT</t>
  </si>
  <si>
    <t>The authors would like to express their gratitude to Miranda Lowe (British Museum of Natural History) for her extensive search for BANZARE specimens in the collections of the BMNH, especially in the location of the type material of Ammothea allopodes. Our thanks are also addressed to the officers and crew and many colleagues for their help on board during the Polarstern ANT XXIII/8 cruises. We take this opportunity to extend our thanks to the cruise leader and steering committee of the cruise, especially Julian Gutt and Enrique Isla (ANT XIII/8), all of them kindly facilitated the work on board and allowed us to collaborate in this Antarctic programme. We also thank all referees and editorial editors of HMR for their detailed comments and their important criticisms that have substantially improved earlier versions of this manuscript. Support for this work was provided by POL2006-06399/CGL (Polarstern ANT XXIII/8-CLIMANT). Mr. Tony Krupa is thanked for reviewing the English version.</t>
  </si>
  <si>
    <t>BMC</t>
  </si>
  <si>
    <t>CAMPUS, 4 CRINAN ST, LONDON N1 9XW, ENGLAND</t>
  </si>
  <si>
    <t>1438-3888</t>
  </si>
  <si>
    <t>10.1007/s10152-012-0325-0</t>
  </si>
  <si>
    <t>WOS:000319350200010</t>
  </si>
  <si>
    <t>Saunders, KM; Grosjean, M; Hodgson, DA</t>
  </si>
  <si>
    <t>Saunders, K. M.; Grosjean, M.; Hodgson, D. A.</t>
  </si>
  <si>
    <t>A 950 yr temperature reconstruction from Duckhole Lake, southern Tasmania, Australia</t>
  </si>
  <si>
    <t>HOLOCENE</t>
  </si>
  <si>
    <t>paleoclimate; paleolimnology; reflectance spectroscopy; Tasmania; temperature</t>
  </si>
  <si>
    <t>NEW-ZEALAND; CLIMATE VARIABILITY; VARVED SEDIMENTS; REFLECTANCE; CALIBRATION; REGRESSION; PRECIPITATION; RECORDS; CHILE; ANDES</t>
  </si>
  <si>
    <t>A lack of quantitative high resolution paleoclimate data from the Southern Hemisphere limits the ability to examine current trends within the context of long-term natural climate variability. This study presents a temperature reconstruction for southern Tasmania based on analyses of a sediment core from Duckhole Lake (43.365 degrees AS, 146.875 degrees E). The relationship between non-destructive whole core scanning reflectance spectroscopy measurements in the visible spectrum (380-730 nm) and the instrumental temperature record (AD 1911-2000) was used to develop a calibration-in- time reflectance spectroscopy-based temperature model. Results showed that a trough in reflectance from 650 to 700 nm, which represents chlorophyll and its derivatives, was significantly correlated to annual mean temperature. A calibration model was developed (R = 0.56, p(auto) &lt; 0.05, root mean squared error of prediction (RMSEP) = 0.21 degrees C, five-year filtered data, calibration period 1911-2000) and applied down-core to reconstruct annual mean temperatures in southern Tasmania over the last c. 950 years. This indicated that temperatures were initially cool c. ad 1050, but steadily increased until the late ad 1100s. After a brief cool period in the ad 1200s, temperatures again increased. Temperatures steadily decreased during the ad 1600s and remained relatively stable until the start of the 20th century when they rapidly decreased, before increasing from ad 1960s onwards. Comparisons with high resolution temperature records from western Tasmania, New Zealand and South America revealed some similarities, but also highlighted differences in temperature variability across the mid-latitudes of the Southern Hemisphere. These are likely due to a combination of factors including the spatial variability in climate between and within regions, and differences between records that document seasonal (i.e. warm season/late summer) versus annual temperature variability. This highlights the need for further records from the mid-latitudes of the Southern Hemisphere in order to constrain past natural spatial and seasonal/annual temperature variability in the region, and to accurately identify and attribute changes to natural variability and/or anthropogenic activities.</t>
  </si>
  <si>
    <t>[Saunders, K. M.; Grosjean, M.] Univ Bern, Inst Geog, CH-3012 Bern, Switzerland; [Saunders, K. M.; Grosjean, M.] Univ Bern, Oeschger Ctr Climate Change Res, CH-3012 Bern, Switzerland; [Saunders, K. M.] Univ Tasmania, Inst Marine &amp; Antarctic Studies, Hobart, Tas 7001, Australia</t>
  </si>
  <si>
    <t>University of Bern; University of Bern; University of Tasmania</t>
  </si>
  <si>
    <t>Saunders, KM (corresponding author), Univ Bern, Inst Geog, CH-3012 Bern, Switzerland.</t>
  </si>
  <si>
    <t>krystyna.saunders@giub.unibe.ch</t>
  </si>
  <si>
    <t>Saunders, Krystyna/G-1368-2019</t>
  </si>
  <si>
    <t>Saunders, Krystyna/0000-0002-6800-2630</t>
  </si>
  <si>
    <t>Marie Curie International Incoming Fellowship [TASCLIM PIIF-GA-2009-237001]; Natural Environment Research Council [bas0100024] Funding Source: researchfish; NERC [bas0100024] Funding Source: UKRI</t>
  </si>
  <si>
    <t>Marie Curie International Incoming Fellowship(European Union (EU)); Natural Environment Research Council(UK Research &amp; Innovation (UKRI)Natural Environment Research Council (NERC)); NERC(UK Research &amp; Innovation (UKRI)Natural Environment Research Council (NERC))</t>
  </si>
  <si>
    <t>This study was funded by a Marie Curie International Incoming Fellowship (TASCLIM PIIF-GA-2009-237001) awarded to K Saunders.</t>
  </si>
  <si>
    <t>0959-6836</t>
  </si>
  <si>
    <t>1477-0911</t>
  </si>
  <si>
    <t>Holocene</t>
  </si>
  <si>
    <t>10.1177/0959683612470176</t>
  </si>
  <si>
    <t>148FG</t>
  </si>
  <si>
    <t>WOS:000319228000001</t>
  </si>
  <si>
    <t>Wilkins, D; Gouramanis, C; De Deckker, P; Fifield, LK; Olley, J</t>
  </si>
  <si>
    <t>Wilkins, Daniel; Gouramanis, Chris; De Deckker, Patrick; Fifield, L. Keith; Olley, Jon</t>
  </si>
  <si>
    <t>Holocene lake-level fluctuations in Lakes Keilambete and Gnotuk, southwestern Victoria, Australia</t>
  </si>
  <si>
    <t>delta O-18; maar lake; Modern Analogue Technique; ostracod; precipitation/evaporation; Sr/Ca</t>
  </si>
  <si>
    <t>WESTERN-VICTORIA; SOUTHEASTERN AUSTRALIA; CLIMATE-CHANGE; SOUTH-AUSTRALIA; MAAR LAKES; SALT LAKES; VARIABILITY; SEDIMENTS; HISTORY; CORE</t>
  </si>
  <si>
    <t>Reconstructed Holocene lake-level curves from two saline, hydrologically closed maar crater lakes in southwestern Victoria, Australia, show near synchronous lake-level changes throughout the Holocene. We show that lake levels, reconstructed from sediment particle size and ostracod valve chemistry (delta O-18 and Sr/Ca) have undergone rapid (&lt;100 yr), large (&gt;10 m) fluctuations throughout the Holocene. Finer sampling resolution shows a more sensitive response to Holocene climate than was previously presented for Lake Keilambete. Both maar crater lakes show a short-lived maximum in Holocene lake levels around 7.2 ka. The period of lake filling leading to peak lake levels matches the phase of most effective precipitation (7.4-7.0 ka) reconstructed from a high-resolution speleothem record from northern Tasmania. Water levels declined in both lakes during the mid Holocene, with a more substantive decline after similar to 5 ka which coincides with the end of the Southern Hemisphere hypsithermal. Water levels continued to oscillate with a periodicity of around 300-700 years, before reaching a late-Holocene nadir around 1.8 ka (Keilambete) and 1.3 ka (Gnotuk). The trend and periodicity of oscillations in the maar water levels show commonalities to delta D in the Dome C ice core, and suggest that temperature may be a significant component in influencing the Precipitation/Evaporation (P/E) ratio in southeastern Australia during the Holocene.</t>
  </si>
  <si>
    <t>[Wilkins, Daniel; Gouramanis, Chris; De Deckker, Patrick] Australian Natl Univ, Res Sch Earth Sci, Canberra, ACT 0200, Australia; [Wilkins, Daniel; Fifield, L. Keith] Australian Natl Univ, Res Sch Phys &amp; Engn, Canberra, ACT 0200, Australia; [Gouramanis, Chris] Nanyang Technol Univ, Earth Observ Singapore, Singapore 639798, Singapore; [Olley, Jon] Griffith Univ, Australian Rivers Inst, Nathan, Qld 4111, Australia</t>
  </si>
  <si>
    <t>Australian National University; Australian National University; Nanyang Technological University; Griffith University</t>
  </si>
  <si>
    <t>Wilkins, D (corresponding author), Australian Antarctic Div, Dept Sustainabil Environm Water Populat &amp; Communi, 203 Channel Highway, Kingston, Tas 7050, Australia.</t>
  </si>
  <si>
    <t>daniel.wilkins@aad.gov.au</t>
  </si>
  <si>
    <t>Gouramanis, Chris/AAP-3165-2020; Wilkins, Daniel/AAF-3959-2020</t>
  </si>
  <si>
    <t>Gouramanis, Chris/0000-0003-2867-2258; Fifield, Leslie/0000-0003-2866-4944; Wilkins, Daniel/0000-0003-2081-483X</t>
  </si>
  <si>
    <t>ARC [DP034493]; CSIRO Land and Water top-up scholarship</t>
  </si>
  <si>
    <t>ARC(Australian Research Council); CSIRO Land and Water top-up scholarship</t>
  </si>
  <si>
    <t>Daniel Wilkins and Chris Gouramanis were supported by funds from an ARC Discovery grant (DP034493), and Daniel Wilkins was further supported by a CSIRO Land and Water top-up scholarship.</t>
  </si>
  <si>
    <t>10.1177/0959683612471983</t>
  </si>
  <si>
    <t>WOS:000319228000002</t>
  </si>
  <si>
    <t>Turner, J; Phillips, T; Hosking, JS; Marshall, GJ; Orr, A</t>
  </si>
  <si>
    <t>Turner, John; Phillips, Tony; Hosking, J. Scott; Marshall, Gareth J.; Orr, Andrew</t>
  </si>
  <si>
    <t>The Amundsen Sea low</t>
  </si>
  <si>
    <t>Antarctica; depressions; Antarctic Peninsula; West Antarctica</t>
  </si>
  <si>
    <t>WESTERN ANTARCTIC PENINSULA; SOUTHERN ANNULAR MODE; CLIMATE-CHANGE; VARIABILITY; HEMISPHERE; PRECIPITATION; SURFACE; TRENDS; OCEAN; ICE</t>
  </si>
  <si>
    <t>We develop a climatology of the Amundsen Sea low (ASL) covering the period 1979-2008 using ECMWF operational and reanalysis fields. The depth of the ASL is strongly influenced by the phase of the Southern annular mode (SAM) with positive (negative) mean sea level pressure anomalies when the SAM is negative (positive). The zonal location of the ASL is linked to the phase of the mid-tropospheric planetary waves and the low moves west from close to 110 degrees W in January to near 150 degrees W in June as planetary waves 1 to 3 amplify and their phases shift westwards. The ASL is deeper by a small, but significant amount, during the La Nina phase of El Nino-Southern Oscillation (ENSO) compared to El Nino. The difference in depth of the low between the two states of ENSO is greatest in winter. There is no statistically significant difference in the zonal location of the ASL between the different phases of ENSO. Over 1979-2008 the low has deepened in January by 1.7 hPa dec-1 as the SAM has become more positive. It has also deepened in spring and autumn as the semi-annual oscillation has increase in amplitude over the last 30 years. An increase in central pressure and eastward shift in March has occurred as a result of a cooling of tropical Pacific SSTs that altered the strength of the polar front jet. Copyright (c) 2012 Royal Meteorological Society</t>
  </si>
  <si>
    <t>[Turner, John; Phillips, Tony; Hosking, J. Scott; Marshall, Gareth J.; Orr, Andrew] British Antarctic Survey, NERC, Cambridge CB3 0ET, England</t>
  </si>
  <si>
    <t>Turner, J (corresponding author), British Antarctic Survey, NERC, Madingley Rd, Cambridge CB3 0ET, England.</t>
  </si>
  <si>
    <t>jtu@bas.ac.uk</t>
  </si>
  <si>
    <t>Hosking, Scott/D-3437-2013</t>
  </si>
  <si>
    <t>Hosking, Scott/0000-0002-3646-3504; Turner, John/0000-0002-6111-5122</t>
  </si>
  <si>
    <t>NERC [NE/H02333X/1, bas0100023] Funding Source: UKRI; Natural Environment Research Council [bas0100023, NE/H02333X/1] Funding Source: researchfish</t>
  </si>
  <si>
    <t>10.1002/joc.3558</t>
  </si>
  <si>
    <t>WOS:000319902800018</t>
  </si>
  <si>
    <t>Howgego, RJ</t>
  </si>
  <si>
    <t>Howgego, Raymond John</t>
  </si>
  <si>
    <t>Ordeal by Ice: Ships of the Antarctic</t>
  </si>
  <si>
    <t>INTERNATIONAL JOURNAL OF MARITIME HISTORY</t>
  </si>
  <si>
    <t>0843-8714</t>
  </si>
  <si>
    <t>2052-7756</t>
  </si>
  <si>
    <t>INT J MARIT HIST</t>
  </si>
  <si>
    <t>Int. J. Marit. Hist.</t>
  </si>
  <si>
    <t>+</t>
  </si>
  <si>
    <t>10.1177/084387141302500140</t>
  </si>
  <si>
    <t>History</t>
  </si>
  <si>
    <t>V29GQ</t>
  </si>
  <si>
    <t>WOS:000215483900040</t>
  </si>
  <si>
    <t>Heidbrink, I</t>
  </si>
  <si>
    <t>Heidbrink, Ingo</t>
  </si>
  <si>
    <t>The Third Reich in Antarctica: The German Antarctic Expedition 1938-39</t>
  </si>
  <si>
    <t>[Heidbrink, Ingo] Old Dominion Univ, Norfolk, VA 23529 USA</t>
  </si>
  <si>
    <t>Old Dominion University</t>
  </si>
  <si>
    <t>Heidbrink, I (corresponding author), Old Dominion Univ, Norfolk, VA 23529 USA.</t>
  </si>
  <si>
    <t>Heidbrink, Ingo/GYD-5097-2022</t>
  </si>
  <si>
    <t>Heidbrink, Ingo/0000-0001-5403-3893</t>
  </si>
  <si>
    <t>10.1177/084387141302500141</t>
  </si>
  <si>
    <t>WOS:000215483900041</t>
  </si>
  <si>
    <t>Jungclaus, JH; Fischer, N; Haak, H; Lohmann, K; Marotzke, J; Matei, D; Mikolajewicz, U; Notz, D; von Storch, JS</t>
  </si>
  <si>
    <t>Jungclaus, J. H.; Fischer, N.; Haak, H.; Lohmann, K.; Marotzke, J.; Matei, D.; Mikolajewicz, U.; Notz, D.; von Storch, J. S.</t>
  </si>
  <si>
    <t>Characteristics of the ocean simulations in the Max Planck Institute Ocean Model (MPIOM) the ocean component of the MPI-Earth system model</t>
  </si>
  <si>
    <t>ocean modeling; Earth system models; ocean circulation</t>
  </si>
  <si>
    <t>MERIDIONAL OVERTURNING CIRCULATION; SEA-SURFACE TEMPERATURE; ATLANTIC THERMOHALINE CIRCULATION; ANTARCTIC CIRCUMPOLAR CURRENT; MULTIPLE EQUILIBRIA REGIME; COUPLED CLIMATE MODEL; GLOBAL OCEAN; FRESH-WATER; INTERANNUAL CHANGES; DRAKE PASSAGE</t>
  </si>
  <si>
    <t>MPI-ESM is a new version of the global Earth system model developed at the Max Planck Institute for Meteorology. This paper describes the ocean state and circulation as well as basic aspects of variability in simulations contributing to the fifth phase of the Coupled Model Intercomparison Project (CMIP5). The performance of the ocean/sea-ice model MPIOM, coupled to a new version of the atmosphere model ECHAM6 and modules for land surface and ocean biogeochemistry, is assessed for two model versions with different grid resolution in the ocean. The low-resolution configuration has a nominal resolution of 1.5(degrees), whereas the higher resolution version features a quasiuniform, eddy-permitting global resolution of 0.4(degrees). The paper focuses on important oceanic features, such as surface temperature and salinity, water mass distribution, large-scale circulation, and heat and freshwater transports. In general, these integral quantities are simulated well in comparison with observational estimates, and improvements in comparison with the predecessor system are documented; for example, for tropical variability and sea ice representation. Introducing an eddy-permitting grid configuration in the ocean leads to improvements, in particular, in the representation of interior water mass properties in the Atlantic and in the representation of important ocean currents, such as the Agulhas and Equatorial current systems. In general, however, there are more similarities than differences between the two grid configurations, and several shortcomings, known from earlier versions of the coupled model, prevail.</t>
  </si>
  <si>
    <t>[Jungclaus, J. H.; Fischer, N.; Haak, H.; Lohmann, K.; Marotzke, J.; Matei, D.; Mikolajewicz, U.; Notz, D.; von Storch, J. S.] Max Planck Inst Meteorol, D-20146 Hamburg, Germany</t>
  </si>
  <si>
    <t>Max Planck Society</t>
  </si>
  <si>
    <t>Jungclaus, JH (corresponding author), Max Planck Inst Meteorol, Bundesstr 53, D-20146 Hamburg, Germany.</t>
  </si>
  <si>
    <t>johann.jungclaus@zmaw.de</t>
  </si>
  <si>
    <t>Notz, Dirk/P-4428-2017</t>
  </si>
  <si>
    <t>Notz, Dirk/0000-0003-0365-5654</t>
  </si>
  <si>
    <t>Federal Ministry for Education and Research in Germany (BMBF); BMBF research program MiKlip [FKZ: 01LP1158A]; BMBF research program Nordatlantik [FKZ: 03F0605D/E]; Cluster of Excellence CLISAP at Hamburg University; German Science Foundation (DFG)</t>
  </si>
  <si>
    <t>Federal Ministry for Education and Research in Germany (BMBF)(Federal Ministry of Education &amp; Research (BMBF)); BMBF research program MiKlip; BMBF research program Nordatlantik; Cluster of Excellence CLISAP at Hamburg University; German Science Foundation (DFG)(German Research Foundation (DFG))</t>
  </si>
  <si>
    <t>The authors thank the scientific programmers at MPI-M and the staff of the German Climate Computing Center (DKRZ) for their support in developing the model and conducting the model experiments. The CMIP5 simulations have been funded by the Federal Ministry for Education and Research in Germany (BMBF). J.H.J. acknowledges funding through the BMBF research program MiKlip (FKZ: 01LP1158A), and D. M. received financial support through the BMBF research program Nordatlantik (FKZ: 03F0605D/E). K. L. was supported through the Cluster of Excellence CLISAP at Hamburg University, funded by the German Science Foundation (DFG). We thank Achim Stossel, Stephen Griffies, and one anonymous reviewer for comments and suggestions that helped to improve the manuscript.</t>
  </si>
  <si>
    <t>10.1002/jame.20023</t>
  </si>
  <si>
    <t>229OR</t>
  </si>
  <si>
    <t>WOS:000325277300033</t>
  </si>
  <si>
    <t>Soanes, LM; Arnould, JPY; Dodd, SG; Sumner, MD; Green, JA</t>
  </si>
  <si>
    <t>Soanes, Louise M.; Arnould, John P. Y.; Dodd, Stephen G.; Sumner, Michael D.; Green, Jonathan A.</t>
  </si>
  <si>
    <t>How many seabirds do we need to track to define home-range area?</t>
  </si>
  <si>
    <t>JOURNAL OF APPLIED ECOLOGY</t>
  </si>
  <si>
    <t>central-place foragers; global positioning system; home-range area; marine protected area</t>
  </si>
  <si>
    <t>MARINE PROTECTED AREAS; ANTARCTIC FUR SEALS; FORAGING BEHAVIOR; ELEPHANT SEALS; GPS TELEMETRY; SAMPLE-SIZE; HABITAT USE; CONSERVATION; MANAGEMENT; TECHNOLOGY</t>
  </si>
  <si>
    <t>In recent years, marine predator and seabird tracking studies have become ever more popular. However, they are often conducted without first considering how many individuals should be tracked and for how long they should be tracked in order to make reliable predictions of a population's home-range area. Home-range area analysis of two seabird-tracking data sets was used to define the area of active use (where birds spent 100% of their time) and the core foraging area (where birds spent 50% of their time). Analysis was conducted on the first foraging trip undertaken by the birds and then the first two, three and four foraging trips combined. Appropriate asymptotic models were applied to the data, and the calculated home-range areas were plotted as a function of an increasing number of individuals and trips included in the sample. Data were extrapolated from these models to predict the area of active use and the core foraging area of the colonies sampled. Significant variability was found in the home-range area predictions made by analysis of the first foraging trip and the first four foraging trips combined. For shags, the first foraging trip predicted a 56% smaller area of active use when compared to the predictions made by combining the first four foraging trips. For kittiwakes, a 43% smaller area was predicted when comparing the first foraging trip with the four combined trips. The number of individuals that would be required to predict the home range area of the colony depends greatly on the number of trips included in the analysis. This analysis predicted that 39 (confidence interval 2973) shags and 83 (CI: 109161) kittiwakes would be required to predict 95% of the area of active use when the first four foraging trips are included in the sample compared with 135 (CI 96156) shags and 248 (164484) kittiwakes when only the first trip is included in the analysis. Synthesis and applications. Seabird and marine mammal tracking studies are increasingly being used to aid the designation of marine conservation zones and to predict important foraging areas. We suggest that many studies may be underestimating the size of these foraging areas and that better estimates could be made by considering both the duration and number of data logger deployments. Researchers intending to draw conclusions from tracking data should conduct a similar analysis of their data as used in this study to determine the reliability of their home-range area predictions.</t>
  </si>
  <si>
    <t>[Soanes, Louise M.; Green, Jonathan A.] Univ Liverpool, Sch Environm Sci, Liverpool L69 3GP, Merseyside, England; [Arnould, John P. Y.] Deakin Univ, Sch Life &amp; Environm Sci, Burwood, Vic 3215, Australia; [Dodd, Stephen G.] North Wales Off, Royal Soc Protect Birds, Bangor LL57 4FD, Gwynedd, Wales; [Sumner, Michael D.] Univ Tasmania, Inst Marine &amp; Antarctic Studies, Hobart Tas 8001, Australia</t>
  </si>
  <si>
    <t>University of Liverpool; Deakin University; Royal Society for Protection of Birds; University of Tasmania</t>
  </si>
  <si>
    <t>Soanes, LM (corresponding author), Univ Liverpool, Sch Environm Sci, Liverpool L69 3GP, Merseyside, England.</t>
  </si>
  <si>
    <t>louise.soanes@liv.ac.uk</t>
  </si>
  <si>
    <t>Green, Jonathan A/B-8799-2011; Sumner, Michael D/J-3478-2013</t>
  </si>
  <si>
    <t>Green, Jonathan A/0000-0001-8692-0163; Sumner, Michael/0000-0002-2471-7511</t>
  </si>
  <si>
    <t>Natural Environment Research Council; RSPB's FAME project</t>
  </si>
  <si>
    <t>Natural Environment Research Council(UK Research &amp; Innovation (UKRI)Natural Environment Research Council (NERC)); RSPB's FAME project</t>
  </si>
  <si>
    <t>This project was funded by a Doctoral Training Grant from the Natural Environment Research Council, with support from the RSPB's FAME project. We would like to thank Dr. Charles Bishop, Ashley Tweedale, Dr. Rachel Taylor (Bangor University), and volunteers from both the University of Liverpool and Bangor University for assistance with planning and fieldwork as well as Dr. Mark Bolton, Dr. Phillip Taylor, Dr. Norman Ratcliffe and Dr. Tony Knights for helpful discussions on this work and Dr. Josu Alday for assistance with analysis. Data collection on Puffin Island would not have been possible without permission to carryout fieldwork from Sir Richard Williams-Bulkeley. Permission was granted by the Countryside Council for Wales to conduct bird capture and tagging work on Puffin Island.</t>
  </si>
  <si>
    <t>0021-8901</t>
  </si>
  <si>
    <t>1365-2664</t>
  </si>
  <si>
    <t>J APPL ECOL</t>
  </si>
  <si>
    <t>J. Appl. Ecol.</t>
  </si>
  <si>
    <t>10.1111/1365-2664.12069</t>
  </si>
  <si>
    <t>149VZ</t>
  </si>
  <si>
    <t>WOS:000319350800014</t>
  </si>
  <si>
    <t>Bridge, ES; Kelly, JF; Contina, A; Gabrielson, RM; MacCurdy, RB; Winkler, DW</t>
  </si>
  <si>
    <t>Bridge, Eli S.; Kelly, Jeffrey F.; Contina, Andrea; Gabrielson, Richard M.; MacCurdy, Robert B.; Winkler, David W.</t>
  </si>
  <si>
    <t>Advances in tracking small migratory birds: a technical review of light-level geolocation</t>
  </si>
  <si>
    <t>JOURNAL OF FIELD ORNITHOLOGY</t>
  </si>
  <si>
    <t>animal tracking; data archive geolocator; Passeriformes; migratory songbirds</t>
  </si>
  <si>
    <t>ANNUAL CYCLE; CONNECTIVITY; MOVEMENT; ROUTES; SITES</t>
  </si>
  <si>
    <t>Light-level geolocation data loggers, or geologgers, have recently been miniaturized to the extent that they can be deployed on small songbirds, allowing us to determine many previously unknown migration routes, breeding locations, and wintering sites. Use of geologgers on small birds has great potential to help address major research and conservation questions, but the method is not without its shortcomings. Among these shortcomings are the need to recapture birds after they have carried a device throughout a migration cycle and the potential for the devices to affect survival and behavior. We examined return rates of birds with geologgers in published and unpublished studies and found no evidence of a general negative effect of geologgers on survival, although there were a few individual studies where such an effect was evident. From these same studies, we found that most currently used harness materials are equivalent in terms of failure rates, and the most reliable geologgers are those made by the British Antarctic Survey (although these were also the largest geologgers used in the studies we examined). With regard to analysis methods, we believe there is much room for improvement. Use of online archiving of both data and analysis parameters would greatly improve the repeatability and transparency of geologger research.</t>
  </si>
  <si>
    <t>[Bridge, Eli S.; Kelly, Jeffrey F.; Contina, Andrea] Univ Oklahoma, Oklahoma Biol Survey, Norman, OK 73019 USA; [Kelly, Jeffrey F.; Contina, Andrea] Univ Oklahoma, Dept Biol, Norman, OK 73019 USA; [Gabrielson, Richard M.; Winkler, David W.] Cornell Lab Ornithol, Ithaca, NY 14850 USA; [MacCurdy, Robert B.] Cornell Univ, Dept Mech &amp; Aerosp Engn, Ithaca, NY 14853 USA; [Winkler, David W.] Cornell Univ, Dept Ecol &amp; Evolutionary Biol, Ithaca, NY 14853 USA</t>
  </si>
  <si>
    <t>University of Oklahoma System; University of Oklahoma - Norman; University of Oklahoma System; University of Oklahoma - Norman; Cornell University; Cornell University; Cornell University</t>
  </si>
  <si>
    <t>Bridge, ES (corresponding author), Univ Oklahoma, Oklahoma Biol Survey, 111 East Chesapeake St, Norman, OK 73019 USA.</t>
  </si>
  <si>
    <t>ebridge@ou.edu</t>
  </si>
  <si>
    <t>Contina, Andrea/X-8438-2019; Bridge, Eli/JBJ-7098-2023; Bridge, Eli/AAN-1928-2020; MacCurdy, Robert/AAC-6749-2021; Kelly, Jeffrey/B-2029-2015</t>
  </si>
  <si>
    <t>Contina, Andrea/0000-0002-0484-6711; MacCurdy, Robert/0000-0002-1726-151X; Bridge, Eli/0000-0003-3453-2008; Kelly, Jeffrey/0000-0002-8255-7990</t>
  </si>
  <si>
    <t>NSF [IDBR 1014891, DEB 0946685, DBI 1152356]; MIGRATE Research Coordination Network [IOS 541740]; Direct For Biological Sciences; Div Of Biological Infrastructure [1152356, 1152131] Funding Source: National Science Foundation; Division Of Environmental Biology; Direct For Biological Sciences [0946685] Funding Source: National Science Foundation; Div Of Civil, Mechanical, &amp; Manufact Inn; Directorate For Engineering [1014891] Funding Source: National Science Foundation</t>
  </si>
  <si>
    <t>NSF(National Science Foundation (NSF)); MIGRATE Research Coordination Network; Direct For Biological Sciences; Div Of Biological Infrastructure(National Science Foundation (NSF)NSF - Directorate for Biological Sciences (BIO)); Division Of Environmental Biology; Direct For Biological Sciences(National Science Foundation (NSF)NSF - Directorate for Biological Sciences (BIO)); Div Of Civil, Mechanical, &amp; Manufact Inn; Directorate For Engineering(National Science Foundation (NSF)NSF - Directorate for Engineering (ENG))</t>
  </si>
  <si>
    <t>We thank our colleagues listed in Table 1 for providing unpublished data about return rates as well as other information included in this review. We also thank the Wichita Mountains Wildlife Refuge, which hosted the geologger work shown in Figure 2. This paper and the collaboration among the coauthors were aided by support from NSF via grants to ESB, JFK, and DWW (IDBR 1014891, DEB 0946685, and DBI 1152356) as well as the MIGRATE Research Coordination Network (IOS 541740 to JFK).</t>
  </si>
  <si>
    <t>0273-8570</t>
  </si>
  <si>
    <t>1557-9263</t>
  </si>
  <si>
    <t>J FIELD ORNITHOL</t>
  </si>
  <si>
    <t>J. Field Ornithol.</t>
  </si>
  <si>
    <t>10.1111/jofo.12011</t>
  </si>
  <si>
    <t>Ornithology</t>
  </si>
  <si>
    <t>151QU</t>
  </si>
  <si>
    <t>WOS:000319476100001</t>
  </si>
  <si>
    <t>Nowicki, S; Bindschadler, RA; Abe-Ouchi, A; Aschwanden, A; Bueler, E; Choi, H; Fastook, J; Granzow, G; Greve, R; Gutowski, G; Herzfeld, U; Jackson, C; Johnson, J; Khroulev, C; Larour, E; Levermann, A; Lipscomb, WH; Martin, MA; Morlighem, M; Parizek, BR; Pollard, D; Price, SF; Ren, DD; Rignot, E; Saito, F; Sato, T; Seddik, H; Seroussi, H; Takahashi, K; Walker, R; Wang, WL</t>
  </si>
  <si>
    <t>Nowicki, Sophie; Bindschadler, Robert A.; Abe-Ouchi, Ayako; Aschwanden, Andy; Bueler, Ed; Choi, Hyeungu; Fastook, Jim; Granzow, Glen; Greve, Ralf; Gutowski, Gail; Herzfeld, Ute; Jackson, Charles; Johnson, Jesse; Khroulev, Constantine; Larour, Eric; Levermann, Anders; Lipscomb, William H.; Martin, Maria A.; Morlighem, Mathieu; Parizek, Byron R.; Pollard, David; Price, Stephen F.; Ren, Diandong; Rignot, Eric; Saito, Fuyuki; Sato, Tatsuru; Seddik, Hakime; Seroussi, Helene; Takahashi, Kunio; Walker, Ryan; Wang, Wei Li</t>
  </si>
  <si>
    <t>Insights into spatial sensitivities of ice mass response to environmental change from the SeaRISE ice sheet modeling project I: Antarctica</t>
  </si>
  <si>
    <t>Antarctica; ice-sheet; sea-level; model; ensemble</t>
  </si>
  <si>
    <t>GROUNDING-LINE MIGRATION; INTERCOMPARISON PROJECT; OCEAN CIRCULATION; SEA-LEVEL; PISM-PIK; PART 1; GREENLAND; SHELF; CLIMATE; FLOW</t>
  </si>
  <si>
    <t>Atmospheric, oceanic, and subglacial forcing scenarios from the Sea-level Response to Ice Sheet Evolution (SeaRISE) project are applied to six three-dimensional thermomechanical ice-sheet models to assess Antarctic ice sheet sensitivity over a 500year timescale and to inform future modeling and field studies. Results indicate (i) growth with warming, except within low-latitude basins (where inland thickening is outpaced by marginal thinning); (ii) mass loss with enhanced sliding (with basins dominated by high driving stresses affected more than basins with low-surface-slope streaming ice); and (iii) mass loss with enhanced ice shelf melting (with changes in West Antarctica dominating the signal due to its marine setting and extensive ice shelves; cf. minimal impact in the Terre Adelie, George V, Oates, and Victoria Land region of East Antarctica). Ice loss due to dynamic changes associated with enhanced sliding and/or sub-shelf melting exceeds the gain due to increased precipitation. Furthermore, differences in results between and within basins as well as the controlling impact of sub-shelf melting on ice dynamics highlight the need for improved understanding of basal conditions, grounding-zone processes, ocean-ice interactions, and the numerical representation of all three.</t>
  </si>
  <si>
    <t>[Nowicki, Sophie; Bindschadler, Robert A.; Walker, Ryan; Wang, Wei Li] NASA, Goddard Space Flight Ctr, Greenbelt, MD 20771 USA; [Abe-Ouchi, Ayako] Univ Tokyo, Atmosphere &amp; Ocean Res Inst, Kashiwa, Chiba, Japan; [Aschwanden, Andy; Bueler, Ed; Khroulev, Constantine] Univ Alaska, Inst Geophys, Fairbanks, AR USA; [Choi, Hyeungu] Sigma Space Corp, Lanham, MD USA; [Fastook, Jim] Univ Maine, Comp Sci Quaternary Inst, Orono, ME USA; [Granzow, Glen; Johnson, Jesse] Univ Montana, Coll Arts &amp; Sci, Missoula, MT 59812 USA; [Greve, Ralf; Sato, Tatsuru; Seddik, Hakime] Hokkaido Univ, Inst Low Temp Sci, Sapporo, Hokkaido 060, Japan; [Gutowski, Gail; Jackson, Charles] Univ Texas Austin, Inst Geophys, Austin, TX USA; [Herzfeld, Ute] Univ Colorado, Dept Elect Comp &amp; Energy Engn, Boulder, CO 80309 USA; [Herzfeld, Ute] Univ Colorado, Cooperat Inst Res Environm Sci, Boulder, CO 80309 USA; [Larour, Eric; Rignot, Eric; Seroussi, Helene] CALTECH, Jet Prop Lab, Pasadena, CA USA; [Levermann, Anders; Martin, Maria A.] Potsdam Inst Climate Res, Potsdam, Germany; [Lipscomb, William H.; Price, Stephen F.] Los Alamos Natl Lab, Los Alamos, NM USA; [Morlighem, Mathieu; Rignot, Eric] Univ Calif Irvine, Dept Earth Syst Sci, Irvine, CA USA; [Parizek, Byron R.] Penn State DuBois, Math &amp; Geosci, Du Bois, PA USA; [Pollard, David] Penn State Univ, Earth &amp; Environm Syst Inst, University Pk, PA 16802 USA; [Ren, Diandong] Curtin Univ Technol, Dept Phys, Perth, WA, Australia; [Saito, Fuyuki; Takahashi, Kunio] Japan Agcy Marine Earth Sci &amp; Technol, Res Inst Global Change, Kanazawa Ku, Yokohama, Kanagawa, Japan; [Walker, Ryan] Univ Maryland, Earth Syst Sci Interdisciplinary Ctr, College Pk, MD 20742 USA</t>
  </si>
  <si>
    <t>National Aeronautics &amp; Space Administration (NASA); NASA Goddard Space Flight Center; University of Tokyo; University of Maine System; University of Maine Orono; University of Montana System; University of Montana; Hokkaido University; University of Texas System; University of Texas Austin; University of Colorado System; University of Colorado Boulder; University of Colorado System; University of Colorado Boulder; National Aeronautics &amp; Space Administration (NASA); NASA Jet Propulsion Laboratory (JPL); California Institute of Technology; Potsdam Institut fur Klimafolgenforschung; United States Department of Energy (DOE); Los Alamos National Laboratory; University of California System; University of California Irvine; Pennsylvania Commonwealth System of Higher Education (PCSHE); Pennsylvania State University; Pennsylvania Commonwealth System of Higher Education (PCSHE); Pennsylvania State University; Pennsylvania State University - University Park; Curtin University; Japan Agency for Marine-Earth Science &amp; Technology (JAMSTEC); University System of Maryland; University of Maryland College Park</t>
  </si>
  <si>
    <t>Nowicki, S (corresponding author), NASA, Goddard Space Flight Ctr, Code 615, Greenbelt, MD 20771 USA.</t>
  </si>
  <si>
    <t>sophie.nowicki@nasa.gov</t>
  </si>
  <si>
    <t>Seddik, Hakime/F-7640-2014; Martin, Maria/IUN-0219-2023; SAITO, Fuyuki/B-8776-2013; Fastook, James L./J-1465-2019; Lipscomb, William/AAR-8668-2021; Levermann, Anders/G-4666-2011; Rignot, Eric/A-4560-2014; Abe-Ouchi, Ayako A/M-6359-2013; Herzfeld, Ute/AAE-5115-2019; Morlighem, Mathieu/O-9942-2014; Jackson, Charles/AAE-1420-2019; Seroussi, Helene/AAX-5342-2021; Price, Stephen/E-1568-2013; Greve, Ralf/G-2336-2010; Ren, Diandong/C-8870-2013</t>
  </si>
  <si>
    <t>Seddik, Hakime/0000-0002-0241-590X; Fastook, James L./0000-0003-3900-671X; Levermann, Anders/0000-0003-4432-4704; Rignot, Eric/0000-0002-3366-0481; Abe-Ouchi, Ayako A/0000-0003-1745-5952; Herzfeld, Ute/0000-0002-5694-4698; Morlighem, Mathieu/0000-0001-5219-1310; Jackson, Charles/0000-0002-2870-4494; Seroussi, Helene/0000-0001-9201-1644; SAITO, Fuyuki/0000-0001-5935-9614; Price, Stephen/0000-0001-6878-2553; Greve, Ralf/0000-0002-1341-4777; Khrulev, Constantine/0000-0003-2170-7454; Ren, Diandong/0000-0002-5757-7527; Johnson, Jesse/0000-0002-7387-6500</t>
  </si>
  <si>
    <t>Japan Society for the Promotion of Science (JSPS) [22244058]; NASA [NNX11AP39G, NNX-09-AV94G, NNX-10-AI04G, 281945.02.53.02.19]; German Federal Ministry of Education and Research (BMBF); U.S. National Science Foundation [0531211, 0758274, 0909335]; Center for Remote Sensing of Ice Sheets (CReSIS) [0424589]; US National Science Foundation [ANT-0424589, 1043018, 25-0550-0001, OCE-1202632]; U.S. Department of Energy (DOE) Office of Science Office of Biological and Environmental Research; DOE's Office of Science [DE-AC02-05CH11231, DE-AC05-00OR22725]; NASA Cryospheric Sciences Program; Jet Propulsion Laboratory Research Technology and Development Program; NASA High-End Computing (HEC) Program through the NASA Advanced Supercomputing (NAS) Division at Ames Research Center; NSF [0909335, CReSIS 0424589]; NASA Cryospheric Science program; Directorate For Geosciences [1155885] Funding Source: National Science Foundation; Office of Polar Programs (OPP) [1155885] Funding Source: National Science Foundation; Office of Polar Programs (OPP); Directorate For Geosciences [1142139, 0941678] Funding Source: National Science Foundation; Office of Polar Programs (OPP); Directorate For Geosciences [0909335] Funding Source: National Science Foundation; Grants-in-Aid for Scientific Research [22101005, 22244058] Funding Source: KAKEN; NASA [140002, NNX11AP39G] Funding Source: Federal RePORTER</t>
  </si>
  <si>
    <t>Japan Society for the Promotion of Science (JSPS)(Ministry of Education, Culture, Sports, Science and Technology, Japan (MEXT)Japan Society for the Promotion of Science); NASA(National Aeronautics &amp; Space Administration (NASA)); German Federal Ministry of Education and Research (BMBF)(Federal Ministry of Education &amp; Research (BMBF)); U.S. National Science Foundation(National Science Foundation (NSF)); Center for Remote Sensing of Ice Sheets (CReSIS); US National Science Foundation(National Science Foundation (NSF)); U.S. Department of Energy (DOE) Office of Science Office of Biological and Environmental Research(United States Department of Energy (DOE)); DOE's Office of Science(United States Department of Energy (DOE)); NASA Cryospheric Sciences Program(National Aeronautics &amp; Space Administration (NASA)); Jet Propulsion Laboratory Research Technology and Development Program; NASA High-End Computing (HEC) Program through the NASA Advanced Supercomputing (NAS) Division at Ames Research Center; NSF(National Science Foundation (NSF)); NASA Cryospheric Science program;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 NASA(National Aeronautics &amp; Space Administration (NASA))</t>
  </si>
  <si>
    <t>A project of this magnitude and scope required extensive support from many persons not listed as authors. Data sets, both published and in pre-publication forms, were contributed by A. LeBrocq, H. Pritchard, B. Csatho (dh/dt), T. Bracegirdle, CReSIS, and NASA's IceBridge mission and posted on the University of Montana CISM web site to be available to all SeaRISE modelers. This web site also served as a discussion forum for SeaRISE during its early stages of model initialization and experiment design. The Los Alamos National Laboratory also offered use of a web site that became the repository of all communication files (telecom notes and meeting presentations of SeaRISE). Participation in SeaRISE remained voluntary and, in most cases, came without financial support. Thus, participants had to leverage off of existing funding activities with objectives that overlapped with SeaRISE goals. [51] R. Greve, H. Seddik, and T. Sato were supported by a Grant-in-Aid for Scientific Research A (22244058) from the Japan Society for the Promotion of Science (JSPS). U. Herzfeld was supported by a NASA Cryospheric Sciences Award (NNX11AP39G). M. A. Martin was supported by the German Federal Ministry of Education and Research (BMBF). B. Parizek was supported by the U.S. National Science Foundation under grants 0531211, 0758274, 0909335, and the Center for Remote Sensing of Ice Sheets (CReSIS) 0424589 and by NASA under grants NNX-09-AV94G and NNX-10-AI04G. D. Pollard was supported by the US National Science Foundation under grants ANT-0424589, 1043018, 25-0550-0001, and OCE-1202632. S. F. Price and W. H. Lipscomb were supported by the U.S. Department of Energy (DOE) Office of Science Office of Biological and Environmental Research. Simulations were conducted at The National Energy Research Scientific Computing Center (supported by DOE's Office of Science under contract DE-AC02-05CH11231) using time awarded through DOE's ASCR Leadership Computing Challenge allocation to the project Projections of Ice Sheet Evolution Using Advanced Ice and Ocean Models. Model development and simulations were also conducted at the Oak Ridge Leadership Computing Facility at the Oak Ridge National Laboratory, supported by DOE's Office of Science under contract DE-AC05-00OR22725. CISM development and simulations relied on additional support by K. J. Evans, P. H. Worley, and J. A. Nichols (all of Oak Ridge National Laboratory) and by A. G. Salinger (Sandia National Laboratories). H. Seroussi and M. Morlighem are supported by the NASA Cryospheric Sciences Program and Modeling Analysis and Prediction Program and a contract with the Jet Propulsion Laboratory Research Technology and Development Program. H. Seroussi was also supported by an appointment to the NASA Postdoctoral Program at the Jet Propulsion Laboratory, administered by Oak Ridge Associated Universities through a contract with NASA. Resources supporting this work were provided by the NASA High-End Computing (HEC) Program through the NASA Advanced Supercomputing (NAS) Division at Ames Research Center. E. Larour and E. Rignot further enabled their participation on SeaRISE. R. Walker was supported by NSF through grants 0909335 and CReSIS 0424589, by NASA under grants NNX-09-AV94G and NNX-10-AI04G, and by the Gary Comer Science and Education Foundation. W. Wang was supported by the NASA Cryospheric Science program (grant 281945.02.53.02.19). Finally, S. Nowicki and R.; Bindschadler wish to gratefully acknowledge the unwavering encouragement and financial support from the NASA Cryospheric Science program for the core funding enabling SeaRISE to reach a successful conclusion. We thank the reviewers (two anonymous and A. Vieli), the Associate Editor P. Christoffersen, and the Editor B. Hubbard for their very thoughtful comments to the original draft that led to a more constructive final manuscript.</t>
  </si>
  <si>
    <t>10.1002/jgrf.20081</t>
  </si>
  <si>
    <t>WOS:000324993900042</t>
  </si>
  <si>
    <t>Insights into spatial sensitivities of ice mass response to environmental change from the SeaRISE ice sheet modeling project II: Greenland</t>
  </si>
  <si>
    <t>Greenland; ice-sheet; sea-level; model; ensemble</t>
  </si>
  <si>
    <t>SURFACE MELT; SEA-LEVEL; ACCELERATION; FUTURE; FLOW; SIMULATIONS; TEMPERATURE; PROPAGATION; VARIABILITY; FORMULATION</t>
  </si>
  <si>
    <t>The Sea-level Response to Ice Sheet Evolution (SeaRISE) effort explores the sensitivity of the current generation of ice sheet models to external forcing to gain insight into the potential future contribution to sea level from the Greenland and Antarctic ice sheets. All participating models simulated the ice sheet response to three types of external forcings: a change in oceanic condition, a warmer atmospheric environment, and enhanced basal lubrication. Here an analysis of the spatial response of the Greenland ice sheet is presented, and the impact of model physics and spin-up on the projections is explored. Although the modeled responses are not always homogeneous, consistent spatial trends emerge from the ensemble analysis, indicating distinct vulnerabilities of the Greenland ice sheet. There are clear response patterns associated with each forcing, and a similar mass loss at the full ice sheet scale will result in different mass losses at the regional scale, as well as distinct thickness changes over the ice sheet. All forcings lead to an increased mass loss for the coming centuries, with increased basal lubrication and warmer ocean conditions affecting mainly outlet glaciers, while the impacts of atmospheric forcings affect the whole ice sheet.</t>
  </si>
  <si>
    <t>[Nowicki, Sophie; Bindschadler, Robert A.; Walker, Ryan; Wang, Wei Li] NASA, Goddard Space Flight Ctr, Greenbelt, MD 20771 USA; [Abe-Ouchi, Ayako] Univ Tokyo, Atmosphere &amp; Ocean Res Inst, Kashiwa, Chiba, Japan; [Aschwanden, Andy; Bueler, Ed; Khroulev, Constantine] Univ Alaska Fairbanks, Inst Geophys, Fairbanks, AK 99775 USA; [Choi, Hyeungu] Sigma Space Corp, Lanham, MD USA; [Fastook, Jim] Univ Maine, Comp Sci Quaternary Inst, Orono, ME USA; [Granzow, Glen; Johnson, Jesse] Univ Montana, Coll Arts &amp; Sci, Missoula, MT 59812 USA; [Greve, Ralf; Sato, Tatsuru; Seddik, Hakime] Hokkaido Univ, Inst Low Temp Sci, Sapporo, Hokkaido 060, Japan; [Gutowski, Gail; Jackson, Charles] Univ Texas Austin, Inst Geophys, Austin, TX USA; [Herzfeld, Ute] Univ Colorado, Dept Elect Comp &amp; Energy Engn, Boulder, CO 80309 USA; [Herzfeld, Ute] Univ Colorado, Cooperat Inst Res Environm Sci, Boulder, CO 80309 USA; [Larour, Eric; Rignot, Eric; Seroussi, Helene] CALTECH, Jet Prop Lab, Pasadena, CA USA; [Levermann, Anders; Martin, Maria A.] Univ Potsdam, Inst Phys, Potsdam, Germany; [Lipscomb, William H.; Price, Stephen F.] Los Alamos Natl Lab, Los Alamos, NM USA; [Morlighem, Mathieu; Rignot, Eric] Univ Calif Irvine, Dept Earth Syst Sci, Irvine, CA USA; [Parizek, Byron R.] Penn State DuBois, Dept Math &amp; Geosci, Du Bois, PA USA; [Pollard, David] Penn State Univ, Earth &amp; Environm Syst Inst, University Pk, PA 16802 USA; [Ren, Diandong] Curtin Univ Technol, Dept Phys, Perth, WA, Australia; [Saito, Fuyuki; Takahashi, Kunio] Japan Agcy Marine Earth Sci &amp; Technol, Res Inst Global Change, Yokohama, Kanagawa, Japan; [Walker, Ryan] Univ Maryland, Earth Syst Sci Interdisciplinary Ctr, College Pk, MD 20742 USA</t>
  </si>
  <si>
    <t>National Aeronautics &amp; Space Administration (NASA); NASA Goddard Space Flight Center; University of Tokyo; University of Alaska System; University of Alaska Fairbanks; University of Maine System; University of Maine Orono; University of Montana System; University of Montana; Hokkaido University; University of Texas System; University of Texas Austin; University of Colorado System; University of Colorado Boulder; University of Colorado System; University of Colorado Boulder; California Institute of Technology; National Aeronautics &amp; Space Administration (NASA); NASA Jet Propulsion Laboratory (JPL); University of Potsdam; United States Department of Energy (DOE); Los Alamos National Laboratory; University of California System; University of California Irvine; Pennsylvania Commonwealth System of Higher Education (PCSHE); Pennsylvania State University; Pennsylvania Commonwealth System of Higher Education (PCSHE); Pennsylvania State University; Pennsylvania State University - University Park; Curtin University; Japan Agency for Marine-Earth Science &amp; Technology (JAMSTEC); University System of Maryland; University of Maryland College Park</t>
  </si>
  <si>
    <t>Morlighem, Mathieu/O-9942-2014; Rignot, Eric/A-4560-2014; Levermann, Anders/G-4666-2011; Seddik, Hakime/F-7640-2014; Lipscomb, William/AAR-8668-2021; Seroussi, Helene/AAX-5342-2021; Herzfeld, Ute/AAE-5115-2019; Jackson, Charles/AAE-1420-2019; Abe-Ouchi, Ayako A/M-6359-2013; Martin, Maria/IUN-0219-2023; SAITO, Fuyuki/B-8776-2013; Greve, Ralf/G-2336-2010; Price, Stephen/E-1568-2013; Ren, Diandong/C-8870-2013</t>
  </si>
  <si>
    <t>Morlighem, Mathieu/0000-0001-5219-1310; Rignot, Eric/0000-0002-3366-0481; Levermann, Anders/0000-0003-4432-4704; Seddik, Hakime/0000-0002-0241-590X; Seroussi, Helene/0000-0001-9201-1644; Herzfeld, Ute/0000-0002-5694-4698; Jackson, Charles/0000-0002-2870-4494; Abe-Ouchi, Ayako A/0000-0003-1745-5952; Fastook, James/0000-0003-3900-671X; Khrulev, Constantine/0000-0003-2170-7454; Greve, Ralf/0000-0002-1341-4777; Price, Stephen/0000-0001-6878-2553; SAITO, Fuyuki/0000-0001-5935-9614; Johnson, Jesse/0000-0002-7387-6500; Ren, Diandong/0000-0002-5757-7527</t>
  </si>
  <si>
    <t>Japan Society for the Promotion of Science (JSPS) [22244058]; NASA Cryospheric Sciences Award [NNX11AP39G]; German Federal Ministry of Education and Research (BMBF); U.S. National Science Foundation [0531211, 0758274, 0909335, ANT-0424589, 1043018, 25-0550-0001, OCE-1202632]; Center for Remote Sensing of Ice Sheets (CReSIS) [0424589]; NASA [NNX-09-AV94G, NNX-10-AI04G]; U.S. Department of Energy (DOE) Office of Science, Biological and Environmental Research; DOE's Office of Science [DE-AC02-05CH11231, DE-AC05-00OR22725]; DOE's ASCR; NASA Postdoctoral Program at the Jet Propulsion Laboratory; NASA High-End Computing (HEC) Program through the NASA Advanced Supercomputing (NAS) Division at Ames Research Center; NSF [0909335, CReSIS 0424589]; Gary Comer Science and Education Foundation; NASA Cryospheric Science program [281945.02.53.02.19]; NASA Cryospheric Science program; Directorate For Geosciences; Office of Polar Programs (OPP) [0941678, 1142139] Funding Source: National Science Foundation; Office of Polar Programs (OPP); Directorate For Geosciences [1155885, 0909335] Funding Source: National Science Foundation; Grants-in-Aid for Scientific Research [22101005, 22244058] Funding Source: KAKEN</t>
  </si>
  <si>
    <t>Japan Society for the Promotion of Science (JSPS)(Ministry of Education, Culture, Sports, Science and Technology, Japan (MEXT)Japan Society for the Promotion of Science); NASA Cryospheric Sciences Award; German Federal Ministry of Education and Research (BMBF)(Federal Ministry of Education &amp; Research (BMBF)); U.S. National Science Foundation(National Science Foundation (NSF)); Center for Remote Sensing of Ice Sheets (CReSIS); NASA(National Aeronautics &amp; Space Administration (NASA)); U.S. Department of Energy (DOE) Office of Science, Biological and Environmental Research(United States Department of Energy (DOE)); DOE's Office of Science(United States Department of Energy (DOE)); DOE's ASCR; NASA Postdoctoral Program at the Jet Propulsion Laboratory(National Aeronautics &amp; Space Administration (NASA)); NASA High-End Computing (HEC) Program through the NASA Advanced Supercomputing (NAS) Division at Ames Research Center; NSF(National Science Foundation (NSF)); Gary Comer Science and Education Foundation; NASA Cryospheric Science program; NASA Cryospheric Science program; Directorate For Geosciences; Office of Polar Programs (OPP)(National Science Foundation (NSF)NSF - Directorate for Geosciences (GEO));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</si>
  <si>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R. Greve, H. Seddik, and T. Sato were supported by a Grant-in-Aid for Scientific Research (22244058) from the Japan Society for the Promotion of Science (JSPS). U. Herzfeld was supported by a NASA Cryospheric Sciences Award (NNX11AP39G). M. A. Martin was supported by the German Federal Ministry of Education and Research (BMBF). B. Parizek was supported by the U.S. National Science Foundation under grants 0531211, 0758274, 0909335 and the Center for Remote Sensing of Ice Sheets (CReSIS) 0424589, and by NASA under grants NNX-09-AV94G and NNX-10-AI04G. D. Pollard was supported by the U.S. National Science Foundation under grants ANT-0424589, 1043018, 25-0550-0001, and OCE-1202632. S. F. Price and W. H. Lipscomb were supported by the U.S. Department of Energy (DOE) Office of Science, Biological and Environmental Research. Simulations were conducted at the National Energy Research Scientific Computing Center (supported by DOE's Office of Science under contract DE-AC02-05CH11231) using time awarded through DOE's ASCR Leadership Computing Challenge allocation to the project Projections of Ice Sheet Evolution Using Advanced Ice and Ocean Models. Model development and simulations were also conducted at the Oak Ridge Leadership Computing Facility at the Oak Ridge National Laboratory, supported by DOE's Office of Science under contract DE-AC05-00OR22725. CISM development and simulations relied on additional support by K.J. Evans, P. H. Worley, and J.A. Nichols (all of Oak Ridge National Laboratory) and A. G. Salinger (Sandia National Laboratories). H Seroussi and M. Morlighem are supported by the NASA Cryospheric Sciences Program and Modeling Analysis and Prediction Program and a contract with the Jet Propulsion Laboratory Research Technology and Development Program. H Seroussi was also supported by an appointment to the NASA Postdoctoral Program at the Jet Propulsion Laboratory, administered by Oak Ridge Associated Universities through a contract with NASA. Resources supporting this work were provided by the NASA High-End Computing (HEC) Program through the NASA Advanced Supercomputing (NAS) Division at Ames Research Center. E. Larour and E. Rignot further enabled their participation on SeaRISE. R. Walker was supported by NSF through grants 0909335 and CReSIS 0424589, by NASA under grants NNX-09-AV94G and NNX-10-AI04G, and by the Gary Comer Science and Education Foundation. W. Wang was supported by the NASA Cryospheric Science program (grant 281945.02.53.02.19). Finally, S. Nowicki and R. Bindschadler wish to gratefully acknowledge the unwavering encouragement and financial support from the NASA Cryospheric Science program for the core funding enabling SeaRISE to reach a successful conclusion. We thank the reviewers (one anonymous and A. Vieli) and the Associate Editor P. Christoffersen for their very thoughtful comments to the original draft that led to a more constructive final manuscript.</t>
  </si>
  <si>
    <t>10.1002/jgrf.20076</t>
  </si>
  <si>
    <t>Green Published, Green Submitted, Bronze</t>
  </si>
  <si>
    <t>WOS:000324993900043</t>
  </si>
  <si>
    <t>Kirchner, N; Furrer, R; Jakobsson, M; Zwally, HJ; Robbins, JW</t>
  </si>
  <si>
    <t>Kirchner, N.; Furrer, R.; Jakobsson, M.; Zwally, H. J.; Robbins, J. W.</t>
  </si>
  <si>
    <t>Statistical modeling of a former Arctic Ocean ice shelf complex using Antarctic analogies</t>
  </si>
  <si>
    <t>Arctic Ocean ice shelves; extreme value theory; deep-draft ice berg scours; multivariate linear model; ICESat data in Arctic-Antarctic analogy approach</t>
  </si>
  <si>
    <t>LAST GLACIAL MAXIMUM; LOMONOSOV RIDGE; YERMAK PLATEAU; MARINE-ICE; SHEET; SEA; SEDIMENTATION; SENSITIVITY; LAURENTIDE; ICEBERGS</t>
  </si>
  <si>
    <t>Geophysical mapping and coring of the central Arctic Ocean seafloor provide evidence for repeated occurrences of ice sheet/ice shelf complexes during previous glacial periods. Several ridges and bathymetric highs shallower than present water depths of approximate to 1000m show signs of erosion from deep-drafting (armadas of) icebergs, which originated from thick outlet glaciers and ice shelves. Mapped glacigenic landforms and dates of cored sediments suggest that the largest ice shelf complex was confined to the Amerasian sector of the Arctic Ocean during Marine Isotope Stage (MIS) 6. However, the spatial extent of ice shelves can not be well reconstructed from occasional groundings on bathymetric highs. Therefore, we apply a statistical approach to provide independent support for an extensive MIS 6 ice shelf complex, which previously was inferred only from interpretation of geophysical and geological data. Specifically, we assess whether this ice shelf complex comprises a likely source of the deep-draft icebergs responsible for the mapped scour marks. The statistical modeling is based on exploiting relations between contemporary Antarctic ice shelves and their local physical environments and the assumption that Arctic Ocean MIS6 ice shelves scale similarly. Analyzing ice thickness data along the calving front of contemporary ice shelves, a peak over threshold method is applied to determine sources of deep-drafting icebergs in the Arctic Ocean MIS6 ice shelf complex. This approach is novel to modeling Arctic paleoglacial configurations. Predicted extreme calving front drafts match observed deep-draft iceberg scours if the ice shelf complex is sufficiently large.</t>
  </si>
  <si>
    <t>[Kirchner, N.] Stockholm Univ, Dept Phys Geog &amp; Quaternary Geol, S-10691 Stockholm, Sweden; [Furrer, R.] Univ Zurich, Inst Math, CH-8001 Zurich, Switzerland; [Jakobsson, M.] Stockholm Univ, Dept Geol Sci, S-10691 Stockholm, Sweden; [Zwally, H. J.; Robbins, J. W.] NASA, Cryospher Sci Branch, Goddard Space Flight Ctr, Greenbelt, MD USA</t>
  </si>
  <si>
    <t>Stockholm University; University of Zurich; Stockholm University; National Aeronautics &amp; Space Administration (NASA); NASA Goddard Space Flight Center</t>
  </si>
  <si>
    <t>Kirchner, N (corresponding author), Stockholm Univ, Dept Phys Geog &amp; Quaternary Geol, S-10691 Stockholm, Sweden.</t>
  </si>
  <si>
    <t>nina.kirchner@natgeo.su.se</t>
  </si>
  <si>
    <t>Jakobsson, Martin/JAN-6828-2023; Furrer, Reinhard/N-3027-2019; Jakobsson, Martin/F-6214-2010; Furrer, Reinhard/A-4580-2011</t>
  </si>
  <si>
    <t>Furrer, Reinhard/0000-0002-6319-2332; Kirchner, Nina/0000-0002-6371-5527; Jakobsson, Martin/0000-0002-9033-3559</t>
  </si>
  <si>
    <t>SNSF [129782, 143282]; URPP Systems Biology</t>
  </si>
  <si>
    <t>SNSF(Swiss National Science Foundation (SNSF)); URPP Systems Biology</t>
  </si>
  <si>
    <t>N.K. and R. F. are joint first authors of this manuscript. N.K. thanks C. Stover Wiederwohl, Texas A&amp;M University, for introduction to and guidance through the WOCE-SODB database during the Oden Southern Ocean 0910 cruise to Pine Island Bay/West Antarctica. R. F. acknowledges funding from SNSF 129782, 143282 and URPP Systems Biology. This is a contribution from the Bolin Center for Climate Research at Stockholm University, Sweden. We thank the editor, Bryn Hubbard, the associate editor, Mike Bentley, as well as Jesse Johnson, and five anonymous reviewers for valuable comments on the manuscript.</t>
  </si>
  <si>
    <t>10.1002/jgrf.20077</t>
  </si>
  <si>
    <t>WOS:000324993900047</t>
  </si>
  <si>
    <t>Sheen, KL; Brearley, JA; Garabato, ACN; Smeed, DA; Waterman, S; Ledwell, JR; Meredith, MP; St Laurent, L; Thurnherr, AM; Toole, JM; Watson, AJ</t>
  </si>
  <si>
    <t>Sheen, K. L.; Brearley, J. A.; Garabato, A. C. Naveira; Smeed, D. A.; Waterman, S.; Ledwell, J. R.; Meredith, M. P.; St Laurent, L.; Thurnherr, A. M.; Toole, J. M.; Watson, A. J.</t>
  </si>
  <si>
    <t>Rates and mechanisms of turbulent dissipation and mixing in the Southern Ocean: Results from the Diapycnal and Isopycnal Mixing Experiment in the Southern Ocean (DIMES)</t>
  </si>
  <si>
    <t>turbulent dissipation; internal wave; Antarctic Circumpolar Current; Mixing</t>
  </si>
  <si>
    <t>ANTARCTIC CIRCUMPOLAR CURRENT; INTERNAL WAVES; SHEAR; ENERGY; TOPOGRAPHY; MOTIONS; STRAIN</t>
  </si>
  <si>
    <t>The spatial distribution of turbulent dissipation rates and internal wavefield characteristics is analyzed across two contrasting regimes of the Antarctic Circumpolar Current (ACC), using microstructure and finestructure data collected as part of the Diapycnal and Isopycnal Mixing Experiment in the Southern Ocean (DIMES). Mid-depth turbulent dissipation rates are found to increase from O(1x10-10Wkg-1) in the Southeast Pacific to O(1x10-9Wkg-1) in the Scotia Sea, typically reaching 3x10-9Wkg-1 within a kilometer of the seabed. Enhanced levels of turbulent mixing are associated with strong near-bottom flows, rough topography, and regions where the internal wavefield is found to have enhanced energy, a less-inertial frequency content and a dominance of upward propagating energy. These results strongly suggest that bottom-generated internal waves play a major role in determining the spatial distribution of turbulent dissipation in the ACC. The energy flux associated with the bottom internal wave generation process is calculated using wave radiation theory, and found to vary between 0.8 mW m(-2) in the Southeast Pacific and 14 mW m(-2) in the Scotia Sea. Typically, 10%-30% of this energy is found to dissipate within 1 km of the seabed. Comparison between turbulent dissipation rates inferred from finestructure parameterizations and microstructure-derived estimates suggests a significant departure from wave-wave interaction physics in the near-field of wave generation sites.</t>
  </si>
  <si>
    <t>[Sheen, K. L.; Brearley, J. A.; Garabato, A. C. Naveira] Univ Southampton, Natl Oceanog Ctr Southampton, Southampton SO14 3ZH, Hants, England; [Smeed, D. A.] Natl Oceanog Ctr Southampton, Southampton, Hants, England; [Waterman, S.] Univ New S Wales, Climate Change Res Ctr, Sydney, NSW, Australia; [Waterman, S.] Univ New S Wales, ARC Ctr Excellence Climate Syst Sci, Sydney, NSW, Australia; [Ledwell, J. R.; St Laurent, L.; Toole, J. M.] Woods Hole Oceanog Inst, Woods Hole, MA 02543 USA; [Meredith, M. P.] British Antarctic Survey, Cambridge CB3 0ET, England; [Thurnherr, A. M.] Lamont Doherty Earth Observ, Palisades, NY USA; [Watson, A. J.] Univ E Anglia, Sch Environm Sci, Norwich NR4 7TJ, Norfolk, England</t>
  </si>
  <si>
    <t>University of Southampton; NERC National Oceanography Centre; NERC National Oceanography Centre; University of Southampton; University of New South Wales Sydney; ARC Centre of Excellence for Climate System Science; University of New South Wales Sydney; Woods Hole Oceanographic Institution; UK Research &amp; Innovation (UKRI); Natural Environment Research Council (NERC); NERC British Antarctic Survey; Columbia University; University of East Anglia</t>
  </si>
  <si>
    <t>Sheen, KL (corresponding author), Univ Southampton, Natl Oceanog Ctr Southampton, European Way, Southampton SO14 3ZH, Hants, England.</t>
  </si>
  <si>
    <t>k.sheen@soton.ac.uk</t>
  </si>
  <si>
    <t>Garabato, Alberto Naveira/AAQ-1114-2020; Waterman, Stephanie/AAY-6033-2020; Smeed, David/B-4726-2012; Brearley, Alexander/C-3313-2012</t>
  </si>
  <si>
    <t>Garabato, Alberto Naveira/0000-0001-6071-605X; Waterman, Stephanie/0000-0001-5797-1092; Smeed, David/0000-0003-1740-1778; Thurnherr, Andreas/0000-0002-1977-7122; Meredith, Michael/0000-0002-7342-7756; Watson, Andrew/0000-0002-9654-8147; Toole, John/0000-0003-2905-0637; Brearley, Alexander/0000-0003-3700-8017</t>
  </si>
  <si>
    <t>Natural Environment Research Council (NERC) of the U.K.; U.S. National Science Foundation; NERC; NERC [NE/E005985/1, noc010010, NE/E007058/1, NE/E005985/2, bas0100028, NE/G001502/1] Funding Source: UKRI; Natural Environment Research Council [NE/G001502/1, noc010010, bas0100028, NE/E007058/1, NE/E005985/1, NE/E005985/2] Funding Source: researchfish; Directorate For Geosciences; Division Of Ocean Sciences [1030309, 1232962] Funding Source: National Science Foundation</t>
  </si>
  <si>
    <t>Natural Environment Research Council (NERC) of the U.K.(UK Research &amp; Innovation (UKRI)Natural Environment Research Council (NERC)); U.S. National Science Foundation(National Science Foundation (NSF)); NERC(UK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</si>
  <si>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The DIMES experiment is supported by the Natural Environment Research Council (NERC) of the U.K. and U.S. National Science Foundation. K. L. S. and J.A.B. are supported by NERC. We are grateful to A. Tate, who provided multibeam bathymetry data, M. Nikurashin, who assisted in lee-wave radiation analysis, and K. Polzin, who provided many helpful comments and advice. We also thank A. Bogdanoff, P. Courtois, K. Decoteau, X. Liang, and J.B. Sallee for their help in data collection and the valuable assistance and hard work of the crew and technicians on the RRS James Cook, the RRS James Clark Ross, and the R/V Thomas G. Thompson. Finally, we thank the manuscript reviewers for their helpful suggestions and comments.</t>
  </si>
  <si>
    <t>10.1002/jgrc.20217</t>
  </si>
  <si>
    <t>WOS:000324885500002</t>
  </si>
  <si>
    <t>Walker, DP; Jenkins, A; Assmann, KM; Shoosmith, DR; Brandon, MA</t>
  </si>
  <si>
    <t>Walker, Dziga P.; Jenkins, Adrian; Assmann, Karen M.; Shoosmith, Deborah R.; Brandon, Mark A.</t>
  </si>
  <si>
    <t>Oceanographic observations at the shelf break of the Amundsen Sea, Antarctica</t>
  </si>
  <si>
    <t>Amundsen; CDW; undercurrent</t>
  </si>
  <si>
    <t>PINE ISLAND GLACIER; CIRCUMPOLAR DEEP-WATER; CIRCULATION; INFLOW; CURRENTS; SYSTEM; MASSES; NORTH; MODEL</t>
  </si>
  <si>
    <t>The glaciers draining into the Amundsen Sea Embayment are rapidly losing mass, making a significant contribution to current sea level rise. Studies of Pine Island Glacier (PIG) in this region indicate that the mass loss is associated with rapid melting of its floating ice shelf driven by warm Circumpolar Deep Water (CDW) that is able to penetrate all the way to its grounding line, and that recent intensification of the mass loss is associated with higher melt rates and stronger subice-shelf circulation. CDW is sourced from within the Antarctic Circumpolar Current (ACC) situated well north of the glacial ice fronts. To be able to access the Amundsen Sea glaciers, CDW must first cross the continental shelf break where the deep ocean meets the shallower waters of the continental shelf. Here, we present data that shows how CDW moves along the continental slope and across the shelf break into the Amundsen Sea. On-shelf flow of CDW is enhanced where a subsea trough bisects the shelf edge. A previously unreported undercurrent is observed flowing eastward along the shelf edge and when this current encounters the trough mouth it circulates southward into the trough and toward the glaciers. Upwelling associated with this trough circulation appears to allow Lower CDW onto the shelf that would otherwise be blocked by the topography. These observations concur with the results of a theoretical modeling study of circulation in a similar topographic setting and also with the results of a regional ocean/ice modeling study of the Amundsen Sea specifically.</t>
  </si>
  <si>
    <t>[Walker, Dziga P.; Jenkins, Adrian; Assmann, Karen M.; Shoosmith, Deborah R.] British Antarctic Survey, Nat Environm Res Council, Cambridge CB3 0ET, England; [Brandon, Mark A.] Open Univ, Ctr Earth Planetary Space &amp; Astron Res, Milton Keynes MK7 6AA, Bucks, England</t>
  </si>
  <si>
    <t>UK Research &amp; Innovation (UKRI); Natural Environment Research Council (NERC); NERC British Antarctic Survey; Open University - UK</t>
  </si>
  <si>
    <t>Walker, DP (corresponding author), British Antarctic Survey, Nat Environm Res Council, Madingley Rd, Cambridge CB3 0ET, England.</t>
  </si>
  <si>
    <t>dziga.walker@gmail.com</t>
  </si>
  <si>
    <t>Brandon, Mark A/A-5804-2010; Jenkins, Adrian/IUN-2406-2023</t>
  </si>
  <si>
    <t>Jenkins, Adrian/0000-0002-9117-0616; Brandon, Mark/0000-0002-7779-0958</t>
  </si>
  <si>
    <t>British Antarctic Survey; Natural Environment Research Council [NER/T/S/2000/00987, NE/G001367/1]; Natural Environment Research Council [bas0100028, NE/G001367/1, NE/J005746/1, NER/T/S/2000/00987] Funding Source: researchfish; NERC [NE/J005746/1, NE/G001367/1, bas0100028] Funding Source: UKRI</t>
  </si>
  <si>
    <t>British Antarctic Survey;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</si>
  <si>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wish to thank the officers and crew of the RRS James Clark Ross and also J. Dowdeswell and J. Evans for processing and supplying the acoustic multibeam data. This work was funded by the British Antarctic Survey and the Natural Environment Research Council's Autosub Under Ice Thematic Programme (award reference NER/T/S/2000/00987) and subsequent programme (award reference NE/G001367/1).</t>
  </si>
  <si>
    <t>10.1002/jgrc.20212</t>
  </si>
  <si>
    <t>WOS:000324885500011</t>
  </si>
  <si>
    <t>Ivins, ER; James, TS; Wahr, J; Schrama, EJO; Landerer, FW; Simon, KM</t>
  </si>
  <si>
    <t>Ivins, Erik R.; James, Thomas S.; Wahr, John; Schrama, Ernst J. O.; Landerer, Felix W.; Simon, Karen M.</t>
  </si>
  <si>
    <t>Antarctic contribution to sea level rise observed by GRACE with improved GIA correction</t>
  </si>
  <si>
    <t>JOURNAL OF GEOPHYSICAL RESEARCH-SOLID EARTH</t>
  </si>
  <si>
    <t>Antarctica; sea level rise; ice sheet mass balance; GRACE; GIA models; mantle viscosity</t>
  </si>
  <si>
    <t>GLACIAL ISOSTATIC-ADJUSTMENT; ICE-SHEET; GRAVITY-FIELD; DEGLACIAL HISTORY; EAST ANTARCTICA; EXPOSURE AGES; MODEL; UPLIFT; CONSTRAINTS; PREDICTIONS</t>
  </si>
  <si>
    <t>Antarctic volume changes during the past 21 thousand years are smaller than previously thought, and here we construct an ice sheet history that drives a forward model prediction of the glacial isostatic adjustment (GIA) gravity signal. The new model, in turn, should give predictions that are constrained with recent uplift data. The impact of the GIA signal on a Gravity Recovery and Climate Experiment (GRACE) Antarctic mass balance estimate depends on the specific GRACE analysis method used. For the method described in this paper, the GIA contribution to the apparent surface mass change is re-evaluated to be +5513 Gt/yr by considering a revised ice history model and a parameter search for vertical motion predictions that best fit the GPS observations at 18 high-quality stations. Although the GIA model spans a range of possible Earth rheological structure values, the data are not yet sufficient for solving for a preferred value of upper and lower mantle viscosity nor for a preferred lithospheric thickness. GRACE monthly solutions from the Center for Space Research Release 04 (CSR-RL04) release time series from January 2003 to the beginning of January 2012, uncorrected for GIA, yield an ice mass rate of +2.9 29 Gt/yr. The new GIA correction increases the solved-for ice mass imbalance of Antarctica to -5734 Gt/yr. The revised GIA correction is smaller than past GRACE estimates by about 50 to 90 Gt/yr. The new upper bound to the sea level rise from the Antarctic ice sheet, averaged over the time span 2003.0-2012.0, is about 0.160.09 mm/yr.</t>
  </si>
  <si>
    <t>[Ivins, Erik R.; Landerer, Felix W.] CALTECH, Jet Prop Lab, Pasadena, CA 91109 USA; [James, Thomas S.; Simon, Karen M.] Geol Survey Canada, Sidney, BC, Canada; [James, Thomas S.; Simon, Karen M.] Univ Victoria, Sch Earth &amp; Ocean Sci, Victoria, BC, Canada; [Wahr, John] Univ Colorado, Dept Phys, Boulder, CO 80309 USA; [Wahr, John] Univ Colorado, Cooperat Inst Res Environm Sci, Boulder, CO 80309 USA; [Schrama, Ernst J. O.] Delft Univ Technol, Fac Aerosp Engn, Delft, Netherlands</t>
  </si>
  <si>
    <t>California Institute of Technology; National Aeronautics &amp; Space Administration (NASA); NASA Jet Propulsion Laboratory (JPL); Natural Resources Canada; Lands &amp; Minerals Sector - Natural Resources Canada; Geological Survey of Canada; University of Victoria; University of Colorado System; University of Colorado Boulder; University of Colorado System; University of Colorado Boulder; Delft University of Technology</t>
  </si>
  <si>
    <t>Ivins, ER (corresponding author), CALTECH, Jet Prop Lab, MS 300-233,4800 Oak Grove Dr, Pasadena, CA 91109 USA.</t>
  </si>
  <si>
    <t>erik.r.ivins@jpl.nasa.gov</t>
  </si>
  <si>
    <t>Ivins, Erik R/C-2416-2011; James, Thomas/D-9301-2013; Landerer, Felix W/ABG-2849-2021</t>
  </si>
  <si>
    <t>James, Thomas/0000-0001-7321-047X; Landerer, Felix W/0000-0003-2678-095X; SCHRAMA, ERNST/0000-0002-9654-4082; Ivins, Erik/0000-0003-0148-357X; Simon, Karen/0000-0002-5696-9174</t>
  </si>
  <si>
    <t>NASA's Earth Science Division; NASA [NNX08AF02G, NNXI0AR66G]; NASA's Making Earth Science Data Records for Use in Research Environments (MEaSUREs) program; ArcticNet Networks of Centres of Excellence; NASA [102864, NNX08AF02G] Funding Source: Federal RePORTER</t>
  </si>
  <si>
    <t>NASA's Earth Science Division; NASA(National Aeronautics &amp; Space Administration (NASA)); NASA's Making Earth Science Data Records for Use in Research Environments (MEaSUREs) program; ArcticNet Networks of Centres of Excellence; NASA(National Aeronautics &amp; Space Administration (NASA))</t>
  </si>
  <si>
    <t>The research support for E.R.I. and F.W.L. comes from NASA's Earth Science Division with grants from both the Cryosphere Program and the Earth Surface and Interior Focus Area as part of the GRACE Science Team effort. The work of E.R.I. and F.W.L. was performed at the Jet Propulsion Laboratory, California Institute of Technology. J.W. was partially supported by NASA grants NNX08AF02G and NNXI0AR66G and by NASA's Making Earth Science Data Records for Use in Research Environments (MEaSUREs) program. Robert Briggs is thanked for discussions and for providing data from his PhD Thesis. We thank Geruo A for calculating the ICE-5G VM2 GIA responses and three anonymous reviewers for thorough and helpful reviews. This is also a contribution of the Climate Change Geoscience Program of the Earth Sciences Sector (ESS) of Natural Resources Canada. T.S.J. and K.S. gratefully acknowledge support from the ArcticNet Networks of Centres of Excellence. The authors acknowledge Paul Wessel and the University of Hawaii for General Mapping Tools [Wessel and Smith, 1998]. This is ESS contribution 20120237.</t>
  </si>
  <si>
    <t>2169-9313</t>
  </si>
  <si>
    <t>2169-9356</t>
  </si>
  <si>
    <t>J GEOPHYS RES-SOL EA</t>
  </si>
  <si>
    <t>J. Geophys. Res.-Solid Earth</t>
  </si>
  <si>
    <t>10.1002/jgrb.50208</t>
  </si>
  <si>
    <t>295LW</t>
  </si>
  <si>
    <t>WOS:000330118600031</t>
  </si>
  <si>
    <t>Zhang, XJ; Angelopoulos, V; Ni, BB; Thorne, RM; Horne, RB</t>
  </si>
  <si>
    <t>Zhang, Xiaojia; Angelopoulos, Vassilis; Ni, Binbin; Thorne, Richard M.; Horne, Richard B.</t>
  </si>
  <si>
    <t>Quasi-steady, marginally unstable electron cyclotron harmonic wave amplitudes</t>
  </si>
  <si>
    <t>ECH wave; diffuse aurora; magnetotail; wave-particle interaction; ray tracing</t>
  </si>
  <si>
    <t>AURORAL-ZONES; MAGNETOSPHERE; DIFFUSION; PRECIPITATION; RADIATION; FIELD</t>
  </si>
  <si>
    <t>Electron cyclotron harmonic (ECH) waves have long been considered a potential driver of diffuse aurora in Earth's magnetotail. However, the scarcity of intense ECH emissions in the outer magnetotail suggests that our understanding of the amplification and the relative importance of these waves for electron scattering is lacking. We conduct a comprehensive study of wave growth and quasi-linear diffusion to estimate the amplitude of loss-cone-driven ECH waves once diffusion and growth balance but before convection or losses alter the background hot plasma sheet population. We expect this to be the most common state of the plasma sheet between episodes of fast convection. For any given wave amplitude, we model electron diffusion caused by interaction with ECH waves using a 2-D bounce-averaged Fokker-Planck equation. After fitting the resultant electron distributions as a superposition of multicomponent subtracted bi-Maxwellians, we estimate the maximum path-integrated gain using the HOTRAY ray-tracing code. We argue that the wave amplitude during quasi-steady state is the inflection point on a gain-amplitude curve. During quasi-steady state, ECH wave amplitudes can be significant (1mV/m) at L8 but drop to very low values (&lt;0.1mV/m) in the outer magnetotail (L16) and likely fall below the sensitivity of typical instrumentation relatively close to Earth mainly because of the smallness of the loss cone. Our result reinforces the potentially important role of ECH waves in driving diffuse aurora and suggests that careful comparison of theoretical wave amplitude estimates and observations is required for resolving the equatorial scattering mechanism of diffuse auroral precipitation.</t>
  </si>
  <si>
    <t>[Zhang, Xiaojia; Angelopoulos, Vassilis] Univ Calif Los Angeles, Dept Earth &amp; Space Sci, Los Angeles, CA 90095 USA; [Ni, Binbin; Thorne, Richard M.] Univ Calif Los Angeles, Dept Atmospher &amp; Ocean Sci, Los Angeles, CA 90095 USA; [Horne, Richard B.] British Antarctic Survey, NERC, Cambridge CB3 0ET, England</t>
  </si>
  <si>
    <t>University of California System; University of California Los Angeles; University of California System; University of California Los Angeles; UK Research &amp; Innovation (UKRI); Natural Environment Research Council (NERC); NERC British Antarctic Survey</t>
  </si>
  <si>
    <t>Zhang, XJ (corresponding author), Univ Calif Los Angeles, Dept Earth &amp; Space Sci, 603 Charles E Young Dr E, Los Angeles, CA 90095 USA.</t>
  </si>
  <si>
    <t>xjzhang@ucla.edu</t>
  </si>
  <si>
    <t>Horne, Richard B/U-3764-2019</t>
  </si>
  <si>
    <t>Horne, Richard B/0000-0002-0412-6407; Zhang, Xiao-Jia/0000-0002-4185-5465; Angelopoulos, Vassilis/0000-0001-7024-1561</t>
  </si>
  <si>
    <t>NASA [NAS5-02099, NNX12AD12G]; Natural Environment Research Council [bas0100023] Funding Source: researchfish; NASA [52875, NNX12AD12G] Funding Source: Federal RePORTER; NERC [bas0100023] Funding Source: UKRI</t>
  </si>
  <si>
    <t>NASA(National Aeronautics &amp; Space Administration (NASA)); Natural Environment Research Council(UK Research &amp; Innovation (UKRI)Natural Environment Research Council (NERC)); NASA(National Aeronautics &amp; Space Administration (NASA)); NERC(UK Research &amp; Innovation (UKRI)Natural Environment Research Council (NERC))</t>
  </si>
  <si>
    <t>We thank L. Chen and X. Tao for useful discussions. We also thank J. Hohl for her help with editing. We acknowledge NASA contracts NAS5-02099 and NNX12AD12G.</t>
  </si>
  <si>
    <t>10.1002/jgra.50319</t>
  </si>
  <si>
    <t>WOS:000325217100040</t>
  </si>
  <si>
    <t>Barbas, BFD; Elias, AG; Cnossen, I; de Artigas, MZ</t>
  </si>
  <si>
    <t>de Haro Barbas, Blas F.; Elias, Ana G.; Cnossen, Ingrid; Zossi de Artigas, Marta</t>
  </si>
  <si>
    <t>Long-term changes in solar quiet (Sq) geomagnetic variations related to Earth's magnetic field secular variation</t>
  </si>
  <si>
    <t>Sq; long-term trends; Earth's magnetic field</t>
  </si>
  <si>
    <t>IONOSPHERE-THERMOSPHERE MODEL; GENERAL-CIRCULATION MODEL; UPPER-ATMOSPHERE; TRENDS; MESOSPHERE; RESPONSES; SYSTEM; REGION; LAYER</t>
  </si>
  <si>
    <t>The daily amplitude of the solar quiet (Sq) magnetic variation of the horizontal intensity, H, of observatories at low and midlatitudes is analyzed, in search of significant long-term trends. These trends are expected based on secular variations of the Earth's magnetic field (B) and increasing concentrations of greenhouse gases which can affect Sq for instance through their effect on ionospheric conductivities and E-region electron concentration. The hourly horizontal geomagnetic field component, H, measured at Apia, Fredericksburg, Hermanus, Bangui, and Trivandrum was analyzed for the period 1960-2000. The solar activity effect was filtered out from the daily Sq amplitude of H, and then linear trends were calculated and compared to trend values obtained from the Coupled Magnetosphere-Ionosphere-Thermosphere model. Linear trends were calculated separately for periods of different secular trends in the magnetic field intensity, B. We found significant trends in experimental data for Apia, Fredericksburg, Hermanus, and for the period 1960-1983 for Bangui. There is reasonable quantitative agreement between experimental and simulated trends, and a qualitative agreement with trends expected from the secular trend in B.</t>
  </si>
  <si>
    <t>[de Haro Barbas, Blas F.; Elias, Ana G.; Zossi de Artigas, Marta] Univ Nacl Tucuman, Dept Fis, Fac Ciencias Exactas &amp; Tecnol, RA-4000 San Miguel De Tucuman, Tucuman, Argentina; [Elias, Ana G.; Zossi de Artigas, Marta] Consejo Nacl Invest Cient Tecn, Buenos Aires, Tucuman, Argentina; [Cnossen, Ingrid] Natl Ctr Atmospher Res, High Altitude Observ, Boulder, CO 80307 USA; [Cnossen, Ingrid] British Antarctic Survey, Cambridge CB3 0ET, England</t>
  </si>
  <si>
    <t>Universidad Nacional de Tucuman; Consejo Nacional de Investigaciones Cientificas y Tecnicas (CONICET); National Center Atmospheric Research (NCAR) - USA; UK Research &amp; Innovation (UKRI); Natural Environment Research Council (NERC); NERC British Antarctic Survey</t>
  </si>
  <si>
    <t>Elias, AG (corresponding author), FACET UNT, Dpto Fis, Av Independencia 1800, RA-4000 San Miguel De Tucuman, Tucuman, Argentina.</t>
  </si>
  <si>
    <t>anagelias@yahoo.com</t>
  </si>
  <si>
    <t>Cnossen, Ingrid/E-5809-2010; Elias, Ana/AAM-1313-2021</t>
  </si>
  <si>
    <t>Cnossen, Ingrid/0000-0001-6469-7861;</t>
  </si>
  <si>
    <t>NSF [ATM-0836386, AGS-1135446]; Natural Environment Research Council (NERC) [NE/J018058/1]; National Science Foundation; CONICET [PIP 114-200801-00470, PICT 2011-1008]; NERC [bas0100023, NE/J018058/1] Funding Source: UKRI; Natural Environment Research Council [bas0100023, NE/J018058/1] Funding Source: researchfish</t>
  </si>
  <si>
    <t>NSF(National Science Foundation (NSF)); Natural Environment Research Council (NERC)(UK Research &amp; Innovation (UKRI)Natural Environment Research Council (NERC)); National Science Foundation(National Science Foundation (NSF)); CONICET(Consejo Nacional de Investigaciones Cientificas y Tecnicas (CONICET)); NERC(UK Research &amp; Innovation (UKRI)Natural Environment Research Council (NERC)); Natural Environment Research Council(UK Research &amp; Innovation (UKRI)Natural Environment Research Council (NERC))</t>
  </si>
  <si>
    <t>We would like to thank Art Richmond and two anonymous reviewers for helpful comments on an earlier draft of this paper. IC was sponsored by NSF grants ATM-0836386 and AGS-1135446 and by the Natural Environment Research Council (NERC) fellowship NE/J018058/1. The National Center for Atmospheric Research is sponsored by the National Science Foundation. Part of this research was performed under CONICET project PIP 114-200801-00470 and PICT 2011-1008.</t>
  </si>
  <si>
    <t>10.1002/jgra.50352</t>
  </si>
  <si>
    <t>Green Accepted, Bronze, Green Published</t>
  </si>
  <si>
    <t>WOS:000325217100089</t>
  </si>
  <si>
    <t>Fernandez-Carazo, R; Verleyen, E; Hodgson, DA; Roberts, SJ; Waleron, K; Vyverman, W; Wilmotte, A</t>
  </si>
  <si>
    <t>Fernandez-Carazo, Rafael; Verleyen, Elie; Hodgson, Dominic A.; Roberts, Stephen J.; Waleron, Krzysztof; Vyverman, Wim; Wilmotte, Annick</t>
  </si>
  <si>
    <t>Late Holocene changes in cyanobacterial community structure in maritime Antarctic lakes</t>
  </si>
  <si>
    <t>JOURNAL OF PALEOLIMNOLOGY</t>
  </si>
  <si>
    <t>Cyanobacteria; Fossil DNA; Fossil pigments; Antarctica; Paleolimnology; Climate change</t>
  </si>
  <si>
    <t>CLIMATE-CHANGE; ANCIENT DNA; POPULATIONS; DIVERSITY; RADIATION; ECOLOGY; PIGMENT; WINDOWS; MARINE; MODELS</t>
  </si>
  <si>
    <t>Despite the dominance of cyanobacteria in polar freshwater aquatic ecosystems, little is known about their past biodiversity and response to climate and environmental changes. We explored the use of light microscopy of microfossils, high performance liquid chromatography of the fossil pigment composition and denaturing gradient gel electrophoresis of fossil 16S rRNA genes to study past and present-day differences in cyanobacterial community structure in response to climate changes in two adjacent maritime Antarctic lakes with contrasting depths (4 and 26 m) and light climates. Light microscopy was of limited use because of degradation of cell structures. Fossil cyanobacterial pigment concentrations were below the detection limits of our method in several sediment samples in the deep lake, but abundant and diverse in the sediment core from the shallow pond, probably as a consequence of increased light availability and/or a more diverse and abundant benthic cyanobacterial flora. Total carotenoid and chlorophyll concentrations were highest in both lakes between ca. 2,950 and 1,800 cal yr BP, which coincides with the late Holocene climate optimum recognised elsewhere in maritime Antarctica. Cyanobacterial molecular diversity was higher in the top few centimeters of the sediments in both lakes. In deeper sediments, the taxonomic turnover of cyanobacteria appeared to be relatively small in response to past climate anomalies in both lakes, underscoring the broad tolerance of cyanobacteria to environmental variability. This, however, may in part be explained by the low taxonomic resolution obtained with the relatively conserved 16S rRNA gene and/or the preferential preservation of particular taxa. Our results highlight the potential of fossil DNA in lake sediments to study colonization and succession dynamics of lacustrine cyanobacteria and warrant further investigation of the factors that affect preservation of cyanobacterial DNA.</t>
  </si>
  <si>
    <t>[Fernandez-Carazo, Rafael; Wilmotte, Annick] Univ Liege, Inst Chem B6, Ctr Prot Engn, B-4000 Liege, Belgium; [Verleyen, Elie; Vyverman, Wim] Univ Ghent, Dept Biol, Lab Protistol &amp; Aquat Ecol, B-9000 Ghent, Belgium; [Hodgson, Dominic A.; Roberts, Stephen J.] British Antarctic Survey, NERC, Cambridge CB3 0ET, England; [Waleron, Krzysztof] Univ Gdansk, Dept Biotechnol, Intercollegiate Fac Biotechnol, PL-80822 Gdansk, Poland; [Waleron, Krzysztof] Med Univ Gdansk, PL-80822 Gdansk, Poland</t>
  </si>
  <si>
    <t>University of Liege; Ghent University; UK Research &amp; Innovation (UKRI); Natural Environment Research Council (NERC); NERC British Antarctic Survey; Fahrenheit Universities; University of Gdansk; Fahrenheit Universities; Medical University Gdansk</t>
  </si>
  <si>
    <t>Fernandez-Carazo, R (corresponding author), Univ Liege, Inst Chem B6, Ctr Prot Engn, B-4000 Liege, Belgium.</t>
  </si>
  <si>
    <t>rafafercaraz@gmail.com</t>
  </si>
  <si>
    <t>Wilmotte, Annick/H-1686-2011; Waleron, Krzysztof/R-9457-2018</t>
  </si>
  <si>
    <t>Roberts, Stephen/0000-0003-3407-9127; Wilmotte, Annick/0000-0003-3546-3489; Waleron, Krzysztof/0000-0002-9989-0984</t>
  </si>
  <si>
    <t>BelSPO project HOLANT [SD/CA/01A]; British Antarctic Survey; Research Foundation-Flanders; Ghent University; NERC [bas0100024] Funding Source: UKRI; Natural Environment Research Council [bas0100024] Funding Source: researchfish</t>
  </si>
  <si>
    <t>BelSPO project HOLANT; British Antarctic Survey; Research Foundation-Flanders(FWO); Ghent University(Ghent University); NERC(UK Research &amp; Innovation (UKRI)Natural Environment Research Council (NERC)); Natural Environment Research Council(UK Research &amp; Innovation (UKRI)Natural Environment Research Council (NERC))</t>
  </si>
  <si>
    <t>This study was supported by the BelSPO project HOLANT (SD/CA/01A) and the British Antarctic Survey. Annick Wilmotte is Research Associate of the FRS-FNRS (National Funds for Scientific Research of Belgium). Elie Verleyen was funded by the Research Foundation-Flanders and Ghent University. Thanks are due to Ines Tavernier for providing the extracted fossil DNA, to Renaat Dasseville for help with the fossil pigment analysis, to Mieke Sterken for providing background information, and to Alexandre Lambion and Leo Deremiens for their help in the laboratory. Logistic support was provided by the British Antarctic Survey, HMS Endurance and 815 Naval Air Squadron. Two anonymous reviewers and Prof. Dr. Mark Brenner are thanked for the valuable comments on an earlier version of the manuscript.</t>
  </si>
  <si>
    <t>0921-2728</t>
  </si>
  <si>
    <t>1573-0417</t>
  </si>
  <si>
    <t>J PALEOLIMNOL</t>
  </si>
  <si>
    <t>J. Paleolimn.</t>
  </si>
  <si>
    <t>10.1007/s10933-013-9700-3</t>
  </si>
  <si>
    <t>Environmental Sciences; Geosciences, Multidisciplinary; Limnology</t>
  </si>
  <si>
    <t>Environmental Sciences &amp; Ecology; Geology; Marine &amp; Freshwater Biology</t>
  </si>
  <si>
    <t>146DJ</t>
  </si>
  <si>
    <t>WOS:000319069100002</t>
  </si>
  <si>
    <t>Nye, V; Copley, J; Linse, K; Plouviez, S</t>
  </si>
  <si>
    <t>Nye, Verity; Copley, Jon; Linse, Katrin; Plouviez, Sophie</t>
  </si>
  <si>
    <t>Iheyaspira bathycodon new species (Vetigastropoda: Trochoidea: Turbinidae: Skeneinae) from the Von Damm Vent Field, Mid-Cayman Spreading Centre, Caribbean</t>
  </si>
  <si>
    <t>Gastropoda; Vetigastropoda; Trochoidea; Turbinidae; Skeneinae; Iheyaspira bathycodon; new species; Cayman; hydrothermal vents</t>
  </si>
  <si>
    <t>HYDROTHERMAL VENTS; GASTROPODS; SYSTEMATICS; PHYLOGENY; TROCHIDAE; MOLLUSCA; SEEPS</t>
  </si>
  <si>
    <t>Iheyaspira bathycodon sp. nov. is described from the Von Damm Vent Field on the world's deepest spreading centre, the Mid-Cayman Spreading Centre (MCSC), Caribbean, at 2300 m depth. The new species is defined and illustrated from 11 specimens, with brief notes on habitat and known distribution. Molecular phylogenetic data from partial COI mDNA, 16S rDNA and nuclear 18S rDNA regions are used to analyse the species' phylogenetic position and its morphology is compared with previously described skeneid and vent taxa. The new species is distinguished from the most closely allied vent species, Iheyaspira lequios Okutani, Sasaki &amp; Tsuchida, 2000 by morphological differences in radula diagnosis and appendage structure of the head-foot. Iheyaspira bathycodon sp. nov. is the tenth turbinid to be described from a hydrothermal-vent environment and the second species to be named from recently discovered hydrothermal vents on the MCSC. Determining the faunal composition of assemblages at the vent fields of the MCSC will help to elucidate the vent biogeography of the region.</t>
  </si>
  <si>
    <t>[Nye, Verity; Copley, Jon] Univ Southampton, Natl Oceanog Ctr Southampton, Southampton SO14 3ZH, Hants, England; [Linse, Katrin] British Antarctic Survey, Cambridge CB3 0ET, England; [Plouviez, Sophie] Duke Univ, Marine Lab, Nicholas Sch Environm, Beaufort, NC 28516 USA</t>
  </si>
  <si>
    <t>University of Southampton; NERC National Oceanography Centre; UK Research &amp; Innovation (UKRI); Natural Environment Research Council (NERC); NERC British Antarctic Survey; Duke University</t>
  </si>
  <si>
    <t>Nye, V (corresponding author), Univ Southampton, Natl Oceanog Ctr Southampton, Waterfront Campus,European Way, Southampton SO14 3ZH, Hants, England.</t>
  </si>
  <si>
    <t>vn205@noc.soton.ac.uk</t>
  </si>
  <si>
    <t>Copley, Jon/0000-0003-3333-4325; Linse, Katrin/0000-0003-3477-3047; Nye, Verity/0000-0002-1331-6448</t>
  </si>
  <si>
    <t>UK NERC [NE/F017774/1]; NASA ASTEP [NNX09AB75G]; NERC [NE/F017774/1, bas0100026] Funding Source: UKRI; Natural Environment Research Council [bas0100026, NE/F017774/1] Funding Source: researchfish; Division Of Ocean Sciences; Directorate For Geosciences [1031050] Funding Source: National Science Foundation</t>
  </si>
  <si>
    <t>UK NERC(UK Research &amp; Innovation (UKRI)Natural Environment Research Council (NERC)); NASA ASTEP(National Aeronautics &amp; Space Administration (NASA));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</si>
  <si>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The authors extend their thanks to those on-board the 44th voyage of RRS 'James Cook', to P. A. Tyler and C. L. Van Dover for providing laboratory facilities at NOCS and DUML, and to A. Glover (NHMUK) and A. Page (Biomedical Imaging Unit, University of Southampton) for use of their microscopy facilities. A. Waren and S. Williams are also thanked for commenting on aspects of this work, which is supported by a UK NERC award (NE/F017774/1) to J.Copley and NASA ASTEP Grant (NNX09AB75G) to C. L. Van Dover. This paper benefitted from an anonymous referee who gave valuable comments for its improvement.</t>
  </si>
  <si>
    <t>1469-7769</t>
  </si>
  <si>
    <t>10.1017/S0025315412000823</t>
  </si>
  <si>
    <t>140AE</t>
  </si>
  <si>
    <t>WOS:000318625700019</t>
  </si>
  <si>
    <t>Bang, JK; Lee, JH; Murugan, RN; Lee, SG; Do, H; Koh, HY; Shim, HE; Kim, HC; Kim, HJ</t>
  </si>
  <si>
    <t>Bang, Jeong Kyu; Lee, Jun Hyuck; Murugan, Ravichandran N.; Lee, Sung Gu; Do, Hackwon; Koh, Hye Yeon; Shim, Hye-Eun; Kim, Hyun-Cheol; Kim, Hak Jun</t>
  </si>
  <si>
    <t>Antifreeze Peptides and Glycopeptides, and Their Derivatives: Potential Uses in Biotechnology</t>
  </si>
  <si>
    <t>MARINE DRUGS</t>
  </si>
  <si>
    <t>antifreeze glycopeptide; antifreeze protein; recrystallization inhibition; thermal hysteresis</t>
  </si>
  <si>
    <t>WINTER FLOUNDER ANTIFREEZE; RED-BLOOD-CELLS; ICE-BINDING PROTEIN; POINT-DEPRESSING GLYCOPROTEINS; YEAST LEUCOSPORIDIUM SP; SOLID-PHASE SYNTHESIS; FISH ANTIFREEZE; I ANTIFREEZE; THERMAL HYSTERESIS; RECRYSTALLIZATION INHIBITION</t>
  </si>
  <si>
    <t>Antifreeze proteins (AFPs) and glycoproteins (AFGPs), collectively called AF(G)Ps, constitute a diverse class of proteins found in various Arctic and Antarctic fish, as well as in amphibians, plants, and insects. These compounds possess the ability to inhibit the formation of ice and are therefore essential to the survival of many marine teleost fishes that routinely encounter sub-zero temperatures. Owing to this property, AF(G)Ps have potential applications in many areas such as storage of cells or tissues at low temperature, ice slurries for refrigeration systems, and food storage. In contrast to AFGPs, which are composed of repeated tripeptide units (Ala-Ala-Thr)(n) with minor sequence variations, AFPs possess very different primary, secondary, and tertiary structures. The isolation and purification of AFGPs is laborious, costly, and often results in mixtures, making characterization difficult. Recent structural investigations into the mechanism by which linear and cyclic AFGPs inhibit ice crystallization have led to significant progress toward the synthesis and assessment of several synthetic mimics of AFGPs. This review article will summarize synthetic AFGP mimics as well as current challenges in designing compounds capable of mimicking AFGPs. It will also cover our recent efforts in exploring whether peptoid mimics can serve as structural and functional mimics of native AFGPs.</t>
  </si>
  <si>
    <t>[Bang, Jeong Kyu; Murugan, Ravichandran N.] Korea Basic Sci Inst, Div Magnet Resonance, Chungbuk 363833, South Korea; [Lee, Jun Hyuck; Lee, Sung Gu; Do, Hackwon; Koh, Hye Yeon; Shim, Hye-Eun; Kim, Hak Jun] Korea Polar Res Inst, Div Polar Life Sci, Inchon 406840, South Korea; [Lee, Jun Hyuck; Lee, Sung Gu; Do, Hackwon; Kim, Hak Jun] Univ Sci &amp; Technol, Dept Polar Sci, Inchon 406840, South Korea; [Kim, Hyun-Cheol] Korea Polar Res Inst, Div Polar Climate Res, Inchon 406840, South Korea</t>
  </si>
  <si>
    <t>Korea Basic Science Institute (KBSI); Korea Polar Research Institute (KOPRI); Korea Institute of Ocean Science &amp; Technology (KIOST); Korea Polar Research Institute (KOPRI); Korea Institute of Ocean Science &amp; Technology (KIOST)</t>
  </si>
  <si>
    <t>Kim, HJ (corresponding author), Korea Polar Res Inst, Div Polar Life Sci, Inchon 406840, South Korea.</t>
  </si>
  <si>
    <t>bangjk@kbsi.re.kr; junhyucklee@kopri.re.kr; ravi@kbsi.re.kr; holynine@kopri.re.kr; kordhw@kopri.re.kr; hykoh@kopri.re.kr; wow3300@kopri.re.kr; kimhc@kopri.re.kr; hjkim@kopri.re.kr</t>
  </si>
  <si>
    <t>Kim, Hyun-Cheol/AAP-1250-2020</t>
  </si>
  <si>
    <t>Kim, Hyun-Cheol/0000-0002-6831-9291; , Hackwon/0000-0001-7663-2010</t>
  </si>
  <si>
    <t>Korea Polar Research Institute (KOPRI) [PE13270]; Korea Basic Science Institute [T33418]</t>
  </si>
  <si>
    <t>Korea Polar Research Institute (KOPRI); Korea Basic Science Institute</t>
  </si>
  <si>
    <t>This work was supported by the Korea Polar Research Institute (KOPRI; grant No. PE13270 to HJK) and the Korea Basic Science Institute's research grant T33418 (J.K.B).</t>
  </si>
  <si>
    <t>1660-3397</t>
  </si>
  <si>
    <t>MAR DRUGS</t>
  </si>
  <si>
    <t>Mar. Drugs</t>
  </si>
  <si>
    <t>10.3390/md11062013</t>
  </si>
  <si>
    <t>Chemistry, Medicinal; Pharmacology &amp; Pharmacy</t>
  </si>
  <si>
    <t>Pharmacology &amp; Pharmacy</t>
  </si>
  <si>
    <t>169HZ</t>
  </si>
  <si>
    <t>WOS:000320772100016</t>
  </si>
  <si>
    <t>Young, RM; von Salm, JL; Amsler, MO; Lopez-Bautista, J; Amsler, CD; McClintock, JB; Baker, BJ</t>
  </si>
  <si>
    <t>Young, Ryan M.; von Salm, Jacqueline L.; Amsler, Margaret O.; Lopez-Bautista, Juan; Amsler, Charles D.; McClintock, James B.; Baker, Bill J.</t>
  </si>
  <si>
    <t>Site-Specific Variability in the Chemical Diversity of the Antarctic Red Alga Plocamium cartilagineum</t>
  </si>
  <si>
    <t>red algae; secondary metabolite variability; Antarctica; metabogenomic analysis</t>
  </si>
  <si>
    <t>SUBTIDAL MACROALGAE; MITOCHONDRIAL COX1; MONOTERPENES; RHODOPHYTA</t>
  </si>
  <si>
    <t>Plocamium cartilagineum is a common red alga on the benthos of Antarctica and can be a dominant understory species along the western Antarctic Peninsula. Algae from this region have been studied chemically, and like P. cartilagineum from other worldwide locations where it is common, it is rich in halogenated monoterpenes, some of which have been implicated as feeding deterrents toward sympatric algal predators. Secondary metabolites are highly variable in this alga, both qualitatively and quantitatively, leading us to probe individual plants to track the possible link of variability to genetic or other factors. Using cox1 and rbcL gene sequencing, we find that the Antarctic alga divides into two closely related phylogroups, but not species, each of which is further divided into one of five chemogroups. The chemogroups themselves, defined on the basis of Bray-Curtis similarity profiling of GC/QqQ chromatographic analyses, are largely site specific within a 10 km(2) area. Thus, on the limited geographical range of this analysis, P. cartilagineum displays only modest genetic radiation, but its secondary metabolome was found to have experienced more extensive radiation. Such metabogenomic divergence demonstrated on the larger geographical scale of the Antarctic Peninsula, or perhaps even continent-wide, may contribute to the discovery of cryptic speciation.</t>
  </si>
  <si>
    <t>[Young, Ryan M.; von Salm, Jacqueline L.; Baker, Bill J.] Univ S Florida, Dept Chem, Tampa, FL 33620 USA; [Young, Ryan M.; von Salm, Jacqueline L.; Baker, Bill J.] Univ S Florida, Ctr Drug Discovery &amp; Innovat, Tampa, FL 33620 USA; [Amsler, Margaret O.; Amsler, Charles D.; McClintock, James B.] Univ Alabama Birmingham, Dept Biol, Birmingham, AL 35294 USA; [Lopez-Bautista, Juan] Univ Alabama, Dept Biol Sci, Tuscaloosa, AL 35487 USA</t>
  </si>
  <si>
    <t>State University System of Florida; University of South Florida; State University System of Florida; University of South Florida; University of Alabama System; University of Alabama Birmingham; University of Alabama System; University of Alabama Tuscaloosa</t>
  </si>
  <si>
    <t>Baker, BJ (corresponding author), Univ S Florida, Dept Chem, Tampa, FL 33620 USA.</t>
  </si>
  <si>
    <t>ryanyoung1@mail.usf.edu; jsalm@mail.usf.edu; mamsler@uab.edu; jlopez@ua.edu; amsler@uab.edu; mcclinto@uab.edu; bjbaker@usf.edu</t>
  </si>
  <si>
    <t>Baker, Bill/N-4312-2019; Young, Ryan M/E-9698-2019</t>
  </si>
  <si>
    <t>von Salm, Jacqueline/0000-0003-2277-5491; Amsler, Charles/0000-0002-4843-3759</t>
  </si>
  <si>
    <t>National Science Foundation [ANT-0838773, ANT-1041022, ANT-0838776]; University of Alabama at Birmingham; Office of Polar Programs (OPP); Directorate For Geosciences [0838776, 0838773, 1041022] Funding Source: National Science Foundation</t>
  </si>
  <si>
    <t>National Science Foundation(National Science Foundation (NSF)); University of Alabama at Birmingham; Office of Polar Programs (OPP); Directorate For Geosciences(National Science Foundation (NSF)NSF - Directorate for Geosciences (GEO))</t>
  </si>
  <si>
    <t>This work would not have been possible without the field assistance from S-022 dive teams, including Alan Maschek, Kate Schoenrock, Ruth McDowell and William Dent. Chandan Barhate did algal extractions and GC/MS sample queuing. The outstanding logistical support in Antarctica from the employees and sub-contractors of Raytheon Polar Services Company is gratefully acknowledged. The project was supported by National Science Foundation awards ANT-0838773 and ANT-1041022 (CDA, JBM) and ANT-0838776 (BJB) from the Antarctic Organisms and Ecosystems program and by an Endowed Professorship in Polar and Marine Biology to JBM provided by the University of Alabama at Birmingham.</t>
  </si>
  <si>
    <t>10.3390/md11062126</t>
  </si>
  <si>
    <t>WOS:000320772100021</t>
  </si>
  <si>
    <t>Boyd, PW</t>
  </si>
  <si>
    <t>Boyd, Philip W.</t>
  </si>
  <si>
    <t>COMMENTARY: Framing biological responses to a changing ocean</t>
  </si>
  <si>
    <t>SYSTEM</t>
  </si>
  <si>
    <t>Univ Tasmania, Inst Marine &amp; Antarctic Studies, Hobart, Tas 7001, Australia</t>
  </si>
  <si>
    <t>Boyd, PW (corresponding author), Univ Tasmania, Inst Marine &amp; Antarctic Studies, Private Bag 129, Hobart, Tas 7001, Australia.</t>
  </si>
  <si>
    <t>philip.boyd@utas.edu.au</t>
  </si>
  <si>
    <t>Boyd, Philip/J-7624-2014</t>
  </si>
  <si>
    <t>Boyd, Philip/0000-0001-7850-1911</t>
  </si>
  <si>
    <t>10.1038/nclimate1881</t>
  </si>
  <si>
    <t>174OX</t>
  </si>
  <si>
    <t>WOS:000321166400006</t>
  </si>
  <si>
    <t>Ingall, ED; Diaz, JM; Longo, AF; Oakes, M; Finney, L; Vogt, S; Lai, B; Yager, PL; Twining, BS; Brandes, JA</t>
  </si>
  <si>
    <t>Ingall, Ellery D.; Diaz, Julia M.; Longo, Amelia F.; Oakes, Michelle; Finney, Lydia; Vogt, Stefan; Lai, Barry; Yager, Patricia L.; Twining, Benjamin S.; Brandes, Jay A.</t>
  </si>
  <si>
    <t>Role of biogenic silica in the removal of iron from the Antarctic seas</t>
  </si>
  <si>
    <t>NATURE COMMUNICATIONS</t>
  </si>
  <si>
    <t>DIATOM THALASSIOSIRA-PSEUDONANA; SOUTHERN-OCEAN; ROSS-SEA; DEPOSITION; CARBON; WATERS; ZINC; FERTILIZATION; SPECTROSCOPY; SOLUBILITY</t>
  </si>
  <si>
    <t>Iron has a key role in controlling biological production in the Southern Ocean, yet the mechanisms regulating iron availability in this and other ocean regions are not completely understood. Here, based on analysis of living phytoplankton in the coastal seas of West Antarctica, we present a new pathway for iron removal from marine systems involving structural incorporation of reduced, organic iron into biogenic silica. Export of iron incorporated into biogenic silica may represent a substantial unaccounted loss of iron from marine systems. For example, in the Ross Sea, burial of iron incorporated into biogenic silica is conservatively estimated as 11 mu mol m(-2) per year, which is in the same range as the major bioavailable iron inputs to this region. As a major sink of bioavailable iron, incorporation of iron into biogenic silica may shift microbial population structure towards taxa with relatively lower iron requirements, and may reduce ecosystem productivity and associated carbon sequestration.</t>
  </si>
  <si>
    <t>[Ingall, Ellery D.; Diaz, Julia M.; Longo, Amelia F.; Oakes, Michelle] Georgia Inst Technol, Sch Earth &amp; Atmospher Sci, Atlanta, GA 30332 USA; [Finney, Lydia; Vogt, Stefan; Lai, Barry] Argonne Natl Lab, Adv Photon Source, Argonne, IL 60439 USA; [Yager, Patricia L.] Univ Georgia, Dept Marine Sci, Athens, GA 30602 USA; [Twining, Benjamin S.] Bigelow Lab Ocean Sci, East Boothbay, ME 04544 USA; [Brandes, Jay A.] Skidaway Inst Oceanog, Savannah, GA 31411 USA</t>
  </si>
  <si>
    <t>University System of Georgia; Georgia Institute of Technology; United States Department of Energy (DOE); Argonne National Laboratory; University System of Georgia; University of Georgia; Bigelow Laboratory for Ocean Sciences; University System of Georgia; University of Georgia; Skidaway Institute of Oceanography</t>
  </si>
  <si>
    <t>Ingall, ED (corresponding author), Georgia Inst Technol, Sch Earth &amp; Atmospher Sci, 311 Ferst Dr, Atlanta, GA 30332 USA.</t>
  </si>
  <si>
    <t>ingall@eas.gatech.edu</t>
  </si>
  <si>
    <t>Vogt, Stefan/B-9547-2009; Ingall, Ellery/A-5447-2008; Yager, Patricia/K-8020-2014</t>
  </si>
  <si>
    <t>Vogt, Stefan/0000-0002-8034-5513; Twining, Benjamin/0000-0002-1365-9192; Ingall, Ellery/0000-0003-1954-0317; Yager, Patricia/0000-0002-8462-6427</t>
  </si>
  <si>
    <t>NSF [0849494, 0836144, 1060884]; NSF-GRFP; Ford Foundation Fellowship Program; US Department of Energy, Office of Basic Energy Sciences [DE-AC02-06CH11357]; Directorate For Geosciences; Division Of Ocean Sciences [1316036, 1061094] Funding Source: National Science Foundation; Division Of Ocean Sciences; Directorate For Geosciences [1060884] Funding Source: National Science Foundation; Office of Polar Programs (OPP); Directorate For Geosciences [0836144] Funding Source: National Science Foundation; Office of Polar Programs (OPP); Directorate For Geosciences [0849494] Funding Source: National Science Foundation</t>
  </si>
  <si>
    <t>NSF(National Science Foundation (NSF)); NSF-GRFP(National Science Foundation (NSF)NSF - Office of the Director (OD)); Ford Foundation Fellowship Program; US Department of Energy, Office of Basic Energy Sciences(United States Department of Energy (DOE)); Directorate For Geosciences; Division Of Ocean 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</si>
  <si>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NSF grant(s) 0849494(EDI), 0836144 (PLY) and 1060884 (EDI), the NSF-GRFP (JMD) and the Ford Foundation Fellowship Program (JMD). Any opinions, findings and conclusions or recommendations expressed in this material are those of the authors and do not necessarily reflect the views of the National Science Foundation. We thank the Swedish Antarctic Research Programme (SWEDARP) and our colleagues and crew aboard the 2008/2009 expedition of the icebreaker Oden. Use of the Advanced Photon Source is supported by the US Department of Energy, Office of Basic Energy Sciences (DE-AC02-06CH11357).</t>
  </si>
  <si>
    <t>2041-1723</t>
  </si>
  <si>
    <t>NAT COMMUN</t>
  </si>
  <si>
    <t>Nat. Commun.</t>
  </si>
  <si>
    <t>10.1038/ncomms2981</t>
  </si>
  <si>
    <t>207SR</t>
  </si>
  <si>
    <t>WOS:000323624600004</t>
  </si>
  <si>
    <t>Ziegler, M; Diz, P; Hall, IR; Zahn, R</t>
  </si>
  <si>
    <t>Ziegler, Martin; Diz, Paula; Hall, Ian R.; Zahn, Rainer</t>
  </si>
  <si>
    <t>Millennial-scale changes in atmospheric CO2 levels linked to the Southern Ocean carbon isotope gradient and dust flux</t>
  </si>
  <si>
    <t>CLIMATE; ICE; CIRCULATION; DELTA-C-13; PCO(2); IRON</t>
  </si>
  <si>
    <t>The rise in atmospheric CO2 concentrations observed at the end of glacial periods has, at least in part, been attributed to the upwelling of carbon-rich deep water in the Southern Ocean(1,2). The magnitude of outgassing of dissolved CO2, however, is influenced by the biological fixation of upwelled inorganic carbon and its transfer back to the deep sea as organic carbon. The efficiency of this biological pump is controlled by the extent of nutrient utilization, which can be stimulated by the delivery of iron by atmospheric dust particles(3). Changes in nutrient utilization should be reflected in the delta C-13 gradient between intermediate and deep waters. Here we use the delta C-13 values of intermediate-and bottom-dwelling foraminifera to reconstruct the carbon isotope gradient between thermocline and abyssal water in the subantarctic zone of the South Atlantic Ocean over the past 360,000 years. We find millennial-scale oscillations of the carbon isotope gradient that correspond to changes in dust flux and atmospheric CO2 concentrations as reported from Antarctic ice cores(4,5). We interpret this correlation as a relationship between the efficiency of the biological pump and fertilization by dust-borne iron. As the correlation is exponential, we suggest that the sensitivity of the biological pump to dust-borne iron fertilization may be increased when the background dust flux is low.</t>
  </si>
  <si>
    <t>[Ziegler, Martin; Diz, Paula; Hall, Ian R.] Cardiff Univ, Sch Earth &amp; Ocean Sci, Cardiff CF10 3AT, S Glam, Wales; [Zahn, Rainer] ICREA, Barcelona 08010, Spain; [Zahn, Rainer] Univ Autonoma Barcelona, ICTA, Bellaterra 08193, Spain; [Zahn, Rainer] Univ Autonoma Barcelona, Dept Fis, Bellaterra 08193, Spain</t>
  </si>
  <si>
    <t>Cardiff University; ICREA; Autonomous University of Barcelona; Autonomous University of Barcelona</t>
  </si>
  <si>
    <t>Ziegler, M (corresponding author), Cardiff Univ, Sch Earth &amp; Ocean Sci, Cardiff CF10 3AT, S Glam, Wales.</t>
  </si>
  <si>
    <t>zieglerm@cardiff.ac.uk; hall@cardiff.ac.uk</t>
  </si>
  <si>
    <t>Ziegler, Martin/N-9699-2013; Hall, Ian/C-2755-2009; Diz, Paula/N-3113-2015</t>
  </si>
  <si>
    <t>Hall, Ian/0000-0001-6960-1419; Ziegler, Martin/0000-0003-3198-6434; Diz, Paula/0000-0002-7136-0690</t>
  </si>
  <si>
    <t>UK Natural Environment Research Council (NERC) and NERC Radiocarbon Laboratory; Spanish Ministerio de Educacion y Ciencia (MEC) [EX-2004-0918]; The Seventh Framework Programme PEOPLE Work Programme Grant (Marie Curie Initial Training Network 'GATEWAYS') [238512]; Climate Change Consortium of Wales; NERC [NRCF010001] Funding Source: UKRI; Natural Environment Research Council [NRCF010001] Funding Source: researchfish; ICREA Funding Source: Custom</t>
  </si>
  <si>
    <t>UK Natural Environment Research Council (NERC) and NERC Radiocarbon Laboratory(UK Research &amp; Innovation (UKRI)Natural Environment Research Council (NERC)); Spanish Ministerio de Educacion y Ciencia (MEC)(Spanish Government); The Seventh Framework Programme PEOPLE Work Programme Grant (Marie Curie Initial Training Network 'GATEWAYS')(European Union (EU)); Climate Change Consortium of Wales; NERC(UK Research &amp; Innovation (UKRI)Natural Environment Research Council (NERC)); Natural Environment Research Council(UK Research &amp; Innovation (UKRI)Natural Environment Research Council (NERC)); ICREA(ICREA)</t>
  </si>
  <si>
    <t>We thank the International Marine Past Global Changes Study (IMAGES) and Institut Polaire Francais Paul Emile Victor (IPEV) for making the RV Marion Dufresne available and for technical support. We are indebted to G. Uenzelmann-Neben for generously providing geophysical survey data. J. Becker and H. Medley are thanked for technical assistance. We acknowledge financial support from the UK Natural Environment Research Council (NERC) and NERC Radiocarbon Laboratory (I.R.H. and P. D.), the Spanish Ministerio de Educacion y Ciencia (MEC) (R.Z. and P.D., postdoctoral research grant EX-2004-0918), The Seventh Framework Programme PEOPLE Work Programme Grant 238512 (I.R.H., R.Z. and M.Z., Marie Curie Initial Training Network 'GATEWAYS', www.gateways-itn.eu) and the Climate Change Consortium of Wales (M.Z. and I.R.H.; www.c3wales.org).</t>
  </si>
  <si>
    <t>10.1038/NGEO1782</t>
  </si>
  <si>
    <t>154ET</t>
  </si>
  <si>
    <t>WOS:000319655200017</t>
  </si>
  <si>
    <t>Ehrenfreund, P; Race, M; Labdon, D</t>
  </si>
  <si>
    <t>Ehrenfreund, Pascale; Race, Margaret; Labdon, David</t>
  </si>
  <si>
    <t>x Responsible Space Exploration and Use: Balancing Stakeholder Interests</t>
  </si>
  <si>
    <t>NEW SPACE-THE JOURNAL OF SPACE ENTREPRENEURSHIP AND INNOVATION</t>
  </si>
  <si>
    <t>Despite the worldwide economic downturn, many space-faring nations are planning space missions and architectures to explore the Moon, near-Earth asteroids (NEAs), and Mars in the coming decades. Most of these plans are focused on robotic exploration, but some also include human endeavors extending beyond the International Space Station and low Earth orbit. Looking ahead, the space exploration arena is clearly changing. In the not-too-distant future, space activities are likely to include a significant increase in numbers of nations, partnerships, and commercial and private ventures planning missions that go beyond traditional exploration. Already, space entrepreneurs have announced ambitious plans such as roving and mining on the Moon; harvesting resources on NEAs; and preparing for human travel and establishing outposts on the Moon and Mars. This raises questions of how to ensure that exploration and use are conducted in responsible and balanced ways. There is a growing need to establish more comprehensive regulations governing these activities. In this article, we discuss and compare the main international treaties that govern Antarctica, the oceans, and celestial bodies, as well as the physical, institutional, and ethical concerns raised by various stakeholders. We analyze terrestrial environmental management strategies of the Antarctic Treaty System and the United Nations Convention on the Law of the Sea and highlight their implications for considering ways to deal with increased exploration and commercial ventures that target the use of celestial bodies. The pathway toward the adoption of an international environmental regime for space exploration will be undoubtedly a stepwise approach as the current ambitions and plans of governments, commercial ventures, and the private sector materialize and diversify.</t>
  </si>
  <si>
    <t>[Ehrenfreund, Pascale; Labdon, David] George Washington Univ, Space Policy Inst, Washington, DC USA; [Race, Margaret] SETI Inst, Mountain View, CA USA</t>
  </si>
  <si>
    <t>George Washington University</t>
  </si>
  <si>
    <t>Ehrenfreund, P (corresponding author), George Washington Univ, Space Policy Inst, Elliott Sch Int Affairs, 1957 E St NW,Suite 403, Washington, DC 20052 USA.</t>
  </si>
  <si>
    <t>pehren@gwu.edu</t>
  </si>
  <si>
    <t>2168-0256</t>
  </si>
  <si>
    <t>2168-0264</t>
  </si>
  <si>
    <t>NEW SPACE</t>
  </si>
  <si>
    <t>New Space</t>
  </si>
  <si>
    <t>10.1089/space.2013.0007</t>
  </si>
  <si>
    <t>Engineering, Aerospace</t>
  </si>
  <si>
    <t>V2D0E</t>
  </si>
  <si>
    <t>WOS:000217467900003</t>
  </si>
  <si>
    <t>Dziak, RP; Fowler, MJ; Matsumoto, H; Bohnenstiehl, DR; Park, M; Warren, K; Lee, WS</t>
  </si>
  <si>
    <t>Dziak, Robert P.; Fowler, Matthew J.; Matsumoto, Haruyoshi; Bohnenstiehl, Delwayne R.; Park, Minkyu; Warren, Kyle; Lee, Won Sang</t>
  </si>
  <si>
    <t>Life and Death Sounds of Iceberg A53a</t>
  </si>
  <si>
    <t>ANTARCTIC PENINSULA; TREMOR; OCEAN</t>
  </si>
  <si>
    <t>[Dziak, Robert P.; Fowler, Matthew J.; Matsumoto, Haruyoshi] Oregon State Univ, Cooperat Inst Marine Resources Studies, NOAA, PMEL, Newport, OR USA; [Bohnenstiehl, Delwayne R.] N Carolina State Univ, Dept Marine Earth &amp; Atmospher Sci, Raleigh, NC 27695 USA; [Park, Minkyu; Lee, Won Sang] Korea Polar Res Inst, Inchon, South Korea</t>
  </si>
  <si>
    <t>Oregon State University; National Oceanic Atmospheric Admin (NOAA) - USA; North Carolina State University; Korea Institute of Ocean Science &amp; Technology (KIOST); Korea Polar Research Institute (KOPRI)</t>
  </si>
  <si>
    <t>Dziak, RP (corresponding author), Oregon State Univ, Cooperat Inst Marine Resources Studies, NOAA, PMEL, Newport, OR USA.</t>
  </si>
  <si>
    <t>robert.p.dziak@noaa.gov</t>
  </si>
  <si>
    <t>Dziak, Robert/AAC-6107-2020; Matsumoto, Haru/J-6812-2017</t>
  </si>
  <si>
    <t>Matsumoto, Haru/0000-0002-0202-4060; Lee, Won Sang/0000-0002-1074-7672</t>
  </si>
  <si>
    <t>10.5670/oceanog.2013.20</t>
  </si>
  <si>
    <t>WOS:000326852800004</t>
  </si>
  <si>
    <t>Walsh, JE</t>
  </si>
  <si>
    <t>Walsh, John E.</t>
  </si>
  <si>
    <t>MELTING ICE What Is Happening to Arctic Sea Ice, and What Does It Mean for Us?</t>
  </si>
  <si>
    <t>AMPLIFICATION</t>
  </si>
  <si>
    <t>Sea ice has emerged as the canary in the coal mine of climate change. Its summer extent in the Arctic has decreased by about 50% over the past decade, and the Arctic Ocean has undergone a regime shift from a cover of thick multiyear ice to a largely seasonal and much thinner ice cover. The recent loss is unprecedented in the periods of satellite and historical records of sea ice, and it also appears to be unique in paleo reconstructions spanning more than a thousand years. A perfect storm of warmer atmospheric and oceanic forcing, together with a boost from natural variability of wind forcing in some years, drove the change. However, the reduction of ice coverage is not apparent in some sub-Arctic regions during the winter, nor has it occurred in the Antarctic region. Signals of a response to the loss of sea ice are emerging in the ocean and the atmosphere. Ocean heat storage during the ice-free season not only contributes to a later freeze-up than in the past, but it also reduces the thickness to which first-year ice can grow. The vulnerability of this thinner ice to rapid spring melt is a manifestation of the ice-albedo-temperature feedback that has long been postulated as a contributor to polar amplification of climate change. More notably for middle latitudes, the loss of sea ice appears to be triggering a reduction of the large-scale westerlies that characterize atmospheric circulation in middle and sub-polar latitudes. This response is consistent with increased persistence of departures from normal temperature, precipitation, and extreme weather during autumn and winter in heavily populated areas of the Northern Hemisphere.</t>
  </si>
  <si>
    <t>Univ Alaska Fairbanks, Int Arctic Res Ctr, Fairbanks, AK 99775 USA</t>
  </si>
  <si>
    <t>University of Alaska System; University of Alaska Fairbanks</t>
  </si>
  <si>
    <t>Walsh, JE (corresponding author), Univ Alaska Fairbanks, Int Arctic Res Ctr, Fairbanks, AK 99775 USA.</t>
  </si>
  <si>
    <t>jwalsh@iarc.uaf.edu</t>
  </si>
  <si>
    <t>Walsh, John/GQI-2785-2022</t>
  </si>
  <si>
    <t>Walsh, John/0000-0002-2510-8734; Walsh, John/0000-0001-9541-5927</t>
  </si>
  <si>
    <t>WOS:000326852800021</t>
  </si>
  <si>
    <t>Caruso, T; Trokhymets, V; Bargagli, R; Convey, P</t>
  </si>
  <si>
    <t>Caruso, Tancredi; Trokhymets, Vladlen; Bargagli, Roberto; Convey, Peter</t>
  </si>
  <si>
    <t>Biotic interactions as a structuring force in soil communities: evidence from the micro-arthropods of an Antarctic moss model system</t>
  </si>
  <si>
    <t>Meta-communities; Micro-arthropods; Spatial processes; Environmental filtering; Negative interaction</t>
  </si>
  <si>
    <t>TERRESTRIAL ARTHROPOD FAUNA; VICTORIA LAND; TURF HABITAT; ECOLOGICAL DATA; LIFE-CYCLE; DIVERSITY; PATTERNS; DETERMINANTS; MITES; NICHE</t>
  </si>
  <si>
    <t>Current meta-community theories postulate that the structure of local communities depends on dispersal, environmental filtering, and biotic interactions. However, disentangling the relative effects of these factors in the field and for diverse assemblages is a major challenge. A solution is to address natural but simple communities (i.e. with low numbers of species in few trophic levels), wherein one of these factors is predominant. Here, we analyse the micro-arthropod community of a moss-turf habitat typical of the Antarctic Peninsula region, and test the widely accepted hypothesis that this system is abiotically driven. In the austral summers 2006/7 and 2007/8, we sampled nearly 80 units of moss from four islands in the Argentine Islands. Using variance partitioning, we quantified the relative contribution of: (1) multiple scale spatio-temporal autocorrelation; (2) environmental effects; (3) the island effect. Little variance (1 %) was accounted for by sources 1 (1 %, significant) and 2 (&lt; 1 %, not significant). The island effect significantly accounted for the largest amount of variation (8 %). There was a relatively large effect of spatially structured environmental variation (7 %). Null models demonstrated that species co-occurred less frequently than expected by chance, suggesting the prevalence of negative interactions. Our data support the novel hypothesis that negative biotic interactions are the most important structuring force of this micro-arthropod community. The analysed system is a good proxy for more complex communities in terms of taxonomic composition and the functional groups present. Thus, biotic interaction might be a predominant factor in soil meta-community dynamics.</t>
  </si>
  <si>
    <t>[Caruso, Tancredi] Free Univ Berlin, Inst Biol Plant Ecol, D-14195 Berlin, Germany; [Trokhymets, Vladlen] Taras Shevchenko Natl Univ Kyiv, UA-01033 Kiev, Ukraine; [Bargagli, Roberto] Univ Siena, Dept Environm Sci G Sarfatti, I-53100 Siena, Italy; [Convey, Peter] British Antarctic Survey, Cambridge CB3 0ET, England; [Convey, Peter] Univ Malaya, Natl Antarctic Res Ctr, Kuala Lumpur 50603, Malaysia</t>
  </si>
  <si>
    <t>Free University of Berlin; Ministry of Education &amp; Science of Ukraine; Taras Shevchenko National University of Kyiv; University of Siena; UK Research &amp; Innovation (UKRI); Natural Environment Research Council (NERC); NERC British Antarctic Survey; Universiti Malaya</t>
  </si>
  <si>
    <t>Caruso, T (corresponding author), Free Univ Berlin, Inst Biol Plant Ecol, Altensteinstr 6, D-14195 Berlin, Germany.</t>
  </si>
  <si>
    <t>tancredi.caruso@fu-berlin.de</t>
  </si>
  <si>
    <t>Convey, Peter/AAV-5728-2020; Caruso, Tancredi/H-1103-2012</t>
  </si>
  <si>
    <t>Convey, Peter/0000-0001-8497-9903; Trokhymets, Vladlen/0000-0001-6367-1897; Caruso, Tancredi/0000-0002-3607-9609</t>
  </si>
  <si>
    <t>Italian PNRA (Programma azionale di Ricerche in Antartide); Alexander von Humboldt Foundation; EBESA IPY project [n1 452]; Natural Environment Research Council [bas0100025] Funding Source: researchfish; NERC [bas0100025] Funding Source: UKRI</t>
  </si>
  <si>
    <t>Italian PNRA (Programma azionale di Ricerche in Antartide); Alexander von Humboldt Foundation(Alexander von Humboldt Foundation); EBESA IPY project; Natural Environment Research Council(UK Research &amp; Innovation (UKRI)Natural Environment Research Council (NERC)); NERC(UK Research &amp; Innovation (UKRI)Natural Environment Research Council (NERC))</t>
  </si>
  <si>
    <t>This work is a contribution to the EBESA IPY project n1 452 and was supported by the Italian PNRA (Programma azionale di Ricerche in Antartide). T. Caruso was supported by the Alexander von Humboldt Foundation. P. Convey is a member of the British Antarctic Survey's Ecosystems Programme. The study also contributes to the SCAR Evolution and Biodiversity in Antarctica programme. The authors thank the Ukrainian National Antarctic Scientific Centre and Taras Shevchenko National University of Kyiv for comprehensive support of this research. We thank one anonymous reviewer and the editor Roland Brandl for their valuable comments on this article. The authors declare no conflict of interest. Experiments comply with the current laws of the country in which experiments were performed.</t>
  </si>
  <si>
    <t>1432-1939</t>
  </si>
  <si>
    <t>10.1007/s00442-012-2503-9</t>
  </si>
  <si>
    <t>WOS:000319077100019</t>
  </si>
  <si>
    <t>Thornalley, DJR; Barker, S; Becker, J; Hall, IR; Knorr, G</t>
  </si>
  <si>
    <t>Thornalley, David J. R.; Barker, Stephen; Becker, Julia; Hall, Ian R.; Knorr, Gregor</t>
  </si>
  <si>
    <t>Abrupt changes in deep Atlantic circulation during the transition to full glacial conditions</t>
  </si>
  <si>
    <t>Western Boundary Undercurrent; Abrupt climate change; North Atlantic; Glacial; Ocean circulation</t>
  </si>
  <si>
    <t>WESTERN NORTH-ATLANTIC; MARINE ISOTOPE STAGE-3; BLAKE OUTER RIDGE; MERIDIONAL OVERTURNING CIRCULATION; ANTARCTIC BOTTOM WATER; OCEAN SEA-ICE; THERMOHALINE CIRCULATION; CLIMATE-CHANGE; PALEOCEANOGRAPHIC IMPLICATIONS; BOUNDARY UNDERCURRENT</t>
  </si>
  <si>
    <t>Six Ocean Drilling Program (ODP) sites, in the Northwest Atlantic have been used to investigate kinematic and chemical changes in the Western Boundary Undercurrent (WBUC) during the development of full glacial conditions across the Marine Isotope Stage 5a/4 boundary (similar to 70,000years ago). Sortable silt mean grain size ((S) over barS) measurements are employed to examine changes in near bottom flow speeds, together with carbon isotopes measured in benthic foraminifera and % planktic foraminiferal fragmentation as proxies for changes in water-mass chemistry. A depth transect of cores, spanning 1.8-4.6km depth, allows changes in both the strength and depth of the WBUC to be constrained across millennial scale events. (S) over barS) measurements reveal that the flow speed structure of the WBUC during warm intervals (interstadials) was comparable to modern (Holocene) conditions. However, significant differences are observed during cold intervals, with higher relative flow speeds inferred for the shallow component of the WBUC (similar to 2km depth) during all cold stadial intervals (including Heinrich Stadial 6), and a substantial weakening of the deep component (similar to 3-4km) during full glacial conditions. Our results therefore reveal that the onset of full glacial conditions was associated with a regime shift to a shallower mode of circulation (involving Glacial North Atlantic Intermediate Water) that was quantitatively distinct from preceding cold stadial events. Furthermore, our chemical proxy data show that the physical response of the WBUC during the last glacial inception was probably coupled to basin-wide changes in the water-mass composition of the deep Northwest Atlantic.</t>
  </si>
  <si>
    <t>[Thornalley, David J. R.; Barker, Stephen; Becker, Julia; Hall, Ian R.] Cardiff Univ, Sch Earth &amp; Ocean Sci, Cardiff CF10 3AX, S Glam, Wales; [Thornalley, David J. R.] Woods Hole Oceanog Inst, Dept Geol &amp; Geophys, Woods Hole, MA 02543 USA; [Becker, Julia] Karlsruhe Inst Technol, Inst Meteorol &amp; Climate Res IMK ASF, D-76021 Karlsruhe, Germany; [Knorr, Gregor] Alfred Wegener Inst, Bremerhaven, Germany</t>
  </si>
  <si>
    <t>Cardiff University; Woods Hole Oceanographic Institution; Helmholtz Association; Karlsruhe Institute of Technology; Helmholtz Association; Alfred Wegener Institute, Helmholtz Centre for Polar &amp; Marine Research</t>
  </si>
  <si>
    <t>Thornalley, DJR (corresponding author), Woods Hole Oceanog Inst, Dept Geol &amp; Geophys, Woods Hole, MA 02543 USA.</t>
  </si>
  <si>
    <t>d.thornalley@cantab.net</t>
  </si>
  <si>
    <t>Stephen, Barker/C-2770-2009; Hall, Ian/C-2755-2009</t>
  </si>
  <si>
    <t>Barker, Stephen/0000-0001-7870-6431; Knorr, Gregor/0000-0002-8317-5046; Hall, Ian/0000-0001-6960-1419</t>
  </si>
  <si>
    <t>U.S. National Science Foundation (NSF); Natural Environment Research Council (NERC, UK) [NE/F002734/1, NE/I006370/1, NE/G004021/1]; Comer Science and Education Foundation; Leverhulme Trust; NERC [NE/G015260/1, NE/G004021/1, NE/I006370/1, NE/F002734/1] Funding Source: UKRI; Natural Environment Research Council [NE/G015260/1, NE/G004021/1, NE/F002734/1, NE/I006370/1] Funding Source: researchfish</t>
  </si>
  <si>
    <t>U.S. National Science Foundation (NSF)(National Science Foundation (NSF)); Natural Environment Research Council (NERC, UK)(UK Research &amp; Innovation (UKRI)Natural Environment Research Council (NERC)); Comer Science and Education Foundation; Leverhulme Trust(Leverhulme Trust); NERC(UK Research &amp; Innovation (UKRI)Natural Environment Research Council (NERC)); Natural Environment Research Council(UK Research &amp; Innovation (UKRI)Natural Environment Research Council (NERC))</t>
  </si>
  <si>
    <t>We thank Rebecca Pyne for laboratory assistance, Ule Ninneman for benthic stable isotope analyses of several small samples in Site 1063, and Lloyd Keigwin for discussions. We thank two anonymous reviewers and Associate Editor Elisabeth Michel for their constructive comments, which helped improve this work. This research used samples provided by the Ocean Drilling Program (ODP). ODP is sponsored by the U.S. National Science Foundation (NSF) and participating countries under management of Joint Oceanographic Institutions (JOI), Inc. This work was supported by the Natural Environment Research Council (NERC, UK) grants NE/F002734/1, NE/I006370/1 and NE/G004021/1. We also thank the Comer Science and Education Foundation and the Leverhulme Trust for financial support.</t>
  </si>
  <si>
    <t>10.1002/palo.20025</t>
  </si>
  <si>
    <t>WOS:000322013900004</t>
  </si>
  <si>
    <t>Griffiths, JD; Barker, S; Hendry, KR; Thornalley, DJR; van de Flierdt, T; Hall, IR; Anderson, RF</t>
  </si>
  <si>
    <t>Griffiths, James D.; Barker, Stephen; Hendry, Katharine R.; Thornalley, David J. R.; van de Flierdt, Tina; Hall, Ian R.; Anderson, Robert F.</t>
  </si>
  <si>
    <t>Evidence of silicic acid leakage to the tropical Atlantic via Antarctic Intermediate Water during Marine Isotope Stage 4</t>
  </si>
  <si>
    <t>silica leakage; diatom; carbon dioxide; SAMW; AAIW</t>
  </si>
  <si>
    <t>WESTERN NORTH-ATLANTIC; EASTERN EQUATORIAL ATLANTIC; GLACIAL SOUTHERN-OCEAN; RARE-EARTH-ELEMENTS; VOSTOK ICE CORE; DEEP-WATER; ATMOSPHERIC CO2; NEODYMIUM ISOTOPES; MILLENNIAL-SCALE; BIOGENIC SILICA</t>
  </si>
  <si>
    <t>Antarctic Intermediate Water (AAIW) and Subantarctic Mode Water (SAMW) are the main conduits for the supply of dissolved silicon (silicic acid) from the deep Southern Ocean (SO) to the low-latitude surface ocean and therefore have an important control on low-latitude diatom productivity. Enhanced supply of silicic acid by AAIW (and SAMW) during glacial periods may have enabled tropical diatoms to outcompete carbonate-producing phytoplankton, decreasing the relative export of inorganic to organic carbon to the deep ocean and lowering atmospheric pCO(2). This mechanism is known as the silicic acid leakage hypothesis (SALH). Here we present records of neodymium and silicon isotopes from the western tropical Atlantic that provide the first direct evidence of increased silicic acid leakage from the Southern Ocean to the tropical Atlantic within AAIW during glacial Marine Isotope Stage 4 (similar to 60-70ka). This leakage was approximately coeval with enhanced diatom export in the NW Atlantic and across the eastern equatorial Atlantic and provides support for the SALH as a contributor to CO2 drawdown during full glacial development.</t>
  </si>
  <si>
    <t>[Griffiths, James D.; Barker, Stephen; Thornalley, David J. R.; Hall, Ian R.] Cardiff Univ, Sch Earth &amp; Ocean Sci, Cardiff CF10 3AT, S Glam, Wales; [Hendry, Katharine R.] Woods Hole Oceanog Inst, Woods Hole, MA 02543 USA; [van de Flierdt, Tina] Univ London Imperial Coll Sci Technol &amp; Med, Dept Earth Sci &amp; Engn, London, England; [Anderson, Robert F.] Lamont Doherty Earth Observ, Palisades, NY USA</t>
  </si>
  <si>
    <t>Cardiff University; Woods Hole Oceanographic Institution; Imperial College London; Columbia University</t>
  </si>
  <si>
    <t>Griffiths, JD (corresponding author), Cardiff Univ, Sch Earth &amp; Ocean Sci, Cardiff CF10 3AT, S Glam, Wales.</t>
  </si>
  <si>
    <t>griffithsjd@cf.ac.uk</t>
  </si>
  <si>
    <t>Stephen, Barker/C-2770-2009; Hendry, Katharine/E-4793-2011; Hall, Ian/C-2755-2009</t>
  </si>
  <si>
    <t>Hendry, Katharine/0000-0002-0790-5895; Hall, Ian/0000-0001-6960-1419; Anderson, Robert/0000-0002-8472-2494; Barker, Stephen/0000-0001-7870-6431</t>
  </si>
  <si>
    <t>NERC (UK) grant [NE/F002734/1]; National Science Foundation [MCG-1029986]; European Commission [IRG 230828]; Natural Environment Research Council [NE/F016751/1, NE/F002734/1] Funding Source: researchfish; NERC [NE/F016751/1, NE/F002734/1] Funding Source: UKRI</t>
  </si>
  <si>
    <t>NERC (UK) grant(UK Research &amp; Innovation (UKRI)Natural Environment Research Council (NERC)); National Science Foundation(National Science Foundation (NSF)); European Commission(European Union (EU)European Commission Joint Research Centre); Natural Environment Research Council(UK Research &amp; Innovation (UKRI)Natural Environment Research Council (NERC)); NERC(UK Research &amp; Innovation (UKRI)Natural Environment Research Council (NERC))</t>
  </si>
  <si>
    <t>We thank Dirk Nurnberg (MARUM Kiel) for the assistance with sampling MD99-2198, Rusty Lotti and George Lozefski (Lamont-Doherty Earth Observatory Deep-Sea Sample Repository) for the assistance with sampling RC24-01, and Rebecca Pyne for the initial sampling of ODP 1063. We thank Julia Becker for running stable isotope samples, Rainer Zahn for permitting us to plot unpublished benthic 18O data from MD99-2198, David Verardo for supplying 18O data from RC24-01, Marty Fleisher for the laboratory assistance and helpful discussion in obtaining protactinium and thorium data on RC24-01 at the Lamont-Doherty Earth Observatory, and Katharina Kreissig, Claire Huck, and Carys Cook (Imperial College London MAGIC Group) for the laboratory assistance and running extra neodymium samples. The work is part of a wider project on the MIS 5/4 transition, supervised by S. B. and supported by NERC (UK) grant NE/F002734/1. K.R.H. is funded by National Science Foundation grant MCG-1029986. Si isotope samples were analyzed at the WHOI ICP Facility. T.v.d.F. acknowledges funding from the European Commission (IRG 230828).</t>
  </si>
  <si>
    <t>10.1002/palo.20030</t>
  </si>
  <si>
    <t>WOS:000322013900009</t>
  </si>
  <si>
    <t>Bowman, VC; Riding, JB; Francis, JE; Crame, JA; Hannah, MJ</t>
  </si>
  <si>
    <t>Bowman, Vanessa C.; Riding, James B.; Francis, Jane E.; Crame, J. Alistair; Hannah, Michael J.</t>
  </si>
  <si>
    <t>The taxonomy and palaeobiogeography of small chorate dinoflagellate cysts from the Late Cretaceous to Quaternary of Antarctica</t>
  </si>
  <si>
    <t>PALYNOLOGY</t>
  </si>
  <si>
    <t>dinoflagellate cysts; acritarchs; taxonomy; palaeobiogeography; Cretaceous-Quaternary; Antarctica</t>
  </si>
  <si>
    <t>JAMES-ROSS-ISLAND; SEYMOUR-ISLAND; COCKBURN ISLAND; MARAMBIO GROUP; HUMPS-ISLAND; GUSTAV-GROUP; VEGA-ISLAND; CAPE LAMB; STRATIGRAPHY; PENINSULA</t>
  </si>
  <si>
    <t>Small chorate dinoflagellate cysts are common in Upper Cretaceous to Quaternary sedimentary successions around the Antarctic margin. Taxonomic confusion surrounding dinoflagellate cysts and acritarchs of similar morphology throughout the southern high palaeolatitudes has hitherto limited investigation of their palaeoecological significance. This study aims to solve the taxonomic problems, and to allow a new assessment of dinoflagellate cyst acmes. A detailed morphological study of new material from the Lopez de Bertodano Formation of Seymour Island, Antarctic Peninsula, is presented. These dinoflagellate cysts are identified as Impletosphaeridium clavus Wrenn &amp; Hart 1988 emend. nov. Their gross morphology and their vast abundances in the James Ross Basin are strongly suggestive of dinoflagellate blooms. This scenario implies similarities to modern dinoflagellate cysts from the polar regions.</t>
  </si>
  <si>
    <t>[Bowman, Vanessa C.; Francis, Jane E.] Univ Leeds, Sch Earth &amp; Environm, Leeds LS2 9JT, W Yorkshire, England; [Riding, James B.] British Geol Survey, Environm Sci Ctr, Keyworth NG12 5GG, Notts, England; [Crame, J. Alistair] British Antarctic Survey, Cambridge CB3 0ET, England; [Hannah, Michael J.] Victoria Univ Wellington, Sch Geog Environm &amp; Earth Sci, Wellington 6012, New Zealand</t>
  </si>
  <si>
    <t>University of Leeds; UK Research &amp; Innovation (UKRI); Natural Environment Research Council (NERC); NERC British Geological Survey; UK Research &amp; Innovation (UKRI); Natural Environment Research Council (NERC); NERC British Antarctic Survey; Victoria University Wellington</t>
  </si>
  <si>
    <t>Bowman, VC (corresponding author), Univ Leeds, Sch Earth &amp; Environm, Leeds LS2 9JT, W Yorkshire, England.</t>
  </si>
  <si>
    <t>v.c.bowman@leeds.ac.uk</t>
  </si>
  <si>
    <t>Hannah, Michael/H-1083-2015</t>
  </si>
  <si>
    <t>Hannah, Michael/0000-0002-2275-0086; Bowman, Vanessa/0000-0002-4887-3949</t>
  </si>
  <si>
    <t>Natural Environment Research Council (NERC) Antarctic Funding Initiative (AFI) project [NE/C506399/1]; NERC project [NE/100582X/1]; TransAntarctic Association; Antarctic Science Bursary; Natural Environment Research Council [NE/I00582X/1, NE/I005803/1, bas0100026, NE/C506399/1, bgs05002, NE/I00582X/2] Funding Source: researchfish; NERC [NE/I00582X/1, bas0100026, NE/I005803/1, NE/I00582X/2, bgs05002] Funding Source: UKRI</t>
  </si>
  <si>
    <t>Natural Environment Research Council (NERC) Antarctic Funding Initiative (AFI) project(UK Research &amp; Innovation (UKRI)Natural Environment Research Council (NERC)); NERC project(UK Research &amp; Innovation (UKRI)Natural Environment Research Council (NERC)); TransAntarctic Association; Antarctic Science Bursary; Natural Environment Research Council(UK Research &amp; Innovation (UKRI)Natural Environment Research Council (NERC)); NERC(UK Research &amp; Innovation (UKRI)Natural Environment Research Council (NERC))</t>
  </si>
  <si>
    <t>This research was funded by a Natural Environment Research Council (NERC) Antarctic Funding Initiative (AFI) project (Grant NE/C506399/1) entitled Terminal Cretaceous climate change and biotic response in Antarctica' and a subsequent related NERC project entitled Impact of global disturbances on the evolution of life in the polar regions during the Cenozoic' (Grant NE/100582X/1). The fieldwork was supported logistically by the British Antarctic Survey. Vanessa C. Bowman thanks the TransAntarctic Association and the Antarctic Science Bursary for additional financial support and Eric Condliffe (formerly of the Leeds Electron Microscopy and Spectroscopy Centre, University of Leeds) for technical assistance. James B. Riding publishes with the approval of the Executive Director, British Geological Survey (NERC). The authors wish to thank Rex Harland, Kenneth N. Mertens, Meriel Fitzpatrick and Sophie Warny for constructive reviews that significantly improved the manuscript.</t>
  </si>
  <si>
    <t>325 CHESTNUT ST, SUITE 800, PHILADELPHIA, PA 19106 USA</t>
  </si>
  <si>
    <t>0191-6122</t>
  </si>
  <si>
    <t>Palynology</t>
  </si>
  <si>
    <t>10.1080/01916122.2012.750898</t>
  </si>
  <si>
    <t>Plant Sciences; Paleontology</t>
  </si>
  <si>
    <t>161GH</t>
  </si>
  <si>
    <t>WOS:000320180000010</t>
  </si>
  <si>
    <t>Teets, NM; Denlinger, DL</t>
  </si>
  <si>
    <t>Teets, Nicholas M.; Denlinger, David L.</t>
  </si>
  <si>
    <t>Physiological mechanisms of seasonal and rapid cold-hardening in insects</t>
  </si>
  <si>
    <t>PHYSIOLOGICAL ENTOMOLOGY</t>
  </si>
  <si>
    <t>Cold acclimation; cold tolerance; cryoprotectants; diapause; rapid cold-hardening</t>
  </si>
  <si>
    <t>HEAT-SHOCK PROTEINS; GOLDENROD GALL FLY; EUROSTA-SOLIDAGINIS DIPTERA; FAT-BODY CELLS; FLESH FLY; UP-REGULATION; DROSOPHILA-MELANOGASTER; FREEZE-TOLERANCE; GENE-EXPRESSION; ANTARCTIC MIDGE</t>
  </si>
  <si>
    <t>Insects have evolved a number of physiological mechanisms for coping with the detrimental effects of low temperature. As autumn progresses, insects use environmental signals such as shortening day lengths and gradually decreasing temperatures to trigger seasonal cold-hardening adaptations. These mechanisms include dramatic changes in biochemistry, cell function and gene expression that permit improved cell function and viability at low temperature. Insects are also capable of enhancing cold tolerance on a much shorter time scale, in a process called rapid cold-hardening (RCH). Rapid cold-hardening allows insects to improve cold tolerance almost instantaneously (i.e. within minutes to hours) to cope with sudden cold snaps and regularly-occurring diurnal drops in temperature. Initially, it was assumed that RCH would share many of the same basic mechanisms as seasonal cold-hardening, albeit on a shorter time scale. Although there is some evidence supporting this, recent work has called into question some of the original hypotheses concerning the mechanisms of RCH. Also, some mechanisms important for seasonal cold-hardening, such as up-regulation of stress proteins, are unlikely to function at the temperatures and time scales at which RCH occurs. In the present review, the current understanding of the physiological mechanisms governing both seasonal cold-hardening and RCH are summarized. A synthesis of the current literature suggests that these two forms of cold-hardening may be more mechanistically distinct than originally anticipated.</t>
  </si>
  <si>
    <t>[Teets, Nicholas M.; Denlinger, David L.] Ohio State Univ, Dept Entomol, Columbus, OH 43210 USA; [Denlinger, David L.] Ohio State Univ, Dept Ecol Evolut &amp; Organismal Biol, Columbus, OH 43210 USA</t>
  </si>
  <si>
    <t>University System of Ohio; Ohio State University; University System of Ohio; Ohio State University</t>
  </si>
  <si>
    <t>Teets, NM (corresponding author), Ohio State Univ, Dept Entomol, Aronoff Lab 300, 318W 12th Ave, Columbus, OH 43210 USA.</t>
  </si>
  <si>
    <t>teets.23@osu.edu</t>
  </si>
  <si>
    <t>Teets, Nicholas/IQT-5328-2023; Teets, Nicholas/H-7386-2013</t>
  </si>
  <si>
    <t>Teets, Nicholas/0000-0003-0963-7457</t>
  </si>
  <si>
    <t>NSF [IOS-0840772]; Direct For Biological Sciences; Division Of Integrative Organismal Systems [0840772] Funding Source: National Science Foundation</t>
  </si>
  <si>
    <t>NSF(National Science Foundation (NSF)); Direct For Biological Sciences; Division Of Integrative Organismal Systems(National Science Foundation (NSF)NSF - Directorate for Biological Sciences (BIO)NSF - Division of Integrative Organismal Systems (IOS))</t>
  </si>
  <si>
    <t>This work is supported by NSF grant IOS-0840772. We are grateful to two anonymous reviewers for their insightful comments.</t>
  </si>
  <si>
    <t>0307-6962</t>
  </si>
  <si>
    <t>1365-3032</t>
  </si>
  <si>
    <t>PHYSIOL ENTOMOL</t>
  </si>
  <si>
    <t>Physiol. Entomol.</t>
  </si>
  <si>
    <t>10.1111/phen.12019</t>
  </si>
  <si>
    <t>Entomology</t>
  </si>
  <si>
    <t>149LG</t>
  </si>
  <si>
    <t>WOS:000319320600003</t>
  </si>
  <si>
    <t>Fourquin, C; del Cerro, C; Victoria, FC; Vialette-Guiraud, A; de Oliveira, AC; Ferrándiz, C</t>
  </si>
  <si>
    <t>Fourquin, Chloe; del Cerro, Carolina; Victoria, Filipe C.; Vialette-Guiraud, Aurelie; de Oliveira, Antonio C.; Ferrandiz, Cristina</t>
  </si>
  <si>
    <t>A Change in SHATTERPROOF Protein Lies at the Origin of a Fruit Morphological Novelty and a New Strategy for Seed Dispersal in Medicago Genus</t>
  </si>
  <si>
    <t>PLANT PHYSIOLOGY</t>
  </si>
  <si>
    <t>CARPEL DEVELOPMENT; EVO-DEVO; ARABIDOPSIS; EVOLUTION; GENES; IDENTITY; INDEHISCENT; PERSPECTIVE; LEGUMINOSAE; TRUNCATULA</t>
  </si>
  <si>
    <t>Angiosperms are the most diverse and numerous group of plants, and it is generally accepted that this evolutionary success owes in part to the diversity found in fruits, key for protecting the developing seeds and ensuring seed dispersal. Although studies on the molecular basis of morphological innovations are few, they all illustrate the central role played by transcription factors acting as developmental regulators. Here, we show that a small change in the protein sequence of a MADS-box transcription factor correlates with the origin of a highly modified fruit morphology and the change in seed dispersal strategies that occurred in Medicago, a genus belonging to the large legume family. This protein sequence modification alters the functional properties of the protein, affecting the affinities for other protein partners involved in high-order complexes. Our work illustrates that variation in coding regions can generate evolutionary novelties not based on gene duplication/subfunctionalization but by interactions in complex networks, contributing also to the current debate on the relative importance of changes in regulatory or coding regions of master regulators in generating morphological novelties.</t>
  </si>
  <si>
    <t>[Fourquin, Chloe; del Cerro, Carolina; Vialette-Guiraud, Aurelie; Ferrandiz, Cristina] Univ Politecn Valencia, CSIC, Inst Biol Mol &amp; Celular Plantas, Valencia 46022, Spain; [Victoria, Filipe C.; de Oliveira, Antonio C.] Univ Fed Pelotas, Fac Agron Eliseu Maciel, Plant Genom &amp; Breeding Ctr, BR-96010900 Pelotas, RS, Brazil; [Victoria, Filipe C.] Univ Fed Pampa, Natl Inst Antarctic Sci &amp; Technol Environm Res, Antarctic Studies Plant Core, BR-97300000 Sao Gabriel, RS, Brazil</t>
  </si>
  <si>
    <t>Consejo Superior de Investigaciones Cientificas (CSIC); Universitat Politecnica de Valencia; CSIC-UPV - Instituto de Biologia Molecular y Celular de Plantas (IBMCP); Universidade Federal de Pelotas; Universidade Federal do Pampa</t>
  </si>
  <si>
    <t>Ferrándiz, C (corresponding author), Univ Politecn Valencia, CSIC, Inst Biol Mol &amp; Celular Plantas, Valencia 46022, Spain.</t>
  </si>
  <si>
    <t>cferrandiz@ibmcp.upv.es</t>
  </si>
  <si>
    <t>Victoria, Filipe C/E-1890-2012; Victoria, Filipe/F-6066-2013; Oliveira, Antonio/K-5923-2019; Ferrandiz, Cristina/E-6280-2015</t>
  </si>
  <si>
    <t>Victoria, Filipe/0000-0002-8580-1813; Oliveira, Antonio/0000-0001-8835-8071; Ferrandiz, Cristina/0000-0002-2460-1068</t>
  </si>
  <si>
    <t>Spanish Ministerio de Ciencia e Innovacion [BIO2009-09920]; European Union [FP7-PEOPLE-PIRSES-2009-247589]; Spanish Ministerio de Ciencia e Innovacion</t>
  </si>
  <si>
    <t>Spanish Ministerio de Ciencia e Innovacion(Instituto de Salud Carlos IIISpanish Government); European Union(European Union (EU)); Spanish Ministerio de Ciencia e Innovacion(Instituto de Salud Carlos IIISpanish Government)</t>
  </si>
  <si>
    <t>This work was supported by the Spanish Ministerio de Ciencia e Innovacion (grant no. BIO2009-09920 to C.Fe.), the European Union (grant no. FP7-PEOPLE-PIRSES-2009-247589 to C.Fe. and A.C.d.O.), and a Fellowship for Foreign Young Postdocs from the Spanish Ministerio de Ciencia e Innovacion (to C.Fo.).</t>
  </si>
  <si>
    <t>AMER SOC PLANT BIOLOGISTS</t>
  </si>
  <si>
    <t>15501 MONONA DRIVE, ROCKVILLE, MD 20855 USA</t>
  </si>
  <si>
    <t>0032-0889</t>
  </si>
  <si>
    <t>1532-2548</t>
  </si>
  <si>
    <t>PLANT PHYSIOL</t>
  </si>
  <si>
    <t>Plant Physiol.</t>
  </si>
  <si>
    <t>10.1104/pp.113.217570</t>
  </si>
  <si>
    <t>156KE</t>
  </si>
  <si>
    <t>WOS:000319819900029</t>
  </si>
  <si>
    <t>Catry, P; Poisbleau, M; Lecoq, M; Phillips, RA</t>
  </si>
  <si>
    <t>Catry, Paulo; Poisbleau, Maud; Lecoq, Miguel; Phillips, Richard A.</t>
  </si>
  <si>
    <t>Differences in the timing and extent of annual moult of black-browed albatrosses Thalassarche melanophris living in contrasting environments</t>
  </si>
  <si>
    <t>Feathers; South Georgia; Falkland Islands; Moult-breeding overlap; Stable isotopes</t>
  </si>
  <si>
    <t>STABLE-ISOTOPE ANALYSES; DIOMEDEA-MELANOPHRIS; BREEDING BIOLOGY; STRATEGIES; MIGRATION; SEX; TRADEOFFS; LATITUDE</t>
  </si>
  <si>
    <t>Moult entails costs related to the acquisition of energy and nutrients necessary for feather synthesis, as well as the impact of reduced flight performance induced by gaps in the wing plumage. Variation in moult strategies within and between populations may convey valuable information on energetic trade-offs and other responses to differing environmental constraints. We studied the moult strategies of two populations of a pelagic seabird, the black-browed albatross Thalassarche melanophris, nesting in contrasting environments. According to conventional wisdom, it is exceptional for albatrosses (Diomedeidae) to moult while breeding. Here we show that black-browed albatrosses breeding on the Falklands regularly moult primaries, tail and body feathers during chick-rearing, and the majority of those at South Georgia show some body feather moult in late chick-rearing. The greater moult-breeding overlap at the Falklands allows the birds to annually renew more primary feathers than their counterparts at South Georgia. The results of the present paper, pooled with other evidence, suggest that black-browed albatrosses from South Georgia face a more challenging environment during reproduction. They also serve to warn against the uncritical acceptance of conventional ideas about moult patterns when using feathers to study the ecology of seabirds and other migrants for which there is scant information at particular stages of the annual cycle.</t>
  </si>
  <si>
    <t>[Catry, Paulo; Lecoq, Miguel] ISPA, Ecoethol Res Unit, P-1149041 Lisbon, Portugal; [Catry, Paulo; Lecoq, Miguel] Univ Lisbon, Museu Nacl Hist Nat Ciencia, P-1250102 Lisbon, Portugal; [Poisbleau, Maud] Univ Antwerp, Dept Biol, B-2610 Antwerp, Belgium; [Phillips, Richard A.] British Antarctic Survey, Nat Environm Res Council, Cambridge CB3 0ET, England</t>
  </si>
  <si>
    <t>Instituto Superior Psicologia Aplicada (ISPA); Universidade de Lisboa; University of Antwerp; UK Research &amp; Innovation (UKRI); Natural Environment Research Council (NERC); NERC British Antarctic Survey</t>
  </si>
  <si>
    <t>Catry, P (corresponding author), ISPA, Ecoethol Res Unit, Rua Jardim do Tabaco 34, P-1149041 Lisbon, Portugal.</t>
  </si>
  <si>
    <t>Poisbleau, Maud/B-9968-2014; Catry, Paulo/I-5408-2013</t>
  </si>
  <si>
    <t>Catry, Paulo/0000-0003-3000-0522</t>
  </si>
  <si>
    <t>Fundacao para a Ciencia e a Tecnologia (FCT-Portugal) [PTDC/MAR/099366/2008, PEst-OE/MAR/UI0331/2011]; Falkland Islands Government; NERC [bas0100025] Funding Source: UKRI; Natural Environment Research Council [bas0100025] Funding Source: researchfish; Fundação para a Ciência e a Tecnologia [PTDC/MAR/099366/2008] Funding Source: FCT</t>
  </si>
  <si>
    <t>Fundacao para a Ciencia e a Tecnologia (FCT-Portugal)(Fundacao para a Ciencia e a Tecnologia (FCT)); Falkland Islands Government; NERC(UK Research &amp; Innovation (UKRI)Natural Environment Research Council (NERC)); Natural Environment Research Council(UK Research &amp; Innovation (UKRI)Natural Environment Research Council (NERC)); Fundação para a Ciência e a Tecnologia(Fundacao para a Ciencia e a Tecnologia (FCT))</t>
  </si>
  <si>
    <t>We are grateful to the many fieldworkers who assisted with the study, particularly Rafael Matias (who first noted the moult-breeding overlap on New Island), Ana Almeida, Jose Pedro Granadeiro, Ruth Brown and Jennifer James. The New Island Conservation Trust supported field studies on their New Island reserve. This study was financed by Fundacao para a Ciencia e a Tecnologia (FCT-Portugal) through Project PTDC/MAR/099366/2008 and project PEst-OE/MAR/UI0331/2011. Formal permits and further financial support were received from the Falkland Islands Government. Ian, Maria and Georgina Strange provided important support in the field and in Stanley.</t>
  </si>
  <si>
    <t>10.1007/s00300-013-1309-5</t>
  </si>
  <si>
    <t>WOS:000318722600008</t>
  </si>
  <si>
    <t>Southwell, C; McKinlay, J; Low, M; Wilson, D; Newbery, K; Lieser, JL; Emmerson, L</t>
  </si>
  <si>
    <t>Southwell, Colin; McKinlay, John; Low, Matt; Wilson, David; Newbery, Kym; Lieser, Jan L.; Emmerson, Louise</t>
  </si>
  <si>
    <t>New methods and technologies for regional-scale abundance estimation of land-breeding marine animals: application to Ad,lie penguin populations in East Antarctica</t>
  </si>
  <si>
    <t>Bootstrap estimation; Detection bias; Distance sampling; Photography; Remotely operating cameras; Sample designs</t>
  </si>
  <si>
    <t>ADELIE PENGUINS; TERRE ADELIE; VARIABILITY; SEABIRDS; KRILL; SIZE; AVAILABILITY; INDICATORS; PENINSULA; CENSUS</t>
  </si>
  <si>
    <t>Land-breeding marine animals such as penguins, flying seabirds and pinnipeds are important components of marine ecosystems, and their abundance has been used extensively as an indication of ecosystem status and change. Until recently, many efforts to measure and monitor abundance of these species' groups have focussed on smaller populations and spatial scales, and efforts to account for perception bias and availability bias have been variable and often ad hoc. We describe a suite of new methods, technologies and estimation procedures for cost-effective, large-scale abundance estimation within a general estimation framework and illustrate their application on large Ad,lie penguin populations in two regions of East Antarctica. The methods include photographic sample counts, automated cameras for collecting availability data, and bootstrap estimation to adjust counts for the sampling fraction, perception bias, and availability bias, and are applicable for a range of land-breeding marine species. The methods will improve our ability to obtain population data over large spatial and population scales within tight logistic, environmental and time constraints. This first application of the methods has given new insights into the biases and uncertainties in abundance estimation for penguins and other land-breeding marine species. We provide guidelines for applying the methods in future surveys.</t>
  </si>
  <si>
    <t>[Southwell, Colin; McKinlay, John; Low, Matt; Wilson, David; Newbery, Kym; Emmerson, Louise] Australian Antarctic Div, Dept Sustainabil Environm Water Populat &amp; Communi, Kingston, Tas 7050, Australia; [Low, Matt] Swedish Univ Agr Sci, Dept Ecol, Uppsala, Sweden; [Wilson, David] Ecol &amp; Heritage Partners, Ascot Vale, Vic 3032, Australia; [Lieser, Jan L.] Antarctic Climate &amp; Ecosyst Cooperat Res Ctr, Hobart, Tas 7001, Australia</t>
  </si>
  <si>
    <t>Australian Antarctic Division; Swedish University of Agricultural Sciences; Antarctic Climate &amp; Ecosystems Cooperative Research Centre (ACE CRC)</t>
  </si>
  <si>
    <t>Southwell, C (corresponding author), Australian Antarctic Div, Dept Sustainabil Environm Water Populat &amp; Communi, 203 Channel Highway, Kingston, Tas 7050, Australia.</t>
  </si>
  <si>
    <t>Lieser, Jan/J-7157-2014; Wilson, David/E-4139-2010</t>
  </si>
  <si>
    <t>Lieser, Jan/0000-0001-6870-1311; Wilson, David/0009-0001-7050-973X; Low, Matthew/0000-0002-7345-6063; McKinlay, John/0000-0003-4858-2604</t>
  </si>
  <si>
    <t>10.1007/s00300-013-1310-z</t>
  </si>
  <si>
    <t>WOS:000318722600009</t>
  </si>
  <si>
    <t>Gutt, J; Cape, M; Dimmler, W; Fillinger, L; Isla, E; Lieb, V; Lundälv, T; Pulcher, C</t>
  </si>
  <si>
    <t>Gutt, Julian; Cape, Mattias; Dimmler, Werner; Fillinger, Laura; Isla, Enrique; Lieb, Verena; Lundalv, Tomas; Pulcher, Christian</t>
  </si>
  <si>
    <t>Shifts in Antarctic megabenthic structure after ice-shelf disintegration in the Larsen area east of the Antarctic Peninsula</t>
  </si>
  <si>
    <t>Ascidians; Ophiuroids; Population growth; Population collapse; Climate change; Interannual sea-ice dynamics; Current regime</t>
  </si>
  <si>
    <t>SOUTH-SHETLAND ISLANDS; KING GEORGE ISLAND; IMPACT; BENTHOS; ICEBERG; PREDATORS; BIOMASS</t>
  </si>
  <si>
    <t>The aim of this study was to contribute to a general understanding of the response of the Antarctic macrobenthos to environmental variability and climate-induced changes. The change in population size of selected macrobenthic organisms was investigated in the Larsen A area east of the Antarctic Peninsula in 2007 and 2011 using ROV-based imaging methods. The results were complemented by data from the Larsen B collected in 2007 to allow a conceptual reconstruction of the environment-driven changes before the period of investigation. Both Larsen areas are characterised by ice-shelf disintegration in 1995 and 2002, respectively, as well as high inter-annual variability in sea-ice cover and oceanographic conditions. In 2007 one ascidian species, Molgula pedunculata, was abundant north and south of the stripe of remaining ice shelf between Larsen A and B. Population densities decreased drastically in the Larsen A between 2007 and 2011, coincident with the decrease in Corella eumyota, another ascidian. Among the ophiuroids, the population of deposit feeders increased, while suspension feeders halved their abundance. Current measurements indicated a northward flow between the Larsen B and Larsen A, suggesting that a major physical forcing on benthic population development comes from the South. The results demonstrate that Antarctic macrobenthic populations can exhibit dramatic population dynamics. Analyses of sea-ice dynamics, salinity, temperature and surprisingly ice-shelf disintegration history, however, did not provide any clear evidence for environmental drivers underlying the apparent changes.</t>
  </si>
  <si>
    <t>[Gutt, Julian; Fillinger, Laura; Lieb, Verena; Pulcher, Christian] Alfred Wegener Inst Helmholtz Ctr Polar &amp; Marine, D-27568 Bremerhaven, Germany; [Cape, Mattias] Univ Calif San Diego, Scripps Inst Oceanog, La Jolla, CA 92037 USA; [Dimmler, Werner] Fielax Gesell Wissensch Datenverarbeitung MbH, D-27568 Bremerhaven, Germany; [Isla, Enrique] Inst Ciencies Mar CSIC, Barcelona 08003, Spain; [Lieb, Verena] Univ Kiel, D-24118 Kiel, Germany; [Lundalv, Tomas] Univ Gothenburg, Sven Loven Ctr Marine Sci, S-45296 Stromstad, Sweden; [Pulcher, Christian] Carl von Ossietzky Univ Oldenburg, Inst Biol &amp; Umweltwissensch, D-26129 Oldenburg, Germany</t>
  </si>
  <si>
    <t>Helmholtz Association; Alfred Wegener Institute, Helmholtz Centre for Polar &amp; Marine Research; University of California System; University of California San Diego; Scripps Institution of Oceanography; Consejo Superior de Investigaciones Cientificas (CSIC); CSIC - Centro Mediterraneo de Investigaciones Marinas y Ambientales (CMIMA); CSIC - Instituto de Ciencias del Mar (ICM); University of Kiel; University of Gothenburg; Carl von Ossietzky Universitat Oldenburg</t>
  </si>
  <si>
    <t>Gutt, J (corresponding author), Alfred Wegener Inst Helmholtz Ctr Polar &amp; Marine, Columbusstr, D-27568 Bremerhaven, Germany.</t>
  </si>
  <si>
    <t>julian.gutt@awi.de</t>
  </si>
  <si>
    <t>Lundälv, Tomas/O-7121-2019; Cape, Mattias/KCK-4444-2024</t>
  </si>
  <si>
    <t>Isla, Enrique/0000-0003-4959-6936; Cape, Mattias/0000-0002-5621-1128; Gutt, Julian/0000-0003-3773-9370</t>
  </si>
  <si>
    <t>US National Science Foundation (NSF) [ANT-0732983]; US National Aeronautics and Space Administration (NASA) [12-EARTH12F-0091]; US NSF Graduate Research Fellowship</t>
  </si>
  <si>
    <t>US National Science Foundation (NSF)(National Science Foundation (NSF)); US National Aeronautics and Space Administration (NASA)(National Aeronautics &amp; Space Administration (NASA)); US NSF Graduate Research Fellowship</t>
  </si>
  <si>
    <t>Thanks are due to those who made a repetitive study in such an area of very difficult accessibility possible, referees, science managers, the crew of Polarstern'' and to the experts that helped with the identification of taxa (s.l.), A. Boetius, M. Taitan, R. Sahade and C. Sands. M. Cape was funded by the US National Science Foundation (NSF) grant ANT-0732983, the US National Aeronautics and Space Administration (NASA) award 12-EARTH12F-0091 and a US NSF Graduate Research Fellowship.</t>
  </si>
  <si>
    <t>10.1007/s00300-013-1315-7</t>
  </si>
  <si>
    <t>WOS:000318722600013</t>
  </si>
  <si>
    <t>Papa, R; Parrilli, E; Sannino, F; Barbato, G; Tutino, ML; Artini, M; Selan, L</t>
  </si>
  <si>
    <t>Papa, Rosanna; Parrilli, Ermenegilda; Sannino, Filomena; Barbato, Gaetano; Tutino, Maria Luisa; Artini, Marco; Selan, Laura</t>
  </si>
  <si>
    <t>Anti-biofilm activity of the Antarctic marine bacterium Pseudoalteromonas haloplanktis TAC125</t>
  </si>
  <si>
    <t>RESEARCH IN MICROBIOLOGY</t>
  </si>
  <si>
    <t>Anti-biofilm; Staphylococcus; Pseudoalteromonas; Antarctic</t>
  </si>
  <si>
    <t>GENE; STAPHYLOCOCCI; COMMUNICATION; INHIBITION; EXPRESSION; VIRULENCE; STRATEGY</t>
  </si>
  <si>
    <t>Considering the increasing impact of bacterial biofilms on human health, industrial and food-processing activities, the interest in the development of new approaches for the prevention and treatment of adhesion and biofilm formation capabilities has increased. A viable approach should target adhesive properties without affecting bacterial vitality in order to avoid the rapid appearance of escape mutants. It is known that marine bacteria belonging to the genus Pseudoalteromonas produce compounds of biotechnological interest, including anti-biofilm molecules. Pseudoalteromonas haloplanktis TAC125 is the first Antarctic Gram-negative strain whose genome was sequenced. In this work the anti-biofilm activity of P. haloplanktis supernatant was examined on different staphylococci. Results obtained demonstrated that supernatant of P. haloplanktis, grown in static condition, inhibits biofilm of Staphylococcus epidermidis. In order to define the chemical nature of the biofilm-inhibiting compound, the supernatant was subject to various treatments. Data reported demonstrated that the biologically active component is sensible to treatment with sodium periodate suggesting its saccharidic nature. (c) 2013 Institut Pasteur. Published by Elsevier Masson SAS. All rights reserved.</t>
  </si>
  <si>
    <t>[Papa, Rosanna; Artini, Marco; Selan, Laura] Univ Roma La Sapienza, Dept Publ Hlth &amp; Infect Dis, I-00185 Rome, Italy; [Parrilli, Ermenegilda; Sannino, Filomena; Tutino, Maria Luisa] Univ Naples Federico II, Dept Chem Sci, I-80126 Naples, Italy; [Sannino, Filomena] CNR, Inst Prot Biochem, I-80131 Naples, Italy; [Barbato, Gaetano] Univ Roma Tor Vergata, Dept Sci &amp; Chem Technol, I-00133 Rome, Italy</t>
  </si>
  <si>
    <t>Sapienza University Rome; University of Naples Federico II; Consiglio Nazionale delle Ricerche (CNR); Istituto di Biochimica delle Proteine (IBP-CNR); University of Rome Tor Vergata</t>
  </si>
  <si>
    <t>Selan, L (corresponding author), Univ Roma La Sapienza, Dept Publ Hlth &amp; Infect Dis, Piazzale Aldo Moro 5, I-00185 Rome, Italy.</t>
  </si>
  <si>
    <t>rosanna.papa@uniroma1.it; erparril@unina.it; mena.10@libero.it; barbato.g@fastwebnet.it; tutino@unina.it; marco.artini@uniroma1.it; laura.selan@uniroma1.it</t>
  </si>
  <si>
    <t>TUTINO, MARIA LUISA/L-1834-2013; parrilli, ermenegilda/JAZ-0586-2023; Barbato, Gaetano/G-4904-2011; parrilli, ermenegilda/K-4616-2016</t>
  </si>
  <si>
    <t>Barbato, Gaetano/0000-0001-9840-6858; parrilli, ermenegilda/0000-0002-9002-5409; Tutino, Maria Luisa/0000-0002-4978-6839; Sannino, Filomena/0000-0002-3013-8321</t>
  </si>
  <si>
    <t>P.N.R.A. (Programma Nazionale di Ricerche in Antartide); Pharmasea PF7</t>
  </si>
  <si>
    <t>This work was supported by P.N.R.A. (Programma Nazionale di Ricerche in Antartide 2009-2011) and by Pharmasea PF7 2012-16.</t>
  </si>
  <si>
    <t>0923-2508</t>
  </si>
  <si>
    <t>1769-7123</t>
  </si>
  <si>
    <t>RES MICROBIOL</t>
  </si>
  <si>
    <t>Res. Microbiol.</t>
  </si>
  <si>
    <t>10.1016/j.resmic.2013.01.010</t>
  </si>
  <si>
    <t>171CX</t>
  </si>
  <si>
    <t>WOS:000320903800010</t>
  </si>
  <si>
    <t>van Sebille, E; Spence, P; Mazloff, MR; England, MH; Rintoul, SR; Saenko, OA</t>
  </si>
  <si>
    <t>van Sebille, Erik; Spence, Paul; Mazloff, Matthew R.; England, Matthew H.; Rintoul, Stephen R.; Saenko, Oleg A.</t>
  </si>
  <si>
    <t>Abyssal connections of Antarctic Bottom Water in a Southern Ocean State Estimate</t>
  </si>
  <si>
    <t>Antarctic Bottom Water; deep ocean circulation; Southern Ocean; Lagrangian trajectories</t>
  </si>
  <si>
    <t>THERMOHALINE CIRCULATION; SEA; ATLANTIC; MODEL; DEEP</t>
  </si>
  <si>
    <t>Antarctic Bottom Water (AABW) is formed in a few locations around the Antarctic continent, each source with distinct temperature and salinity. After formation, the different AABW varieties cross the Southern Ocean and flow into the subtropical abyssal basins. It is shown here, using the analysis of Lagrangian trajectories within the Southern Ocean State Estimate (SOSE) model, that the pathways of the different sources of AABW have to a large extent amalgamated into one pathway by the time it reaches 31 degrees S in the deep subtropical basins. The Antarctic Circumpolar Current appears to play an important role in the amalgamation, as 70% of the AABW completes at least one circumpolar loop before reaching the subtropical basins. This amalgamation of AABW pathways suggests that on decadal to centennial time scales, changes to properties and formation rates in any of the AABW source regions will be conveyed to all three subtropical abyssal basins.</t>
  </si>
  <si>
    <t>[van Sebille, Erik; Spence, Paul; England, Matthew H.; Saenko, Oleg A.] Univ New S Wales, ARC Ctr Excellence Climate Syst Sci, Sydney, NSW, Australia; [van Sebille, Erik; Spence, Paul; England, Matthew H.; Saenko, Oleg A.] Univ New S Wales, Climate Change Res Ctr, Sydney, NSW, Australia; [Mazloff, Matthew R.] Univ Calif San Diego, Scripps Inst Oceanog, La Jolla, CA 92093 USA; [Rintoul, Stephen R.] Ctr Australian Weather &amp; Climate Res, Hobart, Tas, Australia; [Rintoul, Stephen R.] Univ Tasmania, Antarctic Climate &amp; Ecosyst Cooperat Res Ctr, Hobart, Tas, Australia; [Rintoul, Stephen R.] CSIRO, Wealth Oceans Natl Res Flagship, Hobart, Tas, Australia; [Saenko, Oleg A.] Environm Canada, Canadian Ctr Climate Modelling &amp; Anal, Victoria, BC, Canada</t>
  </si>
  <si>
    <t>ARC Centre of Excellence for Climate System Science; University of New South Wales Sydney; University of New South Wales Sydney; University of California System; University of California San Diego; Scripps Institution of Oceanography; Commonwealth Scientific &amp; Industrial Research Organisation (CSIRO); University of Tasmania; Antarctic Climate &amp; Ecosystems Cooperative Research Centre (ACE CRC); Commonwealth Scientific &amp; Industrial Research Organisation (CSIRO); Environment &amp; Climate Change Canada; Canadian Centre for Climate Modelling &amp; Analysis (CCCma)</t>
  </si>
  <si>
    <t>van Sebille, E (corresponding author), Univ New S Wales, ARC Ctr Excellence Climate Syst Sci, Sydney, NSW, Australia.</t>
  </si>
  <si>
    <t>e.vansebille@unsw.edu.au</t>
  </si>
  <si>
    <t>Spence, Paul/IZE-7366-2023; Rintoul, Stephen R/A-1471-2012; Mazloff, Matthew/AAG-6463-2019; van Sebille, Erik/F-6781-2010; England, Matthew/A-7539-2011</t>
  </si>
  <si>
    <t>Spence, Paul/0000-0001-5156-2204; Rintoul, Stephen R/0000-0002-7055-9876; Mazloff, Matthew/0000-0002-1650-5850; England, Matthew/0000-0001-9696-2930; van Sebille, Erik/0000-0003-2041-0704</t>
  </si>
  <si>
    <t>Australian Research Council [DE130101336, FL100100214, CE110001028]; Australian Government's Cooperative Research Centres Program, through the Antarctic Climate and Ecosystems Cooperative Research Centre (ACE CRC); Department of Climate Change and Energy Efficiency through the Australian Climate Change Science Program; NSF XSEDE [MCA06N007]; Australian Research Council [FL100100214] Funding Source: Australian Research Council; Directorate For Geosciences; Office of Polar Programs (OPP) [0961218] Funding Source: National Science Foundation; Division Of Ocean Sciences; Directorate For Geosciences [1234473] Funding Source: National Science Foundation</t>
  </si>
  <si>
    <t>Australian Research Council(Australian Research Council); Australian Government's Cooperative Research Centres Program, through the Antarctic Climate and Ecosystems Cooperative Research Centre (ACE CRC)(Australian GovernmentDepartment of Industry, Innovation and ScienceCooperative Research Centres (CRC) Programme); Department of Climate Change and Energy Efficiency through the Australian Climate Change Science Program; NSF XSEDE(National Science Foundation (NSF)); Australian Research Council(Australian Research Council); Directorate For Geosciences; Office of Polar Programs (OPP)(National Science Foundation (NSF)NSF - Directorate for Geosciences (GEO)); Division Of Ocean Sciences; Directorate For Geosciences(National Science Foundation (NSF)NSF - Directorate for Geosciences (GEO))</t>
  </si>
  <si>
    <t>This project was supported by the Australian Research Council via grants DE130101336, FL100100214, and CE110001028. This work was also supported in part by the Australian Government's Cooperative Research Centres Program, through the Antarctic Climate and Ecosystems Cooperative Research Centre (ACE CRC), and by the Department of Climate Change and Energy Efficiency through the Australian Climate Change Science Program. Computational resources for the SOSE were provided by NSF XSEDE resource grant MCA06N007. We thank Gregory C. Johnson for providing data on the partitioning of AABW volumes in the three basins and suggestions on how to improve the manuscript.</t>
  </si>
  <si>
    <t>MAY 28</t>
  </si>
  <si>
    <t>10.1002/grl.50483</t>
  </si>
  <si>
    <t>277SS</t>
  </si>
  <si>
    <t>WOS:000328840200052</t>
  </si>
  <si>
    <t>Urakawa, LS; Saenz, JA; Hogg, AM</t>
  </si>
  <si>
    <t>Urakawa, L. S.; Saenz, J. A.; Hogg, A. M.</t>
  </si>
  <si>
    <t>Available potential energy gain from mixing due to the nonlinearity of the equation of state in a global ocean model</t>
  </si>
  <si>
    <t>meridional overturning circulation; available potential energy; nonlinearity of the equation of state; ocean general circulation model; the Southern Ocean</t>
  </si>
  <si>
    <t>ANTARCTIC BOTTOM WATER; THERMOHALINE CIRCULATION; SOUTHERN-OCEAN; ENERGETICS; DENSITY</t>
  </si>
  <si>
    <t>Densification in the ocean interior upon mixing at high latitudes, due to the nonlinear equation of state (EoS) of seawater, enhances the meridional overturning circulation (MOC). However, recent calculations using numerical simulations of global ocean circulation have shown that the nonlinearity of the EoS leads to a sink of gravitational potential energy (PE), from which one might infer that there is less energy available to be released to the MOC. Here the available PE (APE) budget of the global ocean is investigated using a numerical model with a nonlinear EoS under a realistic configuration. The results show that, while the nonlinearity of the EoS leads to a loss of gravitational PE, it is a source of APE. For the model used in this study, nonlinearity of the EoS is as significant as surface buoyancy forcing in generating APE.</t>
  </si>
  <si>
    <t>[Urakawa, L. S.] Univ Tokyo, Atmosphere &amp; Ocean Res Inst, Kashiwa, Chiba, Japan; [Saenz, J. A.; Hogg, A. M.] Australian Natl Univ, Res Sch Earth Sci, Canberra, ACT, Australia; [Hogg, A. M.] Australian Natl Univ, ARC Ctr Excellence Climate Syst Sci, Canberra, ACT, Australia</t>
  </si>
  <si>
    <t>University of Tokyo; Australian National University; ARC Centre of Excellence for Climate System Science; Australian National University</t>
  </si>
  <si>
    <t>Urakawa, LS (corresponding author), Univ Tokyo, Atmosphere &amp; Ocean Res Inst, 5-1-5 Kashiwanoha, Kashiwa, Chiba, Japan.</t>
  </si>
  <si>
    <t>surakawa@aori.u-tokyo.ac.jp</t>
  </si>
  <si>
    <t>Hogg, Andy McC./A-7553-2011; Hogg, Andy/AAZ-8733-2021</t>
  </si>
  <si>
    <t>Hogg, Andy McC./0000-0001-5898-7635; Hogg, Andy/0000-0001-5898-7635; Urakawa, Shogo/0000-0001-8087-3239</t>
  </si>
  <si>
    <t>Overseas Internship Program for Outstanding Young Earth and Planetary Researchers, Department of Earth and Planetary Science, the University of Tokyo; Australian Research Council [DPO986244]; ARC Center of Excellence for Climate System Science [CE11E0098]</t>
  </si>
  <si>
    <t>Overseas Internship Program for Outstanding Young Earth and Planetary Researchers, Department of Earth and Planetary Science, the University of Tokyo; Australian Research Council(Australian Research Council); ARC Center of Excellence for Climate System Science(Australian Research Council)</t>
  </si>
  <si>
    <t>This work was carried out during a visit by L.S.U. to ANU, supported by the Overseas Internship Program for Outstanding Young Earth and Planetary Researchers, Department of Earth and Planetary Science, the University of Tokyo. J.A.S. and A.M.H. were supported by Australian Research Council grant DPO986244, and A.M.H. was supported by the ARC Center of Excellence for Climate System Science (CE11E0098). Numerical computations were conducted using SR16000 at Information Technology Center, University of Tokyo. Our thanks go to Andreas Klocker, Fabien Roquet, Remi Tailleux, Trevor McDougall, and an anonymous reviewer, whose comments helped to improve the first draft of this paper.</t>
  </si>
  <si>
    <t>10.1002/grl.50508</t>
  </si>
  <si>
    <t>WOS:000328840200060</t>
  </si>
  <si>
    <t>Hobbs, WR; Willis, JK</t>
  </si>
  <si>
    <t>Hobbs, William R.; Willis, Joshua K.</t>
  </si>
  <si>
    <t>Detection of an observed 135 year ocean temperature change from limited data</t>
  </si>
  <si>
    <t>Ocean observation; Climate change; Detection and Attribution; Sea level rise</t>
  </si>
  <si>
    <t>PART I</t>
  </si>
  <si>
    <t>Recent work comparing historical hydrographic data with modern Argo observations shows a long-term change in the global ocean temperature. The magnitude of this change is greater than estimates of late 20(th) century warming, and implies a century-scale change in the global oceans. Using global coupled climate models from the Coupled Model Intercomparison Project Phase 5 suite of simulations, we assess to what extent this observed temperature difference can be attributed to a genuine long-term warming trend. After accounting for natural variability and sampling errors, we find convincing evidence that there has indeed been a century-scale anthropogenic warming of the global ocean up to the present day, and a strong possibility of anthropogenic warming from 1873 to 1955. The estimated 1873-1955 ocean warming implies a net top-of-atmosphere energy imbalance of 0.10.06 Wm(-2), and a thermosteric global mean sea level rise of 0.500.2 mma(-1).</t>
  </si>
  <si>
    <t>[Hobbs, William R.] Univ Tasmania, Inst Marine &amp; Antarctic Sci, Hobart, Tas 7001, Australia; [Willis, Joshua K.] CALTECH, Jet Prop Lab, Pasadena, CA USA</t>
  </si>
  <si>
    <t>University of Tasmania; National Aeronautics &amp; Space Administration (NASA); NASA Jet Propulsion Laboratory (JPL); California Institute of Technology</t>
  </si>
  <si>
    <t>Hobbs, WR (corresponding author), Univ Tasmania, Inst Marine &amp; Antarctic Sci, Private Bag 129, Hobart, Tas 7001, Australia.</t>
  </si>
  <si>
    <t>whobbs@utas.edu.au</t>
  </si>
  <si>
    <t>Willis, Josh/AGY-7817-2022; Hobbs, Will/P-8094-2019</t>
  </si>
  <si>
    <t>Hobbs, Will/0000-0002-2061-0899</t>
  </si>
  <si>
    <t>National Aeronautics and Space Administration; Australian Research Council Centre of Excellence for Climate System Science [CE110001028]</t>
  </si>
  <si>
    <t>National Aeronautics and Space Administration(National Aeronautics &amp; Space Administration (NASA)); Australian Research Council Centre of Excellence for Climate System Science(Australian Research Council)</t>
  </si>
  <si>
    <t>The authors wish to thank two anonymous reviewers for their helpful suggestions on improving this manuscript. This work was carried out in part at the Jet Propulsion Laboratory, California Institute of Technology under a contract with the National Aeronautics and Space Administration, and supported in part by the Australian Research Council Centre of Excellence for Climate System Science (grant CE110001028).</t>
  </si>
  <si>
    <t>10.1002/grl.50370</t>
  </si>
  <si>
    <t>WOS:000328840200065</t>
  </si>
  <si>
    <t>Gillett, NP; Fyfe, JC; Parker, DE</t>
  </si>
  <si>
    <t>Gillett, Nathan P.; Fyfe, John C.; Parker, David E.</t>
  </si>
  <si>
    <t>Attribution of observed sea level pressure trends to greenhouse gas, aerosol, and ozone changes</t>
  </si>
  <si>
    <t>detection; attribution; sea level pressure; ozone; aerosol; SLP</t>
  </si>
  <si>
    <t>HEMISPHERE CLIMATE-CHANGE; SOUTHERN ANNULAR MODE; CIRCULATION; SIMULATION</t>
  </si>
  <si>
    <t>Human influence on atmospheric sea level pressure (SLP) has previously been detected globally, but the contributions of greenhouse gas, aerosol, and ozone changes to the observed trends have not been separately identified. We use simulations from eight climate models to show that greenhouse gas, aerosol, and ozone changes each drive distinct seasonal and geographical patterns of trends, which are separately detectable in observed seasonal SLP trends over the 1951-2011 period. This detection is driven by significant low-latitude SLP responses to greenhouse gas, aerosol, and ozone changes, as well as the more frequently-studied high latitude responses. These results aid in understanding past atmospheric circulation changes, and have potential to improve projections of future circulation changes.</t>
  </si>
  <si>
    <t>[Gillett, Nathan P.; Fyfe, John C.] Environm Canada, Canadian Ctr Climate Modelling &amp; Anal, Victoria, BC, Canada; [Parker, David E.] Met Off Hadley Ctr, Exeter, Devon, England</t>
  </si>
  <si>
    <t>Environment &amp; Climate Change Canada; Canadian Centre for Climate Modelling &amp; Analysis (CCCma); Met Office - UK; Hadley Centre</t>
  </si>
  <si>
    <t>Gillett, NP (corresponding author), Univ Victoria, Environm Canada, Canadian Ctr Climate Modelling &amp; Anal, STN CSC, PO 1700, Victoria, BC V8W 3V6, Canada.</t>
  </si>
  <si>
    <t>nathan.gillett@ec.gc.ca</t>
  </si>
  <si>
    <t>Joint DECC/Defra Met Office Hadley Centre Climate Programme, UK [GA01101]; U.S. Department of Energy, Office of Science Innovative and Novel Computational Impact on Theory and Experiment (DOE INCITE) program; Office of Biological and Environmental Research (BER); National Oceanic and Atmospheric Administration Climate Program Office</t>
  </si>
  <si>
    <t>Joint DECC/Defra Met Office Hadley Centre Climate Programme, UK; U.S. Department of Energy, Office of Science Innovative and Novel Computational Impact on Theory and Experiment (DOE INCITE) program(United States Department of Energy (DOE)); Office of Biological and Environmental Research (BER); National Oceanic and Atmospheric Administration Climate Program Office(National Oceanic Atmospheric Admin (NOAA) - USA)</t>
  </si>
  <si>
    <t>We thank Gareth Marshall (British Antarctic Survey) for providing station sea level pressure data. D.E.P. was supported by the Joint DECC/Defra Met Office Hadley Centre Climate Programme (GA01101), UK. Support for the Twentieth Century Reanalysis Project was provided by the U.S. Department of Energy, Office of Science Innovative and Novel Computational Impact on Theory and Experiment (DOE INCITE) program, and Office of Biological and Environmental Research (BER), and by the National Oceanic and Atmospheric Administration Climate Program Office. N.P.G. carried out the analysis and wrote the paper. J.C.F. provided advice and input on the analysis and interpretation of the results. D.E.P. developed the HadSLP2r_lowvar dataset used in this analysis.</t>
  </si>
  <si>
    <t>10.1002/grl.50500</t>
  </si>
  <si>
    <t>WOS:000328840200073</t>
  </si>
  <si>
    <t>Holland, MM; Blanchard-Wrigglesworth, E; Kay, J; Vavrus, S</t>
  </si>
  <si>
    <t>Holland, Marika M.; Blanchard-Wrigglesworth, Edward; Kay, Jennifer; Vavrus, Steven</t>
  </si>
  <si>
    <t>Initial-value predictability of Antarctic sea ice in the Community Climate System Model 3</t>
  </si>
  <si>
    <t>predictability; sea ice; Antarctic</t>
  </si>
  <si>
    <t>CIRCUMPOLAR WAVE; CCSM3; WIND</t>
  </si>
  <si>
    <t>We assess initial-value predictability characteristics of Antarctic sea ice from climate simulations. The integrations are initialized on 1 January with identical ice-ocean-terrestrial conditions and integrated forward for two years. We find that the initialized ice-ocean state provides predictive capability on the ice-edge location around Antarctica for the first several months of integration. During the ice advance season from April to September, significant predictability is retained in some locations with an eastward propagating signal. This is consistent with previous work suggesting the advection of sea ice anomalies with the mean ocean circulation. The ice-edge predictability is then generally lost during the ice retreat season after October. However, predictability reemerges during the next year's ice advance starting around June in some locations. This reemergence is associated with ocean heat content anomalies that are retained at depth during the austral summer and resurface during the following autumn as the ocean mixed layers deepen.</t>
  </si>
  <si>
    <t>[Holland, Marika M.; Kay, Jennifer] Natl Ctr Atmospher Res, Boulder, CO 80307 USA; [Blanchard-Wrigglesworth, Edward] Univ Washington, Seattle, WA 98195 USA; [Vavrus, Steven] Univ Wisconsin, Madison, WI USA</t>
  </si>
  <si>
    <t>National Center Atmospheric Research (NCAR) - USA; University of Washington; University of Washington Seattle; University of Wisconsin System; University of Wisconsin Madison</t>
  </si>
  <si>
    <t>Holland, MM (corresponding author), Natl Ctr Atmospher Res, POB 3000, Boulder, CO 80307 USA.</t>
  </si>
  <si>
    <t>mholland@ucar.edu</t>
  </si>
  <si>
    <t>KAY, JENNIFER/C-6042-2012</t>
  </si>
  <si>
    <t>KAY, JENNIFER/0000-0002-3625-5377; Holland, Marika/0000-0001-5621-8939</t>
  </si>
  <si>
    <t>National Science Foundation; Directorate For Geosciences; Office of Polar Programs (OPP) [0909313] Funding Source: National Science Foundation</t>
  </si>
  <si>
    <t>National Science Foundation(National Science Foundation (NSF)); Directorate For Geosciences; Office of Polar Programs (OPP)(National Science Foundation (NSF)NSF - Directorate for Geosciences (GEO))</t>
  </si>
  <si>
    <t>The National Center for Atmospheric Research is sponsored by the National Science Foundation.</t>
  </si>
  <si>
    <t>10.1002/grl.50410</t>
  </si>
  <si>
    <t>WOS:000328840200042</t>
  </si>
  <si>
    <t>Park, JW; Gourmelen, N; Shepherd, A; Kim, SW; Vaughan, DG; Wingham, DJ</t>
  </si>
  <si>
    <t>Park, J. W.; Gourmelen, N.; Shepherd, A.; Kim, S. W.; Vaughan, D. G.; Wingham, D. J.</t>
  </si>
  <si>
    <t>Sustained retreat of the Pine Island Glacier</t>
  </si>
  <si>
    <t>Antarctica; InSAR</t>
  </si>
  <si>
    <t>ANTARCTIC ICE-SHEET; GREENLAND; MODEL</t>
  </si>
  <si>
    <t>We use satellite observations to show that, between 1992 and 2011, the Pine Island Glacier hinge line retreated at a rate of 0.950.09 km yr(-1) despite a progressive steepening and shoaling of the glacier surface and bedrock slopes, respectively, which ought to impede retreat. The retreat has remained constant because the glacier terminus has thinned at an accelerating rate of 0.530.15 m yr(-2), with comparable changes upstream. This acceleration is consistent with an intensification of ocean-driven melting in the cavity beneath the floating section of the glacier. The pattern of hinge-line retreat meanders and is concentrated in isolated regions until ice becomes locally buoyant. Because the glacier-ocean system does not appear to have reached a position of relative stability, the lower limit of sea level projections may be too conservative.</t>
  </si>
  <si>
    <t>[Park, J. W.; Shepherd, A.] Univ Leeds, Sch Earth &amp; Environm, Leeds LS2 9JT, W Yorkshire, England; [Park, J. W.] Yonsei Univ, Dept Earth Syst Sci, Seoul 120749, South Korea; [Gourmelen, N.] Univ Strasbourg, Inst Phys Globe Strasbourg, Strasbourg, France; [Kim, S. W.] Sejong Univ, Dept Geoinformat Engn, Seoul, South Korea; [Vaughan, D. G.] NERC, British Antarctic Survey, Cambridge, England; [Wingham, D. J.] UCL, Dept Earth Sci, London, England</t>
  </si>
  <si>
    <t>University of Leeds; Yonsei University; Universites de Strasbourg Etablissements Associes; Universite de Strasbourg; Sejong University; UK Research &amp; Innovation (UKRI); Natural Environment Research Council (NERC); NERC British Antarctic Survey; University of London; University College London</t>
  </si>
  <si>
    <t>Shepherd, A (corresponding author), Univ Leeds, Sch Earth &amp; Environm, Leeds LS2 9JT, W Yorkshire, England.</t>
  </si>
  <si>
    <t>a.shepherd@leeds.ac.uk</t>
  </si>
  <si>
    <t>Vaughan, David/C-8348-2011</t>
  </si>
  <si>
    <t>Park, Jeong-Won/0000-0001-6122-0910; Shepherd, Andrew/0000-0002-4914-1299; Vaughan, David/0000-0002-9065-0570</t>
  </si>
  <si>
    <t>UK NERC National Centre for Earth Observation; EC ice2Sea project [145]; European Space Agency's Support to Science Element program; NERC [bas0100027] Funding Source: UKRI; Natural Environment Research Council [bas0100027] Funding Source: researchfish</t>
  </si>
  <si>
    <t>UK NERC National Centre for Earth Observation(UK Research &amp; Innovation (UKRI)Natural Environment Research Council (NERC)); EC ice2Sea project; European Space Agency's Support to Science Element program; NERC(UK Research &amp; Innovation (UKRI)Natural Environment Research Council (NERC)); Natural Environment Research Council(UK Research &amp; Innovation (UKRI)Natural Environment Research Council (NERC))</t>
  </si>
  <si>
    <t>This work was supported by the UK NERC National Centre for Earth Observation, the EC ice2Sea project (publication 145), and the European Space Agency's Support to Science Element program. A.S. designed the study. J.W.P. and N.G. developed the InSAR data. A.S. and D.J.W. developed the altimeter data. D.G.V. developed ice thickness data. A.S., J.W.P., and N.G. wrote the paper. All authors read and commented on the paper.</t>
  </si>
  <si>
    <t>10.1002/grl.50379</t>
  </si>
  <si>
    <t>WOS:000328840200045</t>
  </si>
  <si>
    <t>Chapman, SC; Stainforth, DA; Watkins, NW</t>
  </si>
  <si>
    <t>Chapman, S. C.; Stainforth, D. A.; Watkins, N. W.</t>
  </si>
  <si>
    <t>On estimating local long-term climate trends</t>
  </si>
  <si>
    <t>PHILOSOPHICAL TRANSACTIONS OF THE ROYAL SOCIETY A-MATHEMATICAL PHYSICAL AND ENGINEERING SCIENCES</t>
  </si>
  <si>
    <t>climate change; local climate sensitivity; uncertainty; prediction; impacts</t>
  </si>
  <si>
    <t>Climate sensitivity is commonly taken to refer to the equilibrium change in the annual mean global surface temperature following a doubling of the atmospheric carbon dioxide concentration. Evaluating this variable remains of significant scientific interest, but its global nature makes it largely irrelevant to many areas of climate science, such as impact assessments, and also to policy in terms of vulnerability assessments and adaptation planning. Here, we focus on local changes and on the way observational data can be analysed to inform us about how local climate has changed since the middle of the nineteenth century. Taking the perspective of climate as a constantly changing distribution, we evaluate the relative changes between different quantiles of such distributions and between different geographical locations for the same quantiles. We show how the observational data can provide guidance on trends in local climate at the specific thresholds relevant to particular impact or policy endeavours. This also quantifies the level of detail needed from climate models if they are to be used as tools to assess climate change impact. The mathematical basis is presented for two methods of extracting these local trends from the data. The two methods are compared first using surrogate data, to clarify the methods and their uncertainties, and then using observational surface temperature time series from four locations across Europe.</t>
  </si>
  <si>
    <t>[Chapman, S. C.; Stainforth, D. A.; Watkins, N. W.] Univ Warwick, Dept Phys, Coventry CV4 7AL, W Midlands, England; [Stainforth, D. A.] London Sch Econ, Grantham Inst, London WC2A 2AE, England; [Watkins, N. W.] British Antarctic Survey, Cambridge CB3 0ET, England; [Stainforth, D. A.; Watkins, N. W.] London Sch Econ, Ctr Anal Timeseries, London WC2A 2AE, England</t>
  </si>
  <si>
    <t>University of Warwick; University of London; London School Economics &amp; Political Science; UK Research &amp; Innovation (UKRI); Natural Environment Research Council (NERC); NERC British Antarctic Survey; University of London; London School Economics &amp; Political Science</t>
  </si>
  <si>
    <t>Chapman, SC (corresponding author), Univ Warwick, Dept Phys, Coventry CV4 7AL, W Midlands, England.</t>
  </si>
  <si>
    <t>s.c.chapman@warwick.ac.uk</t>
  </si>
  <si>
    <t>UK EPSRC; STFC; Centre for Climate Change Economics and Policy; ESRC; Munich Re; BAS as part of its Polar Science for Planet Earth programme; UK NERC; Economic and Social Research Council [ES/G021694/1] Funding Source: researchfish; Engineering and Physical Sciences Research Council [EP/H02395X/1, EP/D062837/1] Funding Source: researchfish; Natural Environment Research Council [NE/G015392/1, bas0100026] Funding Source: researchfish; Science and Technology Facilities Council [ST/I000720/1] Funding Source: researchfish; EPSRC [EP/H02395X/1, EP/D062837/1] Funding Source: UKRI; ESRC [ES/G021694/1] Funding Source: UKRI; NERC [bas0100026, NE/G015392/1] Funding Source: UKRI; STFC [ST/I000720/1] Funding Source: UKRI</t>
  </si>
  <si>
    <t>UK EPSRC(UK Research &amp; Innovation (UKRI)Engineering &amp; Physical Sciences Research Council (EPSRC)); STFC(UK Research &amp; Innovation (UKRI)Science &amp; Technology Facilities Council (STFC)); Centre for Climate Change Economics and Policy; ESRC(UK Research &amp; Innovation (UKRI)Economic &amp; Social Research Council (ESRC)); Munich Re; BAS as part of its Polar Science for Planet Earth programme; UK NERC(UK Research &amp; Innovation (UKRI)Natural Environment Research Council (NERC)); Economic and Social Research Council(UK Research &amp; Innovation (UKRI)Economic &amp; Social Research Council (ESRC));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 EPSRC(UK Research &amp; Innovation (UKRI)Engineering &amp; Physical Sciences Research Council (EPSRC)); ESRC(UK Research &amp; Innovation (UKRI)Economic &amp; Social Research Council (ESRC)); NERC(UK Research &amp; Innovation (UKRI)Natural Environment Research Council (NERC)); STFC(UK Research &amp; Innovation (UKRI)Science &amp; Technology Facilities Council (STFC))</t>
  </si>
  <si>
    <t>S.C.C. acknowledges support from the UK EPSRC and STFC. D.A.S. acknowledges the support of the Centre for Climate Change Economics and Policy funded by the ESRC and Munich Re. This work was supported at BAS as part of its Polar Science for Planet Earth programme funded by the UK NERC. We acknowledge the E-OBS dataset from the EU-FP6 project ENSEMBLES (http://ensembles-eu.metoffice.com) and the data providers in the ECA &amp; D project (http://eca.knmi.nl).</t>
  </si>
  <si>
    <t>1364-503X</t>
  </si>
  <si>
    <t>1471-2962</t>
  </si>
  <si>
    <t>PHILOS T R SOC A</t>
  </si>
  <si>
    <t>Philos. Trans. R. Soc. A-Math. Phys. Eng. Sci.</t>
  </si>
  <si>
    <t>10.1098/rsta.2012.0287</t>
  </si>
  <si>
    <t>125XQ</t>
  </si>
  <si>
    <t>WOS:000317575800007</t>
  </si>
  <si>
    <t>Franzke, CLE</t>
  </si>
  <si>
    <t>Franzke, Christian L. E.</t>
  </si>
  <si>
    <t>Persistent regimes and extreme events of the North Atlantic atmospheric circulation</t>
  </si>
  <si>
    <t>circulation regimes; extremes; long-range dependence; clustering</t>
  </si>
  <si>
    <t>LONG-RANGE DEPENDENCE; CLUSTER-ANALYSIS; SKEWNESS; STATISTICS; IDENTIFICATION; METASTABILITY; FLUCTUATIONS; TEMPERATURE; VARIABILITY; BLOCKING</t>
  </si>
  <si>
    <t>Society is increasingly impacted by natural hazards which cause significant damage in economic and human terms. Many of these natural hazards are weather and climate related. Here, we show that North Atlantic atmospheric circulation regimes affect the propensity of extreme wind speeds in Europe. We also show evidence that extreme wind speeds are long-range dependent, follow a generalized Pareto distribution and are serially clustered. Serial clustering means that storms come in bunches and, hence, do not occur independently. We discuss the use of waiting time distributions for extreme event recurrence estimation in serially dependent time series.</t>
  </si>
  <si>
    <t>Franzke, CLE (corresponding author), British Antarctic Survey, Madingley Rd, Cambridge CB3 0ET, England.</t>
  </si>
  <si>
    <t>chan1@bas.ac.uk</t>
  </si>
  <si>
    <t>Franzke, Christian/A-6191-2012</t>
  </si>
  <si>
    <t>Franzke, Christian/0000-0003-4111-1228</t>
  </si>
  <si>
    <t>I thank Chris Ferro and one anonymous reviewer for their helpful comments on an earlier version of this manuscript. This study is part of the British Antarctic Survey Polar Science for Planet Earth Programme. It was funded by the Natural Environment Research Council. The European Centre for Medium Range Forecasts is gratefully acknowledged for providing the ERA-40 re-analysis data.</t>
  </si>
  <si>
    <t>10.1098/rsta.2011.0471</t>
  </si>
  <si>
    <t>WOS:000317575800001</t>
  </si>
  <si>
    <t>Chan, YK; Van Nostrand, JD; Zhou, JZ; Pointing, SB; Farrell, RL</t>
  </si>
  <si>
    <t>Chan, Yuki; Van Nostrand, Joy D.; Zhou, Jizhong; Pointing, Stephen B.; Farrell, Roberta L.</t>
  </si>
  <si>
    <t>Functional ecology of an Antarctic Dry Valley</t>
  </si>
  <si>
    <t>SOUTHERN VICTORIA LAND; MICROBIAL COMMUNITIES; METAGENOMIC ANALYSIS; SOIL-MICROORGANISMS; DIVERSITY; NITROGEN; GENES; HOT; MICROARRAY; BIODIVERSITY</t>
  </si>
  <si>
    <t>The McMurdo Dry Valleys are the largest ice-free region in Antarctica and are critically at risk from climate change. The terrestrial landscape is dominated by oligotrophic mineral soils and extensive exposed rocky surfaces where biota are largely restricted to microbial communities, although their ability to perform the majority of geobiological processes has remained largely uncharacterized. Here, we identified functional traits that drive microbial survival and community assembly, using a metagenomic approach with GeoChip-based functional gene arrays to establish metabolic capabilities in communities inhabiting soil and rock surface niches in McKelvey Valley. Major pathways in primary metabolism were identified, indicating significant plasticity in autotrophic, heterotrophic, and diazotrophic strategies supporting microbial communities. This represents a major advance beyond biodiversity surveys in that we have now identified how putative functional ecology drives microbial community assembly. Significant differences were apparent between open soil, hypolithic, chasmoendolithic, and cryptoendolithic communities. A suite of previously unappreciated Antarctic microbial stress response pathways, thermal, osmotic, and nutrient limitation responses were identified and related to environmental stressors, offering tangible clues to the mechanisms behind the enduring success of microorganisms in this seemingly inhospitable terrain. Rocky substrates exposed to larger fluctuations in environmental stress supported greater functional diversity in stress-response pathways than soils. Soils comprised a unique reservoir of genes involved in transformation of organic hydrocarbons and lignin-like degradative pathways. This has major implications for the evolutionary origin of the organisms, turnover of recalcitrant substrates in Antarctic soils, and predicting future responses to anthropogenic pollution.</t>
  </si>
  <si>
    <t>[Chan, Yuki; Pointing, Stephen B.] Auckland Univ Technol, Sch Appl Sci, Inst Appl Ecol New Zealand, Auckland 1142, New Zealand; [Chan, Yuki] Hong Kong Baptist Univ, Dept Biol, Kowloon Tong 8523, Hong Kong, Peoples R China; [Van Nostrand, Joy D.; Zhou, Jizhong] Univ Oklahoma, Inst Environm Genom, Norman, OK 73019 USA; [Van Nostrand, Joy D.; Zhou, Jizhong] Univ Oklahoma, Dept Microbiol &amp; Plant Biol, Norman, OK 73019 USA; [Zhou, Jizhong] Univ Calif Berkeley, Lawrence Berkeley Natl Lab, Earth Sci Div, Berkeley, CA 94720 USA; [Zhou, Jizhong] Tsinghua Univ, Sch Environm, State Key Joint Lab Environm Simulat &amp; Pollut Con, Beijing 100084, Peoples R China; [Farrell, Roberta L.] Univ Waikato, Dept Biol Sci, Hamilton 3240, New Zealand</t>
  </si>
  <si>
    <t>Auckland University of Technology; Hong Kong Baptist University; University of Oklahoma System; University of Oklahoma - Norman; University of Oklahoma System; University of Oklahoma - Norman; University of California System; University of California Berkeley; United States Department of Energy (DOE); Lawrence Berkeley National Laboratory; Tsinghua University; University of Waikato</t>
  </si>
  <si>
    <t>Pointing, SB (corresponding author), Auckland Univ Technol, Sch Appl Sci, Inst Appl Ecol New Zealand, Auckland 1142, New Zealand.</t>
  </si>
  <si>
    <t>steve.pointing@aut.ac.nz</t>
  </si>
  <si>
    <t>Zhou, Jizhong/ACC-8029-2022; Pointing, Stephen/JHT-2500-2023; 吴, 昊/AAB-1620-2020; Van Nostrand, Joy/F-1740-2016</t>
  </si>
  <si>
    <t>Zhou, Jizhong/0000-0003-2014-0564; Chan, Yuki/0000-0002-9570-5462; Van Nostrand, Joy/0000-0001-9548-6450</t>
  </si>
  <si>
    <t>University of Waikato; Institute for Applied Ecology at Auckland University of Technology; Ecosystems and Networks Integrated with Genes and Molecular Assemblies (ENIGMA) through the US Department of Energy [DE-AC02-05CH11231]; US Department of Energy [DE-SC0004601]; US National Science Foundation [EF-1065844]</t>
  </si>
  <si>
    <t>University of Waikato; Institute for Applied Ecology at Auckland University of Technology; Ecosystems and Networks Integrated with Genes and Molecular Assemblies (ENIGMA) through the US Department of Energy; US Department of Energy(United States Department of Energy (DOE)); US National Science Foundation(National Science Foundation (NSF))</t>
  </si>
  <si>
    <t>We thank Dr. Yuan Tong for GeoChip hybridization and Brett Arenz, Joel Jurgens, and Maggie C. Y. Lau for field assistance in McKelvey Valley and helpful discussions. We also thank Jackie Aislabie, Robert Blanchette, Megan Balks, and Louis Schipper for helpful discussions. We acknowledge financial support from the Vice Chancellor's Fund of the University of Waikato and the Institute for Applied Ecology at Auckland University of Technology. Logistical and field support was provided by Antarctica New Zealand. The development of the GeoChips and associated computational pipelines used in this study was supported by Ecosystems and Networks Integrated with Genes and Molecular Assemblies (ENIGMA) through the US Department of Energy (DE-AC02-05CH11231). J. Zhou and J. D. Van Nostrand's efforts were supported by the US Department of Energy (DE-SC0004601) and the US National Science Foundation (EF-1065844).</t>
  </si>
  <si>
    <t>10.1073/pnas.1300643110</t>
  </si>
  <si>
    <t>165RC</t>
  </si>
  <si>
    <t>WOS:000320500000062</t>
  </si>
  <si>
    <t>Tastula, EM; Vihma, T; Andreas, EL; Galperin, B</t>
  </si>
  <si>
    <t>Tastula, Esa-Matti; Vihma, Timo; Andreas, Edgar L.; Galperin, Boris</t>
  </si>
  <si>
    <t>Validation of the diurnal cycles in atmospheric reanalyses over Antarctic sea ice</t>
  </si>
  <si>
    <t>reanalysis; sea ice; diurnal cycle; Antarctica</t>
  </si>
  <si>
    <t>ARCTIC BOUNDARY-LAYER; WEDDELL SEA; SYSTEM; WINTER; MODEL</t>
  </si>
  <si>
    <t>The diurnal cycles of near-surface meteorological parameters over Antarctic sea ice in six widely used atmospheric reanalyses are validated against observations from Ice Station Weddell. The station drifted from February through May 1992 and provided the most extensive set of meteorological observations ever collected in the Antarctic sea ice zone. For the radiative and turbulent surface fluxes, both the amplitude and shape of the diurnal cycles vary considerably among different reanalyses. Near-surface temperature, specific humidity, and wind speed in the reanalyses all feature small diurnal ranges, which, in most cases, fall within the uncertainties of the observed cycle. A skill score approach revealed the superiority of the ERA-Interim reanalysis in reproducing the observed diurnal cycles. An explanation for the shortcomings in the reanalyses is their failure to capture the diurnal cycle in cloud cover fraction, which leads to errors in other quantities as well. Apart from the diurnal cycles, NCEP-CFSR gave the best error statistics.</t>
  </si>
  <si>
    <t>[Tastula, Esa-Matti; Galperin, Boris] Univ S Florida, Coll Marine Sci, St Petersburg, FL 33701 USA; [Vihma, Timo] Finnish Meteorol Inst, FIN-00101 Helsinki, Finland; [Andreas, Edgar L.] NorthWest Res Associates, Lebanon, NH USA</t>
  </si>
  <si>
    <t>State University System of Florida; University of South Florida; Finnish Meteorological Institute; NorthWest Research Associates</t>
  </si>
  <si>
    <t>Tastula, EM (corresponding author), Univ S Florida, Coll Marine Sci, 830 1st St Southeast, St Petersburg, FL 33701 USA.</t>
  </si>
  <si>
    <t>tastulae@mail.usf.edu</t>
  </si>
  <si>
    <t>Vihma, Timo/ABC-9771-2020</t>
  </si>
  <si>
    <t>ARO [W911NF-09-1-0018]; Paul L. Getting Memorial Fellowship; U.S. National Science Foundation [10-19322]; NSF; Academy of Finland through the AMICO project [128533, 263918]; Division Of Polar Programs; Directorate For Geosciences [1019322] Funding Source: National Science Foundation</t>
  </si>
  <si>
    <t>ARO; Paul L. Getting Memorial Fellowship; U.S. National Science Foundation(National Science Foundation (NSF)); NSF(National Science Foundation (NSF)); Academy of Finland through the AMICO project; Division Of Polar Programs; Directorate For Geosciences(National Science Foundation (NSF)NSF - Directorate for Geosciences (GEO))</t>
  </si>
  <si>
    <t>The work of E. M. T. was partially funded by the ARO grant W911NF-09-1-0018 and the Paul L. Getting Memorial Fellowship. The U.S. National Science Foundation, through Award 10-19322, supported E.L.A.'s participation in this study. NSF also supported the data collection on Ice Station Weddell with previous awards. The Academy of Finland supported the work of T. V. through the AMICO project (contracts 128533 and 263918). We thank Aleksandr Makshtas, Kerry Claffey, and Boris Ivanov for their help in collecting and processing the data from Ice Station Weddell.</t>
  </si>
  <si>
    <t>MAY 27</t>
  </si>
  <si>
    <t>10.1002/jgrd.50336</t>
  </si>
  <si>
    <t>229NB</t>
  </si>
  <si>
    <t>WOS:000325272000019</t>
  </si>
  <si>
    <t>Burgener, L; Rupper, S; Koenig, L; Forster, R; Christensen, WF; Williams, J; Koutnik, M; Miège, C; Steig, EJ; Tingey, D; Keeler, D; Riley, L</t>
  </si>
  <si>
    <t>Burgener, Landon; Rupper, Summer; Koenig, Lora; Forster, Rick; Christensen, William F.; Williams, Jessica; Koutnik, Michelle; Miege, Clement; Steig, Eric J.; Tingey, David; Keeler, Durban; Riley, Laura</t>
  </si>
  <si>
    <t>An observed negative trend in West Antarctic accumulation rates from 1975 to 2010: Evidence from new observed and simulated records</t>
  </si>
  <si>
    <t>West Antarctica; accumulation rate; Southern Annular Mode; SAM; firn core</t>
  </si>
  <si>
    <t>SURFACE MASS-BALANCE; ICE-SHEET; SNOW ACCUMULATION; CLIMATE; PRECIPITATION; VARIABILITY; CIRCULATION; GLACIER; CO2</t>
  </si>
  <si>
    <t>Observations of snow accumulation rates from five new firn cores show a negative trend that is statistically significant over the past several decades across the central West Antarctic ice sheet (WAIS). A negative temporal trend in accumulation rates is unexpected in light of rising surface temperatures as well as model simulations predicting higher accumulation rates for the region. Both the magnitude of the mean accumulation rates and the range of interannual variability observed in the new records compare favorably to older records collected from a broad area of the WAIS, suggesting that the new data may serve as a regional proxy for recent temporal trends in West Antarctic accumulation rates. The observed negative trend in accumulation is likely the result of a shift in low-pressure systems over the Amundsen Sea region, dominated by changes in the austral fall season. Regional-scale climate models and reanalysis data do not capture the negative trend in accumulation rate observed in these firn cores. Nevertheless the models and reanalyses agree well in both accumulation-rate means and interannual variability, with no single model or dataset standing out as significantly more skilled at capturing the observed magnitude of and trend in accumulation rates in this region of the WAIS.</t>
  </si>
  <si>
    <t>[Burgener, Landon; Rupper, Summer; Christensen, William F.; Williams, Jessica; Tingey, David; Keeler, Durban; Riley, Laura] Brigham Young Univ, Dept Geol Sci, Provo, UT 84602 USA; [Koenig, Lora] NASA, Goddard Space Flight Ctr, Cryospher Sci Lab, Greenbelt, MD 20771 USA; [Forster, Rick; Miege, Clement] Univ Utah, Dept Geog, Salt Lake City, UT USA; [Koutnik, Michelle] Univ Copenhagen, Niels Bohr Inst, Ctr Ice &amp; Climate, DK-2100 Copenhagen, Denmark; [Steig, Eric J.] Univ Washington, Dept Earth &amp; Space Sci, Seattle, WA 98195 USA</t>
  </si>
  <si>
    <t>Brigham Young University; National Aeronautics &amp; Space Administration (NASA); NASA Goddard Space Flight Center; Utah System of Higher Education; University of Utah; University of Copenhagen; Niels Bohr Institute; University of Washington; University of Washington Seattle</t>
  </si>
  <si>
    <t>Rupper, S (corresponding author), Brigham Young Univ, Dept Geol Sci, S389 ESC, Provo, UT 84602 USA.</t>
  </si>
  <si>
    <t>srupper@byu.edu</t>
  </si>
  <si>
    <t>Christensen, William F/F-7216-2013; Rupper, Summer/KHD-4492-2024; Burgener, Landon/AAC-5025-2019; /G-9088-2015</t>
  </si>
  <si>
    <t>Miege, Clement/0000-0002-1894-3723; Christensen, William/0000-0002-8068-1031; /0000-0002-8191-5549; Rupper, Summer/0000-0001-8655-5282</t>
  </si>
  <si>
    <t>National Science Foundation Office of Polar Programs [094470, 0944653]; NASA's Cryospheric Sciences Program; Directorate For Geosciences; Office of Polar Programs (OPP) [0944653, 0944730] Funding Source: National Science Foundation</t>
  </si>
  <si>
    <t>National Science Foundation Office of Polar Programs(National Science Foundation (NSF)NSF - Directorate for Geosciences (GEO)); NASA's Cryospheric Sciences Program(National Aeronautics &amp; Space Administration (NASA)); Directorate For Geosciences; Office of Polar Programs (OPP)(National Science Foundation (NSF)NSF - Directorate for Geosciences (GEO))</t>
  </si>
  <si>
    <t>This work was supported by the National Science Foundation Office of Polar Programs (grant 094470 to SBR and 0944653 to RF) and NASA's Cryospheric Sciences Program (to LSK). The authors thank David Battisti and Qinghua Ding for feedback on the methods and science. The authors also thank three anonymous reviewers for constructive comments and criticisms that significantly improved the manuscript.</t>
  </si>
  <si>
    <t>10.1002/jgrd.50362</t>
  </si>
  <si>
    <t>WOS:000325272000020</t>
  </si>
  <si>
    <t>Toohey, M; Krüger, K; Timmreck, C</t>
  </si>
  <si>
    <t>Toohey, Matthew; Krueger, Kirstin; Timmreck, Claudia</t>
  </si>
  <si>
    <t>Volcanic sulfate deposition to Greenland and Antarctica: A modeling sensitivity study</t>
  </si>
  <si>
    <t>volcanic eruptions; ice cores; sulfate aerosol; sulfate deposition; aerosol transport</t>
  </si>
  <si>
    <t>STRATOSPHERE-TROPOSPHERE EXCHANGE; EXPLOSIVE VOLCANISM; ICE CORES; EAST ANTARCTICA; DOME-C; ERUPTION; PINATUBO; RECORD; SIMULATIONS; RESOLUTION</t>
  </si>
  <si>
    <t>Reconstructions of the atmospheric sulfate aerosol burdens resulting from past volcanic eruptions are based on ice core-derived estimates of volcanic sulfate deposition and the assumption that the two quantities are directly proportional. We test this assumption within simulations of tropical volcanic stratospheric sulfur injections with the MAECHAM5-HAM aerosol-climate model. An ensemble of 70 simulations is analyzed, with SO2 injections ranging from 8.5 to 700Tg, with eruptions in January and July. Modeled sulfate deposition flux to Antarctica shows excellent spatial correlation with ice core-derived estimates for Pinatubo and Tambora, although the comparison suggests the modeled flux to the ice sheets is 4-5 times too large. We find that Greenland and Antarctic deposition efficiencies (the ratio of sulfate flux to each ice sheet to the maximum hemispheric stratospheric sulfate aerosol burden) vary as a function of the magnitude and season of stratospheric sulfur injection. Changes in simulated sulfate deposition for large SO2 injections are connected to increases in aerosol particle size, which impact aerosol sedimentation velocity and radiative properties, the latter leading to strong dynamical changes including strengthening of the winter polar vortices, which inhibits the transport of stratospheric aerosols to high latitudes. The resulting relationship between Antarctic and Greenland volcanic sulfate deposition is nonlinear for very large eruptions, with significantly less sulfate deposition to Antarctica than to Greenland. These model results suggest that variability of deposition efficiency may be an important consideration in the interpretation of ice core sulfate signals for eruptions of Tambora-magnitude and larger.</t>
  </si>
  <si>
    <t>[Toohey, Matthew; Krueger, Kirstin] GEOMAR Helmholtz Ctr Ocean Res Kiel, Kiel, Germany; [Timmreck, Claudia] Max Planck Inst Meteorol, D-20146 Hamburg, Germany</t>
  </si>
  <si>
    <t>Helmholtz Association; GEOMAR Helmholtz Center for Ocean Research Kiel; Max Planck Society</t>
  </si>
  <si>
    <t>Toohey, M (corresponding author), GEOMAR Helmholtz Ctr Ocean Res Kiel, Kiel, Germany.</t>
  </si>
  <si>
    <t>mtoohey@geomar.de</t>
  </si>
  <si>
    <t>Toohey, Matthew/AAL-1896-2021; Toohey, Matthew/G-3129-2010</t>
  </si>
  <si>
    <t>Toohey, Matthew/0000-0002-7070-405X; Timmreck, Claudia/0000-0001-5355-0426</t>
  </si>
  <si>
    <t>10.1002/jgrd.50428</t>
  </si>
  <si>
    <t>WOS:000325272000062</t>
  </si>
  <si>
    <t>Wegner, T; Kinnison, DE; Garcia, RR; Solomon, S</t>
  </si>
  <si>
    <t>Wegner, T.; Kinnison, D. E.; Garcia, R. R.; Solomon, S.</t>
  </si>
  <si>
    <t>Simulation of polar stratospheric clouds in the specified dynamics version of the whole atmosphere community climate model</t>
  </si>
  <si>
    <t>polar stratospheric clouds; polar ozone; climate modeling</t>
  </si>
  <si>
    <t>WINTER 2002/2003; NITRIC-ACID; DENITRIFICATION; CHEMISTRY; OZONE; DEPLETION; AEROSOLS; MICROPHYSICS; PARTICLES; SATELLITE</t>
  </si>
  <si>
    <t>We evaluate the simulation of polar stratospheric clouds (PSCs) in the Specified Dynamics version of the Whole Atmosphere Community Climate Model for the Antarctic winter 2005. In this model, PSCs are assumed to form instantaneously at a prescribed supersaturation, with a prescribed size distribution and number density. We use satellite observations of the Antarctic winter 2005 of nitric acid, water vapor, and PSCs to test and improve this PSC parameterization. Cloud-Aerosol Lidar with Orthogonal Polarization observations since 2006 show that in both hemispheres, the dominant PSC type throughout the entire polar winter is a mixture of Nitric Acid Trihydrate (NAT) and Supercooled Ternary Solutions droplets, but typical assumptions about PSC formation in the model at a given supersaturation do not produce such a population of particles and lead to earlier removal of HNO3 from the gas phase compared to observations. In our new PSC scheme, the formation of mixed PSCs is forced by only allowing a fraction of total available HNO3 to freeze to NAT and the remaining part to form STS. With this approach, a mixture of both is present throughout the winter, in agreement with observations. This approach yields good agreement with observations in terms of temperature-dependent removal of gas-phase HNO3 and irreversible denitrification. In addition to nitric acid containing PSCs, we also investigate ice PSCs. We show that the choice of required saturation ratio of water vapor for ice formation can significantly improve the calculated vertical distribution of water vapor and is required to produce good agreement with observations.</t>
  </si>
  <si>
    <t>[Wegner, T.] Forschungszentrum Juelich, Inst Energy &amp; Climate Res Stratosphere, Julich, Germany; [Kinnison, D. E.; Garcia, R. R.] Natl Ctr Atmospher Res, Div Atmospher Chem, Boulder, CO 80307 USA; [Solomon, S.] MIT, Dept Earth Atmospher &amp; Planetary Sci, Cambridge, MA USA</t>
  </si>
  <si>
    <t>Helmholtz Association; Research Center Julich; National Center Atmospheric Research (NCAR) - USA; Massachusetts Institute of Technology (MIT)</t>
  </si>
  <si>
    <t>Wegner, T (corresponding author), Forschungszentrum Juelich GmbH IEK 7, Inst Energy &amp; Climate Res Stratosphere, D-52425 Julich, Germany.</t>
  </si>
  <si>
    <t>t.wegner@fz-juelich.de</t>
  </si>
  <si>
    <t>EU [RECONCILE-226365-FP7-ENV-2008-1]; U.S. National Science Foundation; National Science Foundation (NSF); Office of Science of the U.S. Department of Energy; NSF</t>
  </si>
  <si>
    <t>EU(European Union (EU)); U.S. National Science Foundation(National Science Foundation (NSF)); National Science Foundation (NSF)(National Science Foundation (NSF)); Office of Science of the U.S. Department of Energy(United States Department of Energy (DOE)); NSF(National Science Foundation (NSF))</t>
  </si>
  <si>
    <t>This work is funded under the EU-FP7 project RECONCILE (RECONCILE-226365-FP7-ENV-2008-1) and T.Wegner's visit to the National Center for Atmospheric Research (NCAR) by the Fulbright program. The National Center for Atmospheric Research (NCAR) is sponsored by the U.S. National Science Foundation. The Community Earth System Model (CESM) is supported by the National Science Foundation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We are grateful to NASA for the MERRA meteorological analysis and the EOS MLS team for their high-quality data products. We also like to thank three anonymous reviewers whose comments greatly improved the quality of this manuscript.</t>
  </si>
  <si>
    <t>10.1002/jgrd.50415</t>
  </si>
  <si>
    <t>WOS:000325272000076</t>
  </si>
  <si>
    <t>Lu, H; Franzke, C; Martius, O; Jarvis, MJ; Phillips, T</t>
  </si>
  <si>
    <t>Lu, Hua; Franzke, Christian; Martius, Olivia; Jarvis, Martin J.; Phillips, Tony</t>
  </si>
  <si>
    <t>Solar wind dynamic pressure effect on planetary wave propagation and synoptic-scale Rossby wave breaking</t>
  </si>
  <si>
    <t>solar wind dynamic pressure; atmospheric waves; Rossby waves; wave-mean flow interaction; downward propagation</t>
  </si>
  <si>
    <t>NORTH-ATLANTIC OSCILLATION; ANNULAR MODES; STRATOSPHERIC OZONE; POLAR VORTEX; LIFE-CYCLE; ATMOSPHERE; MIDDLE; CONNECTION; PRECIPITATION; VARIABILITY</t>
  </si>
  <si>
    <t>We provide statistical evidence of the effect of the solar wind dynamic pressure (P-sw) on the northern winter and spring circulations. We find that the vertical structure of the Northern Annular Mode (NAM), the zonal mean circulation, and Eliassen-Palm (EP)-flux anomalies show a dynamically consistent pattern of downward propagation over a period of similar to 45days in response to positive P-sw anomalies. When the solar irradiance is high, the signature of P-sw is marked by a positive NAM anomaly descending from the stratosphere to the surface during winter. When the solar irradiance is low, the P-sw signal has the opposite sign, occurs in spring, and is confined to the stratosphere. The negative P-sw signal in the NAM under low solar irradiance conditions is primarily governed by enhanced vertical EP-flux divergence and a warmer polar region. The winter P-sw signal under high solar irradiance conditions is associated with positive anomalies of the horizontal EP-flux divergence at 55 degrees N-75 degrees N and negative anomalies at 25 degrees N-45 degrees N, which corresponds to the positive NAM anomaly. The EP-flux divergence anomalies occur similar to 15days ahead of the mean-flow changes. A significant equatorward shift of synoptic-scale Rossby wave breaking (RWB) near the tropopause is detected during January-March, corresponding to increased anticyclonic RWB and a decrease in cyclonic RWB. We suggest that the barotropic instability associated with asymmetric ozone in the upper stratosphere and the baroclinic instability associated with the polar vortex in the middle and lower stratosphere play a critical role for the winter signal and its downward propagation.</t>
  </si>
  <si>
    <t>[Lu, Hua; Franzke, Christian; Jarvis, Martin J.; Phillips, Tony] British Antarctic Survey, Cambridge CB3 0ET, England; [Martius, Olivia] Univ Bern, Inst Geog, Bern, Switzerland; [Martius, Olivia] Univ Bern, Oeschger Ctr Climate Change Res, Bern, Switzerland</t>
  </si>
  <si>
    <t>UK Research &amp; Innovation (UKRI); Natural Environment Research Council (NERC); NERC British Antarctic Survey; University of Bern; University of Bern</t>
  </si>
  <si>
    <t>Lu, H (corresponding author), British Antarctic Survey, Madingley Rd, Cambridge CB3 0ET, England.</t>
  </si>
  <si>
    <t>hlu@bas.ac.uk</t>
  </si>
  <si>
    <t>Lu, Hua/GXA-0276-2022; Franzke, Christian L E/A-6191-2012</t>
  </si>
  <si>
    <t>Lu, Hua/0000-0001-9485-5082; Martius, Olivia/0000-0002-8645-4702</t>
  </si>
  <si>
    <t>UK Natural Environment Research Council (NERC) [NE/I010173/1]; Natural Environment Research Council [NE/I010173/1, bas0100023] Funding Source: researchfish; NERC [bas0100023, NE/I010173/1] Funding Source: UKRI</t>
  </si>
  <si>
    <t>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</si>
  <si>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H.L. and M.J.J. were supported by grant NE/I010173/1 of the UK Natural Environment Research Council (NERC). We acknowledge use of ECMWF reanalysis data sets and NASA/GSFC's Space Physics Data Facility's OMNIWeb service and OMNI data. We are grateful to three anonymous reviewers for their constructive comments.</t>
  </si>
  <si>
    <t>10.1002/jgrd.50374</t>
  </si>
  <si>
    <t>WOS:000325272000041</t>
  </si>
  <si>
    <t>Rajendran, CP; Andrade, V; Sanwal, J; Kurian, J; Jena, B</t>
  </si>
  <si>
    <t>Rajendran, C. P.; Andrade, Vanessa; Sanwal, Jaishri; Kurian, John; Jena, Babula</t>
  </si>
  <si>
    <t>Constraining large earthquakes along the Andaman trench using deepwater turbidites: prospects and challenges</t>
  </si>
  <si>
    <t>CURRENT SCIENCE</t>
  </si>
  <si>
    <t>2004 Andaman-Sumatra earthquake; Bay of Bengal; deepwater turbidite; subduction zone</t>
  </si>
  <si>
    <t>CASCADIA SUBDUCTION ZONE; INDIAN-OCEAN TSUNAMI; NORTHERN BAY; BENGAL; SEA; COAST; PORT</t>
  </si>
  <si>
    <t>The 2004 Sumatra-Andaman earthquake was unprecedented in terms of its magnitude (M-w 9.2), rupture length along the plate boundary (1300 km) and size of the resultant tsunami. Since 2004, efforts are being made to improve the understanding of the seismic hazard in the Sumatra-Andaman subduction zone in terms of recurrence patterns of major earthquakes and tsunamis. It is reasonable to assume that previous earthquake events in the Myanmar Andaman segment must be preserved in the geological record in the form of seismo-turbidite sequences. Here we present the prospects of conducting deep ocean palaeoseismicity investigations in order to refine the quantification of the recurrence pattern of large subduction-zone earthquakes along the Andaman-Myanmar arc. Our participation in the Sagar Kanya cruise SK-273 (in June 2010) was to test the efficacy of such a survey. The primary mission of the cruise, along a short length (300 km) of the Sumatra Andaman subduction front was to collect bathymetric data of the ocean floor trenchward of the Andaman Islands. The agenda of our piggyback survey was to fix potential coring sites that might preserve seismo-turbidite deposits. In this article we present the possibilities and challenges of such an exercise and our first-hand experience of such a preliminary survey. This account will help future researchers with similar scientific objectives who would want to survey the deep ocean archives of this region for evidence of extreme events like major earthquakes.</t>
  </si>
  <si>
    <t>[Rajendran, C. P.; Andrade, Vanessa; Sanwal, Jaishri] Indian Inst Sci, Ctr Earth Sci, Bangalore 560012, Karnataka, India; [Kurian, John; Jena, Babula] Natl Ctr Antarctic &amp; Ocean Res, Vasco Da Gama 403804, Goa, India</t>
  </si>
  <si>
    <t>Indian Institute of Science (IISC) - Bangalore; Ministry of Earth Sciences (MoES) - India; National Centre for Polar and Ocean Research (NCPOR)</t>
  </si>
  <si>
    <t>Rajendran, CP (corresponding author), Indian Inst Sci, Ctr Earth Sci, Bangalore 560012, Karnataka, India.</t>
  </si>
  <si>
    <t>cprajendran@ceas.iisc.emet.in</t>
  </si>
  <si>
    <t>Sanwal, Jaishri/0000-0002-8350-6538</t>
  </si>
  <si>
    <t>DST (Ramanujan Fellowship); CSIR (SPM Fellowship); Indian National Centre for Ocean Information Services (INCOIS), Hyderabad</t>
  </si>
  <si>
    <t>C.P.R., V.A. and B.J. (who participated in the cruise) thank Captain Abhyakar, his crew and the Norinco team (K. Madhusudan, P. Boopathy, E. Vasantharaja, T. Ramesh) for their efforts in co-ordinating and executing the coring operations. Charu Sharma, who also participated in the cruise, conducted the on-board analyses of seabed surface sediments for their microfossil content. We thank Pawan Devangan, Scientist (NIO) for extending lab facilities for core logging. X-ray fluorescence analyses were done at Centre for Earth Science Studies, Thiruvananthapuram and the radiocarbon dating was conducted at the Rafter Laboratory, New Zealand. C.P.R. and V.A. acknowledge financial support from DST (Ramanujan Fellowship) and CSIR (SPM Fellowship) respectively, and Indian National Centre for Ocean Information Services (INCOIS), Hyderabad. We thank Vineet Gahalaut and an anonymous reviewer for suggestions to improve the manuscript.</t>
  </si>
  <si>
    <t>INDIAN ACAD SCIENCES</t>
  </si>
  <si>
    <t>BANGALORE</t>
  </si>
  <si>
    <t>C V RAMAN AVENUE, SADASHIVANAGAR, P B #8005, BANGALORE 560 080, INDIA</t>
  </si>
  <si>
    <t>0011-3891</t>
  </si>
  <si>
    <t>CURR SCI INDIA</t>
  </si>
  <si>
    <t>Curr. Sci.</t>
  </si>
  <si>
    <t>MAY 25</t>
  </si>
  <si>
    <t>158FT</t>
  </si>
  <si>
    <t>WOS:000319955600016</t>
  </si>
  <si>
    <t>Yang, N; Peng, CL; Cheng, D; Huang, Q; Xu, GH; Gao, F; Chen, LB</t>
  </si>
  <si>
    <t>Yang Na; Peng Changlian; Cheng Deng; Huang Qiao; Xu Guanghui; Gao Fei; Chen Liangbiao</t>
  </si>
  <si>
    <t>The over-expression of calmodulin from Antarctic notothenioid fish increases cold tolerance in tobacco</t>
  </si>
  <si>
    <t>GENE</t>
  </si>
  <si>
    <t>Calmodulin; PEBV; Cold tolerance; Electrolyte leakage; Malondialdehyde</t>
  </si>
  <si>
    <t>FREEZING TOLERANCE; GENE; ACCLIMATION; CALCIUM; CALRETICULIN; STRESS; KINASE; RECOGNITION; METABOLISM; EVOLUTION</t>
  </si>
  <si>
    <t>Genes involved in the calcium signalling pathway have a relationship with cold tolerance in many plants. The primary reaction to many different environmental stresses is an increase in the cytoplasmic Ca2+ concentration. Such variations in the Ca2+ concentration could change the activity of Ca2+-dependent protein functions, further regulating the expression of stress-related genes; therefore, the Ca2+ signalling pathway is involved in the biological stress reaction. The expression of the calcium-modulated protein gene, calmodulin, in Antarctic notothenioid fish (Dissostichus mawsoni) accounts for 0.23% of all transcripts, which is a very high level of expression in this cold-water fish. To elucidate the function of calmodulin (CaM) from Antarctic notothenioid fishes, we introduced the calmodulin (CaM) gene into tobacco plants using a viral vector based on pea early browning virus (PEBV). RT-PCR and Western blot results confirmed that the CaM gene was over-expressed in tobacco. Under low-temperature stress, the CaM transgenic plants exhibited faster growth than wild-type plants. The physiological and biochemical effects of the high-level expression of CaM in tobacco were analysed, and the changes in the electrolyte leakage activity and malondialdehyde content showed that CaM over-expression in tobacco increased the cold tolerance of the plants. These results demonstrate that CaM can possibly be used to enhance the low-temperature tolerance of plants. (c) 2013 Elsevier B.V. All rights reserved.</t>
  </si>
  <si>
    <t>[Yang Na; Peng Changlian; Huang Qiao] S China Normal Univ, Coll Life Sci, Key Lab Ecol &amp; Environm Sci Guangdong Higher Educ, Guangdong Prov Key Lab Biotechnol Plant Dev, Guangzhou 510631, Guangdong, Peoples R China; [Cheng Deng; Xu Guanghui; Gao Fei; Chen Liangbiao] Chinese Acad Sci, Inst Genet &amp; Dev Biol, Key Lab Mol &amp; Dev Biol, Beijing 100101, Peoples R China</t>
  </si>
  <si>
    <t>South China Normal University; Chinese Academy of Sciences; Institute of Genetics &amp; Developmental Biology, CAS</t>
  </si>
  <si>
    <t>Chen, LB (corresponding author), West Lincui Rd, Beijing 100101, Peoples R China.</t>
  </si>
  <si>
    <t>lbchen@genetics.ac.cn</t>
  </si>
  <si>
    <t>deng, cheng/0000-0002-5296-8879; , liangbiao/0000-0002-0717-8536</t>
  </si>
  <si>
    <t>National Special Project for Genetic Improving of Agricultural Species [2009ZX08009-003B]; NSFC International Collaboration Project [30910103906]; MOST [2010CB126304]</t>
  </si>
  <si>
    <t>National Special Project for Genetic Improving of Agricultural Species; NSFC International Collaboration Project; MOST</t>
  </si>
  <si>
    <t>The invaluable help of Prof. Daowen Wang (Institute of Genetics and Developmental Biology, Chinese Academy of Sciences, Beijing 100101, China) and Prof. Fred (W. S.) Chow (Research School of Biology, College of Medicine, Biology and Environment, The Australian National University, Canberra, ACT 0200, Australia) in the critical reading of the manuscript and their useful suggestions are gratefully acknowledged. This work is supported by the National Special Project for Genetic Improving of Agricultural Species, 2009ZX08009-003B, the NSFC International Collaboration Project, 30910103906, and MOST 2010CB126304 to Liangbiao Chen.</t>
  </si>
  <si>
    <t>0378-1119</t>
  </si>
  <si>
    <t>1879-0038</t>
  </si>
  <si>
    <t>Gene</t>
  </si>
  <si>
    <t>10.1016/j.gene.2013.03.048</t>
  </si>
  <si>
    <t>145QS</t>
  </si>
  <si>
    <t>WOS:000319032500004</t>
  </si>
  <si>
    <t>Olivetti, V; Balestrieri, ML; Rossetti, F; Talarico, FM</t>
  </si>
  <si>
    <t>Olivetti, Valerio; Balestrieri, Maria Laura; Rossetti, Federico; Talarico, Franco M.</t>
  </si>
  <si>
    <t>Tectonic and climatic signals from apatite detrital fission track analysis of the Cape Roberts Project core records, South Victoria Land, Antarctica</t>
  </si>
  <si>
    <t>TECTONOPHYSICS</t>
  </si>
  <si>
    <t>Detrital thermochronology; Climate/tectonics interaction; Cenozoic tectonics; Antarctica</t>
  </si>
  <si>
    <t>ORBITALLY-INDUCED OSCILLATIONS; AND-2A DRILL CORE; WESTERN ROSS SEA; TRANSANTARCTIC MOUNTAINS; CENOZOIC EXHUMATION; MCMURDO SOUND; ICE-SHEET; EAST; RIFT; BASIN</t>
  </si>
  <si>
    <t>The Cenozoic tectonic reorganization of the West Antarctic Rift System in the Ross Sea region occurred concurrently with a major change in the global climate system and a global reorganization of plate motions. This region thus provides the opportunity to study in detail a range of geological issues dealing with tectonic and climate feedbacks during the late Eocene/early Oligocene greenhouse/icehouse transition at high latitudes. With the aim to decipher tectonic vs. climatic forcing in the ice sheet drainage evolution, a detrital apatite fission track study was carried out throughout the Cenozoic drill-cored stratigraphic succession of the Cape Roberts Project (McMurdo Sound, Victoria Land Basin). Apatite fission-track ages of detrital samples, with de-positional ages between 34 Ma and 17 Ma, were decomposed into statistically significant age populations. Three age peaks were detected, reflecting different bedrock provenance areas: (i) a young peak (P1 between 34 Ma and 26 Ma) recording the signal of a source area exhumed with a constant denudation rate, but absent in the proximal continental area; and (ii) two peaks, older than 40 Ma, that are instead compatible with thermochronological data available from the onshore bedrock. P1 peak testifies a late Oligocene-early Miocene denudation event and traces a southern provenance of a fraction of the sediments filling the Cape Roberts Basin. We propose that this denudation event might have been triggered by renewed N-S transtensional shearing along the western shoulder of Victoria Land Basin, controlling glacial flow pattern and the associated sediment transport. (C) 2013 Elsevier B.V. All rights reserved.</t>
  </si>
  <si>
    <t>[Olivetti, Valerio; Rossetti, Federico] Sez Sci Geol, Dipartimento Sci, I-00176 Rome, Italy; [Balestrieri, Maria Laura] CNR, Ist Geosci &amp; Georisorse, UOS, I-50121 Florence, Italy; [Talarico, Franco M.] Dipartimento Sci Fis Terra &amp; Pambiente, Siena, Italy</t>
  </si>
  <si>
    <t>Consiglio Nazionale delle Ricerche (CNR); Istituto di Geoscienze e Georisorse (IGG-CNR)</t>
  </si>
  <si>
    <t>Olivetti, V (corresponding author), Sez Sci Geol, Dipartimento Sci, Lgo SL Murialdo 1, I-00176 Rome, Italy.</t>
  </si>
  <si>
    <t>valerio.olivatti@uniroma3.it</t>
  </si>
  <si>
    <t>Balestrieri, Maria Laura/AAX-3560-2020; olivetti, valerio/IAQ-1471-2023; talarico, franco/G-9472-2012</t>
  </si>
  <si>
    <t>olivetti, valerio/0000-0001-8173-3860; talarico, franco/0000-0002-7254-4301; ROSSETTI, Federico/0000-0001-8071-7252</t>
  </si>
  <si>
    <t>PRIN; Italian Programma Nazionale di Ricerche in Antartide [PEA2009]</t>
  </si>
  <si>
    <t>PRIN(Ministry of Education, Universities and Research (MIUR)Research Projects of National Relevance (PRIN)); Italian Programma Nazionale di Ricerche in Antartide(Ministry of Education, Universities and Research (MIUR))</t>
  </si>
  <si>
    <t>We would like to thank M. Bernet and the Journal Editor L. Jolivet for their helpful comments and suggestions that contributed to improve the manuscript. We thank the Alfred Wegener Institute for Polar and Marine Research (Bremerhaven, Germany) for access to the CRP core repository and operational support. The research was carried out with the financial support of PRIN2008 and, partly, by Italian Programma Nazionale di Ricerche in Antartide (PEA2009). Discussion with M. Zattin and F. Lisker are also acknowledged.</t>
  </si>
  <si>
    <t>0040-1951</t>
  </si>
  <si>
    <t>1879-3266</t>
  </si>
  <si>
    <t>Tectonophysics</t>
  </si>
  <si>
    <t>MAY 24</t>
  </si>
  <si>
    <t>10.1016/j.tecto.2013.03.017</t>
  </si>
  <si>
    <t>156AC</t>
  </si>
  <si>
    <t>WOS:000319791100006</t>
  </si>
  <si>
    <t>Sommerfeld, J; Kato, A; Ropert-Coudert, Y; Garthe, S; Hindell, MA</t>
  </si>
  <si>
    <t>Sommerfeld, Julia; Kato, Akiko; Ropert-Coudert, Yan; Garthe, Stefan; Hindell, Mark A.</t>
  </si>
  <si>
    <t>Foraging Parameters Influencing the Detection and Interpretation of Area-Restricted Search Behaviour in Marine Predators: A Case Study with the Masked Booby</t>
  </si>
  <si>
    <t>FINE-SCALE; 1ST-PASSAGE TIME; GPS TRACKING; FUR SEALS; MOVEMENT; BUOYANCY; ANIMALS; HABITAT; SUCCESS; DIVE</t>
  </si>
  <si>
    <t>Identification of Area-restricted search (ARS) behaviour is used to better understand foraging movements and strategies of marine predators. Track-based descriptive analyses are commonly used to detect ARS behaviour, but they may be biased by factors such as foraging trip duration or non-foraging behaviours (i.e. resting on the water). Using first-passage time analysis we tested if (I) daylight resting at the sea surface positions falsely increase the detection of ARS behaviour and (II) short foraging trips are less likely to include ARS behaviour in Masked Boobies Sula dactylatra. We further analysed whether ARS behaviour may be used as a proxy to identify important feeding areas. Depth-acceleration and GPS-loggers were simultaneously deployed on chick-rearing adults to obtain (1) location data every 4 minutes and (2) detailed foraging activity such as diving rates, time spent sitting on the water surface and in flight. In 82% of 50 foraging trips, birds adopted ARS behaviour. In 19.3% of 57 detected ARS zones, birds spent more than 70% of total ARS duration resting on the water, suggesting that these ARS zones were falsely detected. Based on generalized linear mixed models, the probability of detecting false ARS zones was 80%. False ARS zones mostly occurred during short trips in close proximity to the colony, with low or no diving activity. This demonstrates the need to account for resting on the water surface positions in marine animals when determining ARS behaviour based on foraging locations. Dive rates were positively correlated with trip duration and the probability of ARS behaviour increased with increasing number of dives, suggesting that the adoption of ARS behaviour in Masked Boobies is linked to enhanced foraging activity. We conclude that ARS behaviour may be used as a proxy to identify important feeding areas in this species.</t>
  </si>
  <si>
    <t>[Sommerfeld, Julia; Hindell, Mark A.] Univ Tasmania, Inst Marine &amp; Antarctic Studies, Hobart, Tas, Australia; [Sommerfeld, Julia; Garthe, Stefan] Univ Kiel, Res &amp; Technol Ctr, Busum, Germany; [Kato, Akiko; Ropert-Coudert, Yan] Univ Strasbourg, IPHC, Strasbourg, France; [Kato, Akiko; Ropert-Coudert, Yan] CNRS, UMR7178, Strasbourg, France</t>
  </si>
  <si>
    <t>University of Tasmania; University of Kiel; Universites de Strasbourg Etablissements Associes; Universite de Strasbourg; Universites de Strasbourg Etablissements Associes; Universite de Strasbourg; Centre National de la Recherche Scientifique (CNRS); CNRS - National Institute of Nuclear and Particle Physics (IN2P3)</t>
  </si>
  <si>
    <t>Sommerfeld, J (corresponding author), Univ Tasmania, Inst Marine &amp; Antarctic Studies, Hobart, Tas, Australia.</t>
  </si>
  <si>
    <t>Julia.Sommerfeld@utas.edu.au</t>
  </si>
  <si>
    <t>Kato, Akiko/W-2447-2019; Hindell, Mark A/K-1131-2013</t>
  </si>
  <si>
    <t>Kato, Akiko/0000-0002-8947-3634; Hindell, Mark/0000-0002-7823-7185</t>
  </si>
  <si>
    <t>ANZ Trustees Foundation - Holsworth Wildlife Research Endowment, Birds Australia and the Australian Geographic Society</t>
  </si>
  <si>
    <t>This research was funded by the ANZ Trustees Foundation - Holsworth Wildlife Research Endowment, Birds Australia and the Australian Geographic Society. URL of funders' websites: http://www.anz.com/personal/, http://www.birdlife.org.au/, http://www.australiangeographic.com.au/society/. The funders had no role in study design, data collection and analysis, decision to publish, or preparation of the manuscript.</t>
  </si>
  <si>
    <t>MAY 22</t>
  </si>
  <si>
    <t>e63742</t>
  </si>
  <si>
    <t>10.1371/journal.pone.0063742</t>
  </si>
  <si>
    <t>163UP</t>
  </si>
  <si>
    <t>WOS:000320362700052</t>
  </si>
  <si>
    <t>Leis, JM; Caselle, JE; Bradbury, IR; Kristiansen, T; Llopiz, JK; Miller, MJ; O'Connor, MI; Paris, CB; Shanks, AL; Sogard, SM; Swearer, SE; Treml, EA; Vetter, RD; Warner, RR</t>
  </si>
  <si>
    <t>Leis, Jeffrey M.; Caselle, Jennifer E.; Bradbury, Ian R.; Kristiansen, Trond; Llopiz, Joel K.; Miller, Michael J.; O'Connor, Mary I.; Paris, Claire B.; Shanks, Alan L.; Sogard, Susan M.; Swearer, Stephen E.; Treml, Eric A.; Vetter, Russell D.; Warner, Robert R.</t>
  </si>
  <si>
    <t>Does fish larval dispersal differ between high and low latitudes?</t>
  </si>
  <si>
    <t>PROCEEDINGS OF THE ROYAL SOCIETY B-BIOLOGICAL SCIENCES</t>
  </si>
  <si>
    <t>population connectivity; larval dispersal; pelagic larval duration; larval behaviour; genetic structure; habitat fragmentation</t>
  </si>
  <si>
    <t>POPULATION CONNECTIVITY; MARINE POPULATIONS; LOCAL RETENTION; TEMPERATURE; REEF; PATTERNS; ONTOGENY; HISTORY</t>
  </si>
  <si>
    <t>Several factors lead to expectations that the scale of larval dispersal and population connectivity of marine animals differs with latitude. We examine this expectation for demersal shorefishes, including relevant mechanisms, assumptions and evidence. We explore latitudinal differences in (i) biological (e. g. species composition, spawning mode, pelagic larval duration, PLD), (ii) physical (e. g. water movement, habitat fragmentation), and (iii) biophysical factors (primarily temperature, which could strongly affect development, swimming ability or feeding). Latitudinal differences exist in taxonomic composition, habitat fragmentation, temperature and larval swimming, and each difference could influence larval dispersal. Nevertheless, clear evidence for latitudinal differences in larval dispersal at the level of broad faunas is lacking. For example, PLD is strongly influenced by taxon, habitat and geographical region, but no independent latitudinal trend is present in published PLD values. Any trends in larval dispersal may be obscured by a lack of appropriate information, or use of 'off the shelf' information that is biased with regard to the species assemblages in areas of concern. Biases may also be introduced from latitudinal differences in taxa or spawning modes as well as limited latitudinal sampling. We suggest research to make progress on the question of latitudinal trends in larval dispersal.</t>
  </si>
  <si>
    <t>[Leis, Jeffrey M.] Australian Museum, Sydney, NSW 2010, Australia; [Leis, Jeffrey M.] Univ Tasmania, Inst Marine &amp; Antarctic Studies, Hobart, Tas 7000, Australia; [Caselle, Jennifer E.] Univ Calif Santa Barbara, Inst Marine Sci, Santa Barbara, CA 93106 USA; [Warner, Robert R.] Univ Calif Santa Barbara, Dept Ecol Evolut &amp; Marine Biol, Santa Barbara, CA 93106 USA; [Bradbury, Ian R.] Fisheries &amp; Oceans Canada, St John, NF A1C 5X1, Canada; [Bradbury, Ian R.] Mem Univ Newfoundland, Ctr Ocean Sci, St John, NF A1C 5S7, Canada; [Bradbury, Ian R.] Mem Univ Newfoundland, Dept Biol, St John, NF A1C 5S7, Canada; [Kristiansen, Trond] Inst Marine Res, N-5817 Bergen, Norway; [Llopiz, Joel K.] Woods Hole Oceanog Inst, Dept Biol, Woods Hole, MA 02543 USA; [Miller, Michael J.] Univ Tokyo, Atmosphere &amp; Ocean Res Inst, Kashiwa, Chiba 2778564, Japan; [O'Connor, Mary I.] Univ British Columbia, Dept Zool, Vancouver, BC V6T 1Z4, Canada; [Paris, Claire B.] Rosenstiel Sch Marine &amp; Atmospher Sci, Div Appl Marine Phys, Miami, FL 33149 USA; [Shanks, Alan L.] Univ Oregon, Oregon Inst Marine Biol, Charleston, OR 97420 USA; [Sogard, Susan M.] Natl Marine Fisheries Serv, Santa Cruz, CA 95060 USA; [Swearer, Stephen E.; Treml, Eric A.] Univ Melbourne, Dept Zool, Parkville, Vic 3010, Australia; [Vetter, Russell D.] NOAA, NMFS, SW Fisheries Sci Ctr, La Jolla, CA 92037 USA</t>
  </si>
  <si>
    <t>Australian Museum; University of Tasmania; University of California System; University of California Santa Barbara; University of California System; University of California Santa Barbara; Fisheries &amp; Oceans Canada; Memorial University Newfoundland; Memorial University Newfoundland; Institute of Marine Research - Norway; Woods Hole Oceanographic Institution; University of Tokyo; University of British Columbia; University of Oregon; National Oceanic Atmospheric Admin (NOAA) - USA; University of Melbourne; National Oceanic Atmospheric Admin (NOAA) - USA</t>
  </si>
  <si>
    <t>Leis, JM (corresponding author), Australian Museum, 6 Coll St, Sydney, NSW 2010, Australia.</t>
  </si>
  <si>
    <t>jeff.leis@austmus.gov.au</t>
  </si>
  <si>
    <t>SWEARER, STEPHEN/AAC-1527-2020; O'Connor, Mary/R-2933-2019; O'Connor, Mary I/F-2275-2010; Leis, Jeffrey M/E-7502-2012; Swearer, Stephen/X-4882-2018; Leis, Jeffrey M/JCE-0397-2023; Treml, Eric A/C-7580-2013; Warner, Robert/M-5342-2013</t>
  </si>
  <si>
    <t>SWEARER, STEPHEN/0000-0001-6381-9943; O'Connor, Mary I/0000-0001-9583-1592; Leis, Jeffrey M/0000-0003-0603-3447; Swearer, Stephen/0000-0001-6381-9943; Leis, Jeffrey M/0000-0003-0603-3447; Miller, Michael/0000-0002-4949-6903; Llopiz, Joel/0000-0002-7584-7471; Kristiansen, Trond/0000-0001-6121-297X; Treml, Eric A/0000-0003-4844-4420; Paris-Limouzy, Claire Beatrix/0000-0002-0637-1334; Warner, Robert/0000-0002-3299-5685</t>
  </si>
  <si>
    <t>Norwegian Research Council through project MENUII [190286]; ARC Discovery Grant [DP110100695]; David and Lucille Packard Foundation; Gordon and Betty Moore Foundation</t>
  </si>
  <si>
    <t>Norwegian Research Council through project MENUII(Research Council of Norway); ARC Discovery Grant(Australian Research Council); David and Lucille Packard Foundation(The David &amp; Lucile Packard Foundation); Gordon and Betty Moore Foundation(Gordon and Betty Moore Foundation)</t>
  </si>
  <si>
    <t>A.L.S. thanks Michel Kulbicki for helpful discussion and advice. Suzanne Bullock provided editorial assistance. S. D. Simpson and T.J. Miller provided helpful criticisms. T. K. was supported by the Norwegian Research Council through project MENUII no. 190286. J.M.L. was supported by ARC Discovery Grant DP110100695. J.E.C. and R. R. W. were supported by the Partnership for the Interdisciplinary Study of Coastal Oceans, funded by The David and Lucille Packard Foundation and the Gordon and Betty Moore Foundation. This is PISCO publication no. 428. J.M.L., J.E.C. and R. R. W. initiated and constructed the manuscript, provided overall editorial direction, and the introduction and conclusions. J.M.L. provided sections on taxonomy, biogeography, larval behaviour and spawning modes. I. R. B. and R. D. V. provided genetics sections. J.K.L. provided feeding sections. T. K. and C. B. P. provided physical oceanographic sections. M.J.M. provided sections on eels. M.I.O. and S. M. S. provided sections on temperature effects. A. L. S. provided PLD sections with additions from J.M.L. S. E. S. and E. A. T. provided habitat fragmentation sections. R. R. W. provided caveats sections. All contributed to the future directions section.</t>
  </si>
  <si>
    <t>0962-8452</t>
  </si>
  <si>
    <t>1471-2954</t>
  </si>
  <si>
    <t>P ROY SOC B-BIOL SCI</t>
  </si>
  <si>
    <t>Proc. R. Soc. B-Biol. Sci.</t>
  </si>
  <si>
    <t>10.1098/rspb.2013.0327</t>
  </si>
  <si>
    <t>124RA</t>
  </si>
  <si>
    <t>WOS:000317482100023</t>
  </si>
  <si>
    <t>Massom, R; Reid, P; Stammerjohn, S; Raymond, B; Fraser, A; Ushio, S</t>
  </si>
  <si>
    <t>Massom, Robert; Reid, Philip; Stammerjohn, Sharon; Raymond, Ben; Fraser, Alexander; Ushio, Shuki</t>
  </si>
  <si>
    <t>Change and Variability in East Antarctic Sea Ice Seasonality, 1979/80-2009/10</t>
  </si>
  <si>
    <t>MERTZ GLACIER POLYNYA; SOUTHERN-OCEAN; CLIMATE-CHANGE; INTERANNUAL VARIABILITY; CONTINENTAL-SLOPE; PENINSULA REGION; INDIAN-OCEAN; WATER MASSES; ADELIE LAND; CIRCULATION</t>
  </si>
  <si>
    <t>Recent analyses have shown that significant changes have occurred in patterns of sea ice seasonality in West Antarctica since 1979, with wide-ranging climatic, biological and biogeochemical consequences. Here, we provide the first detailed report on long-term change and variability in annual timings of sea ice advance, retreat and resultant ice season duration in East Antarctica. These were calculated from satellite-derived ice concentration data for the period 1979/80 to 2009/10. The pattern of change in sea ice seasonality off East Antarctica comprises mixed signals on regional to local scales, with pockets of strongly positive and negative trends occurring in near juxtaposition in certain regions e.g., Prydz Bay. This pattern strongly reflects change and variability in different elements of the marine icescape'', including fast ice, polynyas and the marginal ice zone. A trend towards shorter sea-ice duration (of 1 to 3 days per annum) occurs in fairly isolated pockets in the outer pack from similar to 95-110 degrees E, and in various near-coastal areas that include an area of particularly strong and persistent change near Australia's Davis Station and between the Amery and West Ice Shelves. These areas are largely associated with coastal polynyas that are important as sites of enhanced sea ice production/melt. Areas of positive trend in ice season duration are more extensive, and include an extensive zone from 160-170 degrees E (i.e., the western Ross Sea sector) and the near-coastal zone between 40-100 degrees E. The East Antarctic pattern is considerably more complex than the well-documented trends in West Antarctica e.g., in the Antarctic Peninsula-Bellingshausen Sea and western Ross Sea sectors.</t>
  </si>
  <si>
    <t>[Massom, Robert; Raymond, Ben] Australian Antarctic Div, Dept Sustainabil Environm Water Populat &amp; Communi, Kingston, Tas, Australia; [Massom, Robert; Raymond, Ben; Fraser, Alexander] Univ Tasmania, Antarctic Climate &amp; Ecosyst Cooperat Res Ctr, Sandy Bay, Tas, Australia; [Reid, Philip] Ctr Australian Weather &amp; Climate Res, Australian Bur Meteorol, Hobart, Tas, Australia; [Stammerjohn, Sharon] Univ Colorado, Inst Arctic &amp; Alpine Res, Boulder, CO 80309 USA; [Ushio, Shuki] Natl Inst Polar Res, Tachikawa, Tokyo, Japan</t>
  </si>
  <si>
    <t>Australian Antarctic Division; Antarctic Climate &amp; Ecosystems Cooperative Research Centre (ACE CRC); University of Tasmania; Commonwealth Scientific &amp; Industrial Research Organisation (CSIRO); Bureau of Meteorology - Australia; University of Colorado System; University of Colorado Boulder; Research Organization of Information &amp; Systems (ROIS); National Institute of Polar Research (NIPR) - Japan</t>
  </si>
  <si>
    <t>Massom, R (corresponding author), Australian Antarctic Div, Dept Sustainabil Environm Water Populat &amp; Communi, Kingston, Tas, Australia.</t>
  </si>
  <si>
    <t>R.Massom@utas.edu.au</t>
  </si>
  <si>
    <t>Fraser, Alexander/AFO-7186-2022</t>
  </si>
  <si>
    <t>Fraser, Alexander/0000-0003-1924-0015; STAMMERJOHN, SHARON/0000-0002-1697-8244; Massom, Robert/0000-0003-1533-5084</t>
  </si>
  <si>
    <t>Australian Government's Cooperative Research Centre programme through the ACE CRC; AAS [3024, 4116]; AAD CPC [18]; Office of Polar Programs (OPP); Directorate For Geosciences [1440435] Funding Source: National Science Foundation; Grants-in-Aid for Scientific Research [13F03748, 24651016] Funding Source: KAKEN</t>
  </si>
  <si>
    <t>Australian Government's Cooperative Research Centre programme through the ACE CRC(Australian GovernmentDepartment of Industry, Innovation and ScienceCooperative Research Centres (CRC) Programme); AAS; AAD CPC;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</si>
  <si>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The work was supported by the Australian Government's Cooperative Research Centre programme through the ACE CRC, and contributes to AAS Projects 3024 and 4116 and AAD CPC Project 18. The funders had no role in study design, data collection and analysis, decision to publish, or preparation of the manuscript.; This paper is dedicated to our dear friend and colleague Neil Adams. This analysis forms a contribution to the joint Japanese-Australian (JST-DIISR) project Establishing a Benchmark to Assess Climate Change Impact in the Eastern Antarctic Marine System'', and we are grateful to the project leaders Dr Mitsuo Fukuchi (NIPR, Japan) and Dr So Kawaguchi (AAD, Australia) for their support. We are grateful to an anonymous reviewer, the editor Dr Peter Strutton and Dr Tania Raymond for their highly constructive comments which greatly improved the paper. MODIS data were obtained from the NASA Level 1 Atmosphere Archive and Distribution System (LAADS) (http://ladsweb.nascom.nasa.gov/). Satellite sea ice concentration data were obtained from the NASA Earth Observing System Distributed Active Archive Center (DAAC) at the U.S. National Snow and Ice Data Center, University of Colorado, Boulder (http://www.nsidc.org). This work was supported by the Australian Government's Cooperative Research Centre programme through the ACE CRC, and contributes to AAS Project 4116.</t>
  </si>
  <si>
    <t>MAY 21</t>
  </si>
  <si>
    <t>e64756</t>
  </si>
  <si>
    <t>10.1371/journal.pone.0064756</t>
  </si>
  <si>
    <t>149OK</t>
  </si>
  <si>
    <t>Green Published, Green Submitted, gold, Green Accepted</t>
  </si>
  <si>
    <t>WOS:000319330200162</t>
  </si>
  <si>
    <t>Aartsen, MG; Abbasi, R; Abdou, Y; Ackermann, M; Adams, J; Aguilar, JA; Ahlers, M; Altmann, D; Auffenberg, J; Bai, X; Baker, M; Barwick, SW; Baum, V; Bay, R; Beatty, JJ; Bechet, S; Tjus, JB; Becker, KH; Bell, M; Benabderrahmane, ML; BenZvi, S; Berdermann, J; Berghaus, P; Berley, D; Bernardini, E; Bernhard, A; Bertrand, D; Besson, DZ; Binder, G; Bindig, D; Bissok, M; Blaufuss, E; Blumenthal, J; Boersma, DJ; Bohaichuk, S; Bohm, C; Bose, D; Böser, S; Botner, O; Brayeur, L; Brown, AM; Bruijn, R; Brunner, J; Buitink, S; Carson, M; Casey, J; Casier, M; Chirkin, D; Christy, B; Clark, K; Clevermann, F; Cohen, S; Cowen, DF; Silva, AHC; Danninger, M; Daughhetee, J; Davis, JC; De Clercq, C; De Ridder, S; Desiati, P; de With, M; DeYoung, T; Díaz-Vélez, JC; Dunkman, M; Eagan, R; Eberhardt, B; Eisch, J; Ellsworth, RW; Euler, S; Evenson, PA; Fadiran, O; Fazely, AR; Fedynitch, A; Feintzeig, J; Feusels, T; Filimonov, K; Finley, C; Fischer-Wasels, T; Flis, S; Franckowiak, A; Franke, R; Frantzen, K; Fuchs, T; Gaisser, TK; Gallagher, J; Gerhardt, L; Gladstone, L; Glüsenkamp, T; Goldschmidt, A; Golup, G; Goodman, JA; Góra, D; Grant, D; Gross, A; Gurtner, M; Ha, C; Ismail, AH; Hallgren, A; Halzen, F; Hanson, K; Heereman, D; Heimann, P; Heinen, D; Helbing, K; Hellauer, R; Hickford, S; Hill, GC; Hoffman, KD; Hoffmann, R; Homeier, A; Hoshina, K; Huelsnitz, W; Hulth, PO; Hultqvist, K; Hussain, S; Ishihara, A; Jacobi, E; Jacobsen, J; Japaridze, GS; Jero, K; Jlelati, O; Kaminsky, B; Kappes, A; Karg, T; Karle, A; Kelley, JL; Kiryluk, J; Kislat, F; Kläs, J; Klein, SR; Köhne, JH; Kohnen, G; Kolanoski, H; Köpke, L; Kopper, C; Kopper, S; Koskinen, DJ; Kowalski, M; Krasberg, M; Kroll, G; Kunnen, J; Kurahashi, N; Kuwabara, T; Labare, M; Landsman, H; Larson, MJ; Lesiak-Bzdak, M; Leute, J; Lünemann, J; Madsen, J; Maruyama, R; Mase, K; Matis, HS; McNally, F; Meagher, K; Merck, M; Mészáros, P; Meures, T; Miarecki, S; Middell, E; Milke, N; Miller, J; Mohrmann, L; Montaruli, T; Morse, R; Nahnhauer, R; Naumann, U; Niederhausen, H; Nowicki, SC; Nygren, DR; Obertacke, A; Odrowski, S; Olivas, A; Olivo, M; O'Murchadha, A; Paul, L; Pepper, JA; de los Heros, CP; Pfendner, C; Pieloth, D; Pirk, N; Posselt, J; Price, PB; Przybylski, GT; Rädel, L; Rawlins, K; Redl, P; Resconi, E; Rhode, W; Ribordy, M; Richman, M; Riedel, B; Rodrigues, JP; Rott, C; Ruhe, T; Ruzybayev, B; Ryckbosch, D; Saba, SM; Salameh, T; Sander, HG; Santander, M; Sarkar, S; Schatto, K; Scheel, M; Scheriau, F; Schmidt, T; Schmitz, M; Schoenen, S; Schöneberg, S; Schönherr, L; Schönwald, A; Schukraft, A; Schulte, L; Schulz, O; Seckel, D; Seo, SH; Sestayo, Y; Seunarine, S; Sheremata, C; Smith, MWE; Soiron, M; Soldin, D; Spiczak, GM; Spiering, C; Stamatikos, M; Stanev, T; Stasik, A; Stezelberger, T; Stokstad, RG; Stössl, A; Strahler, EA; Ström, R; Sullivan, GW; Taavola, H; Taboada, I; Tamburro, A; Ter-Antonyan, S; Tilav, S; Toale, PA; Toscano, S; Usner, M; van der Drift, D; van Eijndhoven, N; Van Overloop, A; van Santen, J; Vehring, M; Voge, M; Vraeghe, M; Walck, C; Waldenmaier, T; Wallraff, M; Wasserman, R; Weaver, C; Wellons, M; Wendt, C; Westerhoff, S; Whitehorn, N; Wiebe, K; Wiebusch, CH; Williams, DR; Wissing, H; Wolf, M; Wood, TR; Xu, C; Xu, DL; Xu, XW; Yanez, JP; Yodh, G; Yoshida, S; Zarzhitsky, P; Ziemann, J; Zierke, S; Zilles, A; Zoll, M</t>
  </si>
  <si>
    <t>Aartsen, M. G.; Abbasi, R.; Abdou, Y.; Ackermann, M.; Adams, J.; Aguilar, J. A.; Ahlers, M.; Altmann, D.; Auffenberg, J.; Bai, X.; Baker, M.; Barwick, S. W.; Baum, V.; Bay, R.; Beatty, J. J.; Bechet, S.; Tjus, J. Becker; Becker, K-H.; Bell, M.; Benabderrahmane, M. L.; BenZvi, S.; Berdermann, J.; Berghaus, P.; Berley, D.; Bernardini, E.; Bernhard, A.; Bertrand, D.; Besson, D. Z.; Binder, G.; Bindig, D.; Bissok, M.; Blaufuss, E.; Blumenthal, J.; Boersma, D. J.; Bohaichuk, S.; Bohm, C.; Bose, D.; Boeser, S.; Botner, O.; Brayeur, L.; Brown, A. M.; Bruijn, R.; Brunner, J.; Buitink, S.; Carson, M.; Casey, J.; Casier, M.; Chirkin, D.; Christy, B.; Clark, K.; Clevermann, F.; Cohen, S.; Cowen, D. F.; Silva, A. H. Cruz; Danninger, M.; Daughhetee, J.; Davis, J. C.; De Clercq, C.; De Ridder, S.; Desiati, P.; de With, M.; DeYoung, T.; Diaz-Velez, J. C.; Dunkman, M.; Eagan, R.; Eberhardt, B.; Eisch, J.; Ellsworth, R. W.; Euler, S.; Evenson, P. A.; Fadiran, O.; Fazely, A. R.; Fedynitch, A.; Feintzeig, J.; Feusels, T.; Filimonov, K.; Finley, C.; Fischer-Wasels, T.; Flis, S.; Franckowiak, A.; Franke, R.; Frantzen, K.; Fuchs, T.; Gaisser, T. K.; Gallagher, J.; Gerhardt, L.; Gladstone, L.; Gluesenkamp, T.; Goldschmidt, A.; Golup, G.; Goodman, J. A.; Gora, D.; Grant, D.; Gross, A.; Gurtner, M.; Ha, C.; Ismail, A. Haj; Hallgren, A.; Halzen, F.; Hanson, K.; Heereman, D.; Heimann, P.; Heinen, D.; Helbing, K.; Hellauer, R.; Hickford, S.; Hill, G. C.; Hoffman, K. D.; Hoffmann, R.; Homeier, A.; Hoshina, K.; Huelsnitz, W.; Hulth, P. O.; Hultqvist, K.; Hussain, S.; Ishihara, A.; Jacobi, E.; Jacobsen, J.; Japaridze, G. S.; Jero, K.; Jlelati, O.; Kaminsky, B.; Kappes, A.; Karg, T.; Karle, A.; Kelley, J. L.; Kiryluk, J.; Kislat, F.; Klaes, J.; Klein, S. R.; Koehne, J-H.; Kohnen, G.; Kolanoski, H.; Koepke, L.; Kopper, C.; Kopper, S.; Koskinen, D. J.; Kowalski, M.; Krasberg, M.; Kroll, G.; Kunnen, J.; Kurahashi, N.; Kuwabara, T.; Labare, M.; Landsman, H.; Larson, M. J.; Lesiak-Bzdak, M.; Leute, J.; Luenemann, J.; Madsen, J.; Maruyama, R.; Mase, K.; Matis, H. S.; McNally, F.; Meagher, K.; Merck, M.; Meszaros, P.; Meures, T.; Miarecki, S.; Middell, E.; Milke, N.; Miller, J.; Mohrmann, L.; Montaruli, T.; Morse, R.; Nahnhauer, R.; Naumann, U.; Niederhausen, H.; Nowicki, S. C.; Nygren, D. R.; Obertacke, A.; Odrowski, S.; Olivas, A.; Olivo, M.; O'Murchadha, A.; Paul, L.; Pepper, J. A.; de los Heros, C. Perez; Pfendner, C.; Pieloth, D.; Pirk, N.; Posselt, J.; Price, P. B.; Przybylski, G. T.; Raedel, L.; Rawlins, K.; Redl, P.; Resconi, E.; Rhode, W.; Ribordy, M.; Richman, M.; Riedel, B.; Rodrigues, J. P.; Rott, C.; Ruhe, T.; Ruzybayev, B.; Ryckbosch, D.; Saba, S. M.; Salameh, T.; Sander, H-G.; Santander, M.; Sarkar, S.; Schatto, K.; Scheel, M.; Scheriau, F.; Schmidt, T.; Schmitz, M.; Schoenen, S.; Schoeneberg, S.; Schoenherr, L.; Schoenwald, A.; Schukraft, A.; Schulte, L.; Schulz, O.; Seckel, D.; Seo, S. H.; Sestayo, Y.; Seunarine, S.; Sheremata, C.; Smith, M. W. E.; Soiron, M.; Soldin, D.; Spiczak, G. M.; Spiering, C.; Stamatikos, M.; Stanev, T.; Stasik, A.; Stezelberger, T.; Stokstad, R. G.; Stoessl, A.; Strahler, E. A.; Stroem, R.; Sullivan, G. W.; Taavola, H.; Taboada, I.; Tamburro, A.; Ter-Antonyan, S.; Tilav, S.; Toale, P. A.; Toscano, S.; Usner, M.; van der Drift, D.; van Eijndhoven, N.; Van Overloop, A.; van Santen, J.; Vehring, M.; Voge, M.; Vraeghe, M.; Walck, C.; Waldenmaier, T.; Wallraff, M.; Wasserman, R.; Weaver, Ch.; Wellons, M.; Wendt, C.; Westerhoff, S.; Whitehorn, N.; Wiebe, K.; Wiebusch, C. H.; Williams, D. R.; Wissing, H.; Wolf, M.; Wood, T. R.; Xu, C.; Xu, D. L.; Xu, X. W.; Yanez, J. P.; Yodh, G.; Yoshida, S.; Zarzhitsky, P.; Ziemann, J.; Zierke, S.; Zilles, A.; Zoll, M.</t>
  </si>
  <si>
    <t>Measurement of South Pole ice transparency with the IceCube LED calibration system</t>
  </si>
  <si>
    <t>NUCLEAR INSTRUMENTS &amp; METHODS IN PHYSICS RESEARCH SECTION A-ACCELERATORS SPECTROMETERS DETECTORS AND ASSOCIATED EQUIPMENT</t>
  </si>
  <si>
    <t>IceCube; South Pole ice; Optical properties; Photon propagation</t>
  </si>
  <si>
    <t>PERFORMANCE; ABSORPTION; SCATTERING</t>
  </si>
  <si>
    <t>The IceCube Neutrino Observatory, approximately 1 km(3) in size, is now complete with 86 strings deployed in the Antarctic ice. IceCube detects the Cherenkov radiation emitted by charged particles passing through or created in the ice. To realize the full potential of the detector, the properties of light propagation in the ice in and around the detector must be well understood. This report presents a new method of fitting the model of light propagation in the ice to a data set of in situ light source events collected with IceCube. The resulting set of derived parameters, namely the measured values of scattering and absorption coefficients vs. depth, is presented and a comparison of IceCube data with simulations based on the new model is shown. Published by Elsevier B.V.</t>
  </si>
  <si>
    <t>[Bissok, M.; Blumenthal, J.; Euler, S.; Heimann, P.; Heinen, D.; Paul, L.; Raedel, L.; Scheel, M.; Schoenen, S.; Schoenherr, L.; Schukraft, A.; Soiron, M.; Vehring, M.; Wallraff, M.; Wiebusch, C. H.; Zierke, S.; Zilles, A.] Rhein Westfal TH Aachen, Phys Inst 3, D-52056 Aachen, Germany; [Aartsen, M. G.; Hill, G. C.] Univ Adelaide, Sch Chem &amp; Phys, Adelaide, SA 5005, Australia; [Rawlins, K.] Univ Alaska Anchorage, Dept Phys &amp; Astron, Anchorage, AK 99508 USA; [Japaridze, G. S.] Clark Atlanta Univ, CTSPS, Atlanta, GA 30314 USA; [Casey, J.; Daughhetee, J.; Taboada, I.] Georgia Inst Technol, Sch Phys, Atlanta, GA 30332 USA; [Casey, J.; Daughhetee, J.; Taboada, I.] Georgia Inst Technol, Ctr Relativist Astrophys, Atlanta, GA 30332 USA; [Fazely, A. R.; Ter-Antonyan, S.; Xu, X. W.] Southern Univ, Dept Phys, Baton Rouge, LA 70813 USA; [Bay, R.; Binder, G.; Filimonov, K.; Gerhardt, L.; Ha, C.; Klein, S. R.; Miarecki, S.; Price, P. B.; van der Drift, D.] Univ Calif Berkeley, Dept Phys, Berkeley, CA 94720 USA; [Binder, G.; Gerhardt, L.; Goldschmidt, A.; Ha, C.; Klein, S. R.; Matis, H. S.; Miarecki, S.; Nygren, D. R.; Przybylski, G. T.; Stezelberger, T.; Stokstad, R. G.; van der Drift, D.] Univ Calif Berkeley, Lawrence Berkeley Natl Lab, Berkeley, CA 94720 USA; [Altmann, D.; de With, M.; Kappes, A.; Kolanoski, H.; Waldenmaier, T.] Humboldt Univ, Inst Phys, D-12489 Berlin, Germany; [Tjus, J. Becker; Fedynitch, A.; Olivo, M.; Saba, S. M.; Schoeneberg, S.] Ruhr Univ Bochum, Fak Phys &amp; Astron, D-44780 Bochum, Germany; [Boeser, S.; Franckowiak, A.; Homeier, A.; Kowalski, M.; Schulte, L.; Stasik, A.; Usner, M.; Voge, M.] Univ Bonn, Inst Phys, D-53115 Bonn, Germany; [Bechet, S.; Bertrand, D.; Hanson, K.; Heereman, D.; Meures, T.; O'Murchadha, A.] Univ Libre Brussels, Fac Sci, B-1050 Brussels, Belgium; [Bose, D.; Brayeur, L.; Buitink, S.; Casier, M.; De Clercq, C.; Golup, G.; Kunnen, J.; Labare, M.; Miller, J.; Strahler, E. A.; van Eijndhoven, N.] Vrije Univ Brussel, Dienst ELEM, B-1050 Brussels, Belgium; [Ishihara, A.; Mase, K.; Yoshida, S.] Chiba Univ, Dept Phys, Chiba 2638522, Japan; [Adams, J.; Brown, A. M.; Hickford, S.] Univ Canterbury, Dept Phys &amp; Astron, Christchurch 1, New Zealand; [Berley, D.; Blaufuss, E.; Christy, B.; Ellsworth, R. W.; Goodman, J. A.; Hellauer, R.; Hoffman, K. D.; Huelsnitz, W.; Meagher, K.; Olivas, A.; Redl, P.; Richman, M.; Schmidt, T.; Sullivan, G. W.; Wissing, H.] Univ Maryland, Dept Phys, College Pk, MD 20742 USA; [Beatty, J. J.; Davis, J. C.; Pfendner, C.; Rott, C.; Stamatikos, M.] Ohio State Univ, Dept Phys, Columbus, OH 43210 USA; [Beatty, J. J.; Davis, J. C.; Pfendner, C.; Rott, C.; Stamatikos, M.] Ohio State Univ, Ctr Cosmol &amp; Astroparticle Phys, Columbus, OH 43210 USA; [Beatty, J. J.] Ohio State Univ, Dept Astron, Columbus, OH 43210 USA; [Clevermann, F.; Frantzen, K.; Fuchs, T.; Koehne, J-H.; Milke, N.; Pieloth, D.; Rhode, W.; Ruhe, T.; Scheriau, F.; Schmitz, M.; Ziemann, J.] TU Dortmund Univ, Dept Phys, D-44221 Dortmund, Germany; [Bohaichuk, S.; Grant, D.; Nowicki, S. C.; Sheremata, C.; Wood, T. R.] Univ Alberta, Dept Phys, Edmonton, AB T6G 2G7, Canada; [Aguilar, J. A.; Montaruli, T.] Univ Geneva, Dept Phys Nucl &amp; Corpusculaire, CH-1211 Geneva, Switzerland; [Abdou, Y.; Carson, M.; De Ridder, S.; Feusels, T.; Ismail, A. Haj; Jlelati, O.; Ryckbosch, D.; Van Overloop, A.; Vraeghe, M.] Univ Ghent, Dept Phys &amp; Astron, B-9000 Ghent, Belgium; [Barwick, S. W.; Yodh, G.] Univ Calif Irvine, Dept Phys &amp; Astron, Irvine, CA 92697 USA; [Bruijn, R.; Cohen, S.; Ribordy, M.] Ecole Polytech Fed Lausanne, High Energy Phys Lab, CH-1015 Lausanne, Switzerland; [Besson, D. Z.] Univ Kansas, Dept Phys &amp; Astron, Lawrence, KS 66045 USA; [Gallagher, J.] Univ Wisconsin, Dept Astron, Madison, WI 53706 USA; [Abbasi, R.; Ahlers, M.; Auffenberg, J.; Baker, M.; BenZvi, S.; Chirkin, D.; Desiati, P.; Diaz-Velez, J. C.; Eisch, J.; Fadiran, O.; Feintzeig, J.; Gladstone, L.; Halzen, F.; Hoshina, K.; Jacobsen, J.; Jero, K.; Karle, A.; Kelley, J. L.; Kopper, C.; Krasberg, M.; Kurahashi, N.; Landsman, H.; Maruyama, R.; McNally, F.; Merck, M.; Morse, R.; Riedel, B.; Rodrigues, J. P.; Santander, M.; Toscano, S.; van Santen, J.; Weaver, Ch.; Wellons, M.; Wendt, C.; Westerhoff, S.; Whitehorn, N.] Univ Wisconsin, Dept Phys, Madison, WI 53706 USA; [Abbasi, R.; Ahlers, M.; Auffenberg, J.; Baker, M.; BenZvi, S.; Chirkin, D.; Desiati, P.; Diaz-Velez, J. C.; Eisch, J.; Fadiran, O.; Feintzeig, J.; Gladstone, L.; Halzen, F.; Hoshina, K.; Jacobsen, J.; Jero, K.; Karle, A.; Kelley, J. L.; Kopper, C.; Krasberg, M.; Kurahashi, N.; Landsman, H.; Maruyama, R.; McNally, F.; Merck, M.; Morse, R.; Riedel, B.; Rodrigues, J. P.; Santander, M.; Toscano, S.; van Santen, J.; Weaver, Ch.; Wellons, M.; Wendt, C.; Westerhoff, S.; Whitehorn, N.] Univ Wisconsin, Wisconsin IceCube Particle Astrophys Ctr, Madison, WI 53706 USA; [Baum, V.; Eberhardt, B.; Koepke, L.; Kroll, G.; Luenemann, J.; Sander, H-G.; Schatto, K.; Wiebe, K.] Johannes Gutenberg Univ Mainz, Inst Phys, D-55099 Mainz, Germany; [Kohnen, G.] Univ Mons, B-7000 Mons, Belgium; [Bernhard, A.; Gross, A.; Leute, J.; Odrowski, S.; Resconi, E.; Schulz, O.; Sestayo, Y.] Tech Univ Munich, D-85748 Garching, Germany; [Bai, X.; Evenson, P. A.; Gaisser, T. K.; Hussain, S.; Kuwabara, T.; Ruzybayev, B.; Seckel, D.; Stanev, T.; Tamburro, A.; Tilav, S.; Xu, C.] Univ Delaware, Bartol Res Inst, Newark, DE 19716 USA; [Bai, X.; Evenson, P. A.; Gaisser, T. K.; Hussain, S.; Kuwabara, T.; Ruzybayev, B.; Seckel, D.; Stanev, T.; Tamburro, A.; Tilav, S.; Xu, C.] Univ Delaware, Dept Phys &amp; Astron, Newark, DE 19716 USA; [Sarkar, S.] Univ Oxford, Dept Phys, Oxford OX1 3NP, England; [Madsen, J.; Seunarine, S.; Spiczak, G. M.] Univ Wisconsin, Dept Phys, River Falls, WI 54022 USA; [Bohm, C.; Danninger, M.; Finley, C.; Flis, S.; Hulth, P. O.; Hultqvist, K.; Seo, S. H.; Walck, C.; Wolf, M.; Zoll, M.] Stockholm Univ, Oskar Klein Ctr, SE-10691 Stockholm, Sweden; [Bohm, C.; Danninger, M.; Finley, C.; Flis, S.; Hulth, P. O.; Hultqvist, K.; Seo, S. H.; Walck, C.; Wolf, M.; Zoll, M.] Stockholm Univ, Dept Phys, SE-10691 Stockholm, Sweden; [Kiryluk, J.; Lesiak-Bzdak, M.; Niederhausen, H.] SUNY Stony Brook, Dept Phys &amp; Astron, Stony Brook, NY 11794 USA; [Larson, M. J.; Pepper, J. A.; Toale, P. A.; Williams, D. R.; Xu, D. L.; Zarzhitsky, P.] Univ Alabama, Dept Phys &amp; Astron, Tuscaloosa, AL 35487 USA; [Cowen, D. F.; Meszaros, P.] Penn State Univ, Dept Astron &amp; Astrophys, University Pk, PA 16802 USA; [Bell, M.; Clark, K.; Cowen, D. F.; DeYoung, T.; Dunkman, M.; Eagan, R.; Koskinen, D. J.; Meszaros, P.; Salameh, T.; Smith, M. W. E.; Wasserman, R.] Penn State Univ, Dept Phys, University Pk, PA 16802 USA; [Boersma, D. J.; Botner, O.; Hallgren, A.; de los Heros, C. Perez; Stroem, R.; Taavola, H.] Uppsala Univ, Dept Phys &amp; Astron, S-75120 Uppsala, Sweden; [Becker, K-H.; Bindig, D.; Fischer-Wasels, T.; Gurtner, M.; Helbing, K.; Hoffmann, R.; Klaes, J.; Kopper, S.; Naumann, U.; Obertacke, A.; Posselt, J.; Soldin, D.] Univ Wuppertal, Dept Phys, D-42119 Wuppertal, Germany; [Ackermann, M.; Benabderrahmane, M. L.; Berdermann, J.; Berghaus, P.; Bernardini, E.; Brunner, J.; Silva, A. H. Cruz; Franke, R.; Gluesenkamp, T.; Gora, D.; Jacobi, E.; Kaminsky, B.; Karg, T.; Kislat, F.; Middell, E.; Mohrmann, L.; Nahnhauer, R.; Pirk, N.; Schoenwald, A.; Spiering, C.; Stoessl, A.; Yanez, J. P.] DESY, D-15735 Garching, Germany; [Montaruli, T.] Sezione Ist Nazl Fis Nucl, Dipartimento Fis, I-70126 Bari, Italy</t>
  </si>
  <si>
    <t>RWTH Aachen University; University of Adelaide; University of Alaska System; University of Alaska Anchorage;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University of California System; University of California Berkeley; Humboldt University of Berlin; Ruhr University Bochum; University of Wurzburg; University of Bonn; Universite Libre de Bruxelles; Vrije Universiteit Brussel; Chiba University; University of Canterbury; University System of Maryland; University of Maryland College Park; University System of Ohio; Ohio State University; University System of Ohio; Ohio State University; University System of Ohio; Ohio State University; Dortmund University of Technology; University of Alberta; University of Geneva; Ghent University; University of California System; University of California Irvine; Swiss Federal Institutes of Technology Domain; Ecole Polytechnique Federale de Lausanne; University of Kansas; University of Wisconsin System; University of Wisconsin Madison; University of Wisconsin System; University of Wisconsin Madison; University of Wisconsin System; University of Wisconsin Madison; Johannes Gutenberg University of Mainz; University of Mons; Technical University of Munich; University of Delaware; University of Delaware; University of Oxford; University of Wisconsin System; Oskar Klein Centre; Stockholm University; Stockholm University; State University of New York (SUNY) System; State University of New York (SUNY) Stony Brook;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Istituto Nazionale di Fisica Nucleare (INFN)</t>
  </si>
  <si>
    <t>Chirkin, D (corresponding author), Univ Wisconsin, Dept Phys, 1150 Univ Ave, Madison, WI 53706 USA.</t>
  </si>
  <si>
    <t>dima@icecube.wisc.edu</t>
  </si>
  <si>
    <t>Bernardini, Elisa/AAA-4810-2020; Ha, Chang Hyon/AAR-8120-2021; DeYoung, Tyce/O-6895-2019; Naidu, Rajagopal/K-3038-2016; Bose, Debanjan/IQT-3805-2023; Seo, Seon Hee/K-9250-2014; Whitehorn, Nathan/HDM-8864-2022; Díaz Vélez, Juan Carlos/AAD-5211-2022; Rott, Carsten/ABB-1304-2021; Seo, Seon-Hee/M-1189-2019; Miller, Jonathan/HOC-2272-2023; Matis, Howard/AAO-2082-2021; Sarkar, Subir/G-5978-2011; Sarkar, Subir/GPT-4902-2022; Auffenberg, Jan/D-3954-2014; Williams, David/HKN-3732-2023; Díaz Vélez, Juan Carlos/T-2788-2018; Brunner, Juergen/G-3540-2015; sanchez, juan/GSD-8167-2022; Fedynitch, Anatoli/AAQ-9927-2021; Resconi, Elisa/I-3874-2016; Goodman, Jordan A/J-4188-2018; Ha, C/GZL-9046-2022; Benabderrahmane, Mohamed Lotfi/JFB-3165-2023; Kopper, Claudio/N-5824-2019; Beatty, James/D-9310-2011; Matis, Howard S/HMV-9747-2023; Wiebusch, Christopher H.V./G-6490-2012; Taavola, Henric/B-4497-2011; Heinen, Dirk/ABF-7280-2020; Abdou, Yasser/JJE-5519-2023; Tjus, Julia/G-8145-2012; HAJ ISMAIL, ABD AL KARIM/AAD-9991-2019; Venkateswararao, Gollakaram/B-5490-2015; Maruyama, Reina H/A-1064-2013; Buitink, Stijn/F-2113-2016; Kowalski, Marek/G-5546-2012; Miller, Jonathan/R-8518-2017; Gora, Dariusz/M-8695-2018; Ahlers, Markus/V-8757-2017; Aguilar Sanchez, Juan Antonio/H-4467-2015; Koskinen, David/G-3236-2014</t>
  </si>
  <si>
    <t>Bernardini, Elisa/0000-0003-3108-1141; DeYoung, Tyce/0000-0003-4873-3783; Whitehorn, Nathan/0000-0002-3157-0407; Díaz Vélez, Juan Carlos/0000-0002-0087-0693; Rott, Carsten/0000-0002-6958-6033; Seo, Seon-Hee/0000-0002-1496-624X; Sarkar, Subir/0000-0002-3542-858X; Auffenberg, Jan/0000-0002-1185-9094; Díaz Vélez, Juan Carlos/0000-0002-0087-0693; Brunner, Juergen/0000-0002-5052-7236; Fedynitch, Anatoli/0000-0003-2837-3477; Resconi, Elisa/0000-0003-0705-2770; Benabderrahmane, Mohamed Lotfi/0000-0003-4410-5886; Beatty, James/0000-0003-0481-4952; Matis, Howard S/0000-0003-0764-4389; Wiebusch, Christopher H.V./0000-0002-6418-3008; Taavola, Henric/0000-0002-2604-2810; Heinen, Dirk/0000-0002-4502-7288; Abdou, Yasser/0000-0001-7098-0487; Tjus, Julia/0000-0002-1748-7367; HAJ ISMAIL, ABD AL KARIM/0000-0003-4941-5154; Venkateswararao, Gollakaram/0000-0002-0327-7764; Maruyama, Reina H/0000-0003-2794-512X; Buitink, Stijn/0000-0002-6177-497X; Kappes, Alexander/0000-0003-1315-3711; Perez de los Heros, Carlos/0000-0002-2084-5866; Strom, Rickard/0000-0002-4496-1626; Klein, Spencer/0000-0003-2841-6553; Ha, Chang Hyon/0000-0002-9598-8589; Hill, Gary/0000-0001-8881-6802; Carson, Michael/0000-0003-0400-7819; Pollmann, Anna/0000-0002-2492-043X; Desiati, Paolo/0000-0001-9768-1858; Schukraft, Anne/0000-0002-9112-5479; Karg, Timo/0000-0003-3251-2126; Kowalski, Marek/0000-0001-8594-8666; BenZvi, Segev/0000-0001-5537-4710; Ruhe, Tim/0000-0002-4080-9563; Meszaros, Peter/0000-0002-4132-1746; Miller, Jonathan/0000-0002-7992-8033; De Clercq, Catherine/0000-0001-5266-7059; Kolanoski, Hermann/0000-0003-0435-2524; Ackermann, Markus/0000-0001-8952-588X; Stasik, Alexander/0000-0003-1646-2472; Yoshida, Shigeru/0000-0003-2480-5105; Franckowiak, Anna/0000-0002-5605-2219; Spiczak, Glenn/0000-0002-0030-0519; Toscano, Simona/0000-0002-1860-2240; Taboada, Ignacio/0000-0003-3509-3457; Danninger, Matthias/0000-0002-7807-7484; Gora, Dariusz/0000-0002-4853-5974; van Eijndhoven, Nick/0000-0001-5558-3328; Helbing, Klaus/0000-0003-2072-4172; Mohrmann, Lars/0000-0002-9667-8654; Seunarine, Suruj/0000-0003-3272-6896; Ahlers, Markus/0000-0003-0709-5631; Ter-Antonyan, Samvel/0000-0002-5788-1369; Brown, Anthony/0000-0003-0259-3148; Meagher, Kevin/0000-0003-3967-1533; Bose, Debanjan/0000-0003-1071-5854; Pirk, Norbert/0000-0002-8137-2329; Santander, Juan Marcos/0000-0001-7297-8217; Daughhetee, Jacob/0000-0001-5220-7159; Aguilar Sanchez, Juan Antonio/0000-0003-2252-9514; Montaruli, Teresa/0000-0001-5014-2152; de Vries, Krijn/0000-0002-9842-4068; Rhode, Wolfgang/0000-0003-2636-5000; Koskinen, David/0000-0002-0514-5917</t>
  </si>
  <si>
    <t>U.S. National Science Foundation-Office of Polar Programs; U.S. National Science Foundation-Physics Division; University of Wisconsin Alumni Research Foundation; Grid Laboratory Of Wisconsin (GLOW) grid infrastructure at the University of Wisconsin, Madison; Open Science Grid (OSG) grid infrastructure; U.S. Department of Energy; National Energy Research Scientific Computing Center; Louisiana Optical Network Initiative (LONI) grid computing resources; National Science and Engineering Research Council of Canada; Swedish Research Council, Sweden; Swedish Polar Research Secretariat, Sweden; Swedish National Infrastructure for Computing (SNIC), Sweden; Knut and Alice Wallenberg Foundation, Sweden; German Ministry for Education and Research (BMBF), Germany; Deutsche Forschungsgemeinschaft (DFG), Germany; Helmholtz Alliance for Astroparticle Physics (HAP), Germany;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United Kingdom; Marsden Fund, New Zealand; Australian Research Council; Japan Society for Promotion of Science (JSPS); Swiss National Science Foundation (SNSF), Switzerland; STFC [ST/J000507/1] Funding Source: UKRI; Science and Technology Facilities Council [ST/J000507/1] Funding Source: researchfish; Direct For Mathematical &amp; Physical Scien; Division Of Physics [1205796] Funding Source: National Science Foundation; Division Of Physics; Direct For Mathematical &amp; Physical Scien [0969661, 1306958] Funding Source: National Science Foundation</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</si>
  <si>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 Madison; Open Science Grid (OSG) grid infrastructure; U.S. Department of Energy(United States Department of Energy (DOE)); National Energy Research Scientific Computing Center; Louisiana Optical Network Initiative (LONI) grid computing resources; National Science and Engineering Research Council of Canada(Natural Sciences and Engineering Research Council of Canada (NSERC)); Swedish Research Council, Sweden(Swedish Research Council); Swedish Polar Research Secretariat, Sweden; Swedish National Infrastructure for Computing (SNIC), Sweden; Knut and Alice Wallenberg Foundation, Sweden(Knut &amp; Alice Wallenberg Foundation); German Ministry for Education and Research (BMBF), Germany(Federal Ministry of Education &amp; Research (BMBF)); Deutsche Forschungsgemeinschaft (DFG), Germany(German Research Foundation (DFG)); Helmholtz Alliance for Astroparticle Physics (HAP), Germany; Research Department of Plasmas with Complex Interactions (Bochum), Germany; Fund for Scientific Research (FNRS-FWO)(FWOFonds de la Recherche Scientifique - FNRS); FWO Odysseus programme; Flanders Institute to encourage scientific and technological research in industry (IWT)(Institute for the Promotion of Innovation by Science and Technology in Flanders (IWT)); Belgian Federal Science Policy Office (Belspo)(Belgian Federal Science Policy Office); University of Oxford, United Kingdom; Marsden Fund, New Zealand(Royal Society of New ZealandMarsden Fund (NZ)); Australian Research Council(Australian Research Council); Japan Society for Promotion of Science (JSPS)(Ministry of Education, Culture, Sports, Science and Technology, Japan (MEXT)Japan Society for the Promotion of Science); Swiss National Science Foundation (SNSF), Switzerland(Swiss National Science Foundation (SNSF)); STFC(UK Research &amp; Innovation (UKRI)Science &amp; Technology Facilities Council (STFC)); Science and Technology Facilities Council(UK Research &amp; Innovation (UKRI)Science &amp; Technology Facilities Council (STFC)); Direct For Mathematical &amp; Physical Scien; Division Of Physics(National Science Foundation (NSF)NSF - Directorate for Mathematical &amp; Physical Sciences (MPS)); Division Of Physics; Direct For Mathematical &amp; Physical Scien(National Science Foundation (NSF)NSF - Directorate for Mathematical &amp; Physical Sciences (MPS))</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</si>
  <si>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 Madison, the Open Science Grid (OSG) grid infrastructure; U.S. Department of Energy, and National Energy Research Scientific Computing Center, the Louisiana Optical Network Initiative (LONI) grid computing resources; National Science and Engineering Research Council of Canada; Swedish Research Council, Swedish Polar Research Secretariat, Swedish National Infrastructure for Computing (SNIC), and Knut and Alice Wallenberg Foundation, Sweden; German Ministry for Education and Research (BMBF), Deutsche Forschungsgemeinschaft (DFG), Helmholtz Alliance for Astroparticle Physics (HAP),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United Kingdom; Marsden Fund, New Zealand; Australian Research Council; Japan Society for Promotion of Science (JSPS); the Swiss National Science Foundation (SNSF), Switzerland.</t>
  </si>
  <si>
    <t>0168-9002</t>
  </si>
  <si>
    <t>NUCL INSTRUM METH A</t>
  </si>
  <si>
    <t>Nucl. Instrum. Methods Phys. Res. Sect. A-Accel. Spectrom. Dect. Assoc. Equip.</t>
  </si>
  <si>
    <t>10.1016/j.nima.2013.01.054</t>
  </si>
  <si>
    <t>Instruments &amp; Instrumentation; Nuclear Science &amp; Technology; Physics, Nuclear; Physics, Particles &amp; Fields</t>
  </si>
  <si>
    <t>Instruments &amp; Instrumentation; Nuclear Science &amp; Technology; Physics</t>
  </si>
  <si>
    <t>135WL</t>
  </si>
  <si>
    <t>Green Submitted, Green Published</t>
  </si>
  <si>
    <t>WOS:000318321300010</t>
  </si>
  <si>
    <t>Boyd, PW; Rynearson, TA; Armstrong, EA; Fu, FX; Hayashi, K; Hu, ZX; Hutchins, DA; Kudela, RM; Litchman, E; Mulholland, MR; Passow, U; Strzepek, RF; Whittaker, KA; Yu, E; Thomas, MK</t>
  </si>
  <si>
    <t>Boyd, Philip W.; Rynearson, Tatiana A.; Armstrong, Evelyn A.; Fu, Feixue; Hayashi, Kendra; Hu, Zhangxi; Hutchins, David A.; Kudela, Raphael M.; Litchman, Elena; Mulholland, Margaret R.; Passow, Uta; Strzepek, Robert F.; Whittaker, Kerry A.; Yu, Elizabeth; Thomas, Mridul K.</t>
  </si>
  <si>
    <t>Marine Phytoplankton Temperature versus Growth Responses from Polar to Tropical Waters - Outcome of a Scientific Community-Wide Study</t>
  </si>
  <si>
    <t>DINOFLAGELLATE AKASHIWO-SANGUINEA; DIATOM THALASSIOSIRA-ROTULA; HARMFUL ALGAL BLOOMS; SOUTHERN-OCEAN; LATITUDINAL GRADIENT; EMILIANIA-HUXLEYI; NORTH-ATLANTIC; IRON; LIGHT; CYANOBACTERIA</t>
  </si>
  <si>
    <t>It takes a village to finish (marine) science these days Paraphrased from Curtis Huttenhower (the Human Microbiome project) The rapidity and complexity of climate change and its potential effects on ocean biota are challenging how ocean scientists conduct research. One way in which we can begin to better tackle these challenges is to conduct community-wide scientific studies. This study provides physiological datasets fundamental to understanding functional responses of phytoplankton growth rates to temperature. While physiological experiments are not new, our experiments were conducted in many laboratories using agreed upon protocols and 25 strains of eukaryotic and prokaryotic phytoplankton isolated across a wide range of marine environments from polar to tropical, and from nearshore waters to the open ocean. This community-wide approach provides both comprehensive and internally consistent datasets produced over considerably shorter time scales than conventional individual and often uncoordinated lab efforts. Such datasets can be used to parameterise global ocean model projections of environmental change and to provide initial insights into the magnitude of regional biogeographic change in ocean biota in the coming decades. Here, we compare our datasets with a compilation of literature data on phytoplankton growth responses to temperature. A comparison with prior published data suggests that the optimal temperatures of individual species and, to a lesser degree, thermal niches were similar across studies. However, a comparison of the maximum growth rate across studies revealed significant departures between this and previously collected datasets, which may be due to differences in the cultured isolates, temporal changes in the clonal isolates in cultures, and/or differences in culture conditions. Such methodological differences mean that using particular trait measurements from the prior literature might introduce unknown errors and bias into modelling projections. Using our community-wide approach we can reduce such protocol-driven variability in culture studies, and can begin to address more complex issues such as the effect of multiple environmental drivers on ocean biota.</t>
  </si>
  <si>
    <t>[Boyd, Philip W.; Armstrong, Evelyn A.] Univ Otago, Dept Chem, NIWA Ctr Chem &amp; Phys Oceanog, Dunedin, New Zealand; [Boyd, Philip W.] Natl Inst Water &amp; Atmosphere, Wellington, New Zealand; [Rynearson, Tatiana A.; Whittaker, Kerry A.] Univ Rhode Isl, Grad Sch Oceanog, Narragansett, RI 02882 USA; [Fu, Feixue; Hutchins, David A.; Yu, Elizabeth] Univ So Calif, Dept Biol, Los Angeles, CA USA; [Hayashi, Kendra; Kudela, Raphael M.] Univ Calif Santa Cruz, Santa Cruz, CA 95064 USA; [Hu, Zhangxi; Mulholland, Margaret R.] Old Dominion Univ, Dept Ocean Earth &amp; Atmospher Sci, Norfolk, VA USA; [Litchman, Elena; Thomas, Mridul K.] Michigan State Univ, Kellogg Biol Stn, Hickory Corners, MI 49060 USA; [Passow, Uta] Univ Calif Santa Barbara, Dept Life Sci, Santa Barbara, CA 93106 USA; [Strzepek, Robert F.] Univ Otago, Dept Chem, Dunedin, New Zealand</t>
  </si>
  <si>
    <t>University of Otago; National Institute of Water &amp; Atmospheric Research (NIWA) - New Zealand; University of Rhode Island; University of Southern California; University of California System; University of California Santa Cruz; Old Dominion University; Michigan State University; University of California System; University of California Santa Barbara; University of Otago</t>
  </si>
  <si>
    <t>Boyd, PW (corresponding author), Univ Tasmania, Inst Marine &amp; Antarctic Studies, Hobart, Tas, Australia.</t>
  </si>
  <si>
    <t>pboyd@chemistry.otago.ac.nz</t>
  </si>
  <si>
    <t>Hutchins, David A/D-3301-2013; Fu, Feixue/IAP-5787-2023; Strzepek, Robert Francis/GQH-8703-2022; Thomas, Mridul/HZL-6270-2023; Mulholland, Margaret/E-8480-2011; Boyd, Philip/J-7624-2014</t>
  </si>
  <si>
    <t>Hutchins, David A/0000-0002-6637-756X; Strzepek, Robert Francis/0000-0002-6442-7121; Litchman, Elena/0000-0001-7736-6332; Mulholland, Margaret/0000-0001-8819-189X; Boyd, Philip/0000-0001-7850-1911; Thomas, Mridul/0000-0002-5089-5610</t>
  </si>
  <si>
    <t>National Science Foundation (NSF) [DEB-0845932, OCE-0928819.]; NSF [OCE-0727227, OCE-0926711, OCE-1041038, OCE-0238347, OCE-0942379, OCE-0962309, OCE-117030687, OCE-0722395]; New Zealand Royal Society Marsden Fund; Ministry of Science and Innovation; National Oceanic and Atmospheric Administration (NOAA) Monitoring and Event Response for Harmful Algal Blooms (MERHAB) [NA04NOS4780239]; NOAA The Ecology and Oceanography of Harmful Algal Blooms (ECOHAB) [NA06NO54780246]; Division Of Ocean Sciences; Directorate For Geosciences [0926711, 1041038, 0962309] Funding Source: National Science Foundation; Division Of Ocean Sciences; Directorate For Geosciences [1143760] Funding Source: National Science Foundation</t>
  </si>
  <si>
    <t>National Science Foundation (NSF)(National Science Foundation (NSF)); NSF(National Science Foundation (NSF)); New Zealand Royal Society Marsden Fund(Royal Society of New ZealandMarsden Fund (NZ)); Ministry of Science and Innovation(Spanish Government); National Oceanic and Atmospheric Administration (NOAA) Monitoring and Event Response for Harmful Algal Blooms (MERHAB); NOAA The Ecology and Oceanography of Harmful Algal Blooms (ECOHAB); Division Of Ocean Sciences; Directorate For Geosciences(National Science Foundation (NSF)NSF - Directorate for Geosciences (GEO)); Division Of Ocean Sciences; Directorate For Geosciences(National Science Foundation (NSF)NSF - Directorate for Geosciences (GEO))</t>
  </si>
  <si>
    <t>EL and MKT were in part supported by the National Science Foundation (NSF) grants DEB-0845932 and OCE-0928819. TAR and KAW were supported by NSF grant OCE-0727227. UP was supported by NSF grants OCE-0926711 and OCE-1041038. PWB and RS were supported by the New Zealand Royal Society Marsden Fund and the Ministry of Science and Innovation. RMK and KH were in part supported by National Oceanic and Atmospheric Administration (NOAA) Monitoring and Event Response for Harmful Algal Blooms (MERHAB) grant NA04NOS4780239 and NSF grant OCE-0238347. DAH and FX-F were supported by NSF grants OCE-0942379, OCE-0962309, and OCE-117030687. MRM was partially supported by NSF grant OCE-0722395 and a NOAA The Ecology and Oceanography of Harmful Algal Blooms (ECOHAB) grant NA06NO54780246. The funders had no role in study design, data collection and analysis, decision to publish, or preparation of the manuscript.; We acknowledge the NSF-funded ECCO (Evolution and Climate Change in the Ocean http://hofmannlab.msi.ucsb.edu/ecco/workshop-products-1/ECCO%20full%20report%20final.pdf;) and Dave Garrison (NSF) for bringing this community together. We thank Eric Webb USC for providing diazotroph cultures.</t>
  </si>
  <si>
    <t>e63091</t>
  </si>
  <si>
    <t>10.1371/journal.pone.0063091</t>
  </si>
  <si>
    <t>WOS:000319330200019</t>
  </si>
  <si>
    <t>Mcinnes, SJ</t>
  </si>
  <si>
    <t>Mcinnes, Sandra J.</t>
  </si>
  <si>
    <t>CLARK W. BEASLEY (1942-2012)</t>
  </si>
  <si>
    <t>SP-NOV EUTARDIGRADA; TARDIGRADA; CHINA; HYPSIBIIDAE; ECHINISCIDAE; DIPHASCON; PROVINCE</t>
  </si>
  <si>
    <t>British Antarctic Survey, Nat Environm ResearchCouncil, Cambridge CB3 0ET, England</t>
  </si>
  <si>
    <t>Mcinnes, SJ (corresponding author), British Antarctic Survey, Nat Environm ResearchCouncil, Cambridge CB3 0ET, England.</t>
  </si>
  <si>
    <t>McInnes, Sandra/AAN-4773-2020</t>
  </si>
  <si>
    <t>McInnes, Sandra/0000-0003-3403-9379</t>
  </si>
  <si>
    <t>MAY 20</t>
  </si>
  <si>
    <t>10.11646/zootaxa.3652.4.8</t>
  </si>
  <si>
    <t>147TN</t>
  </si>
  <si>
    <t>WOS:000319190200008</t>
  </si>
  <si>
    <t>Gardner, AS; Moholdt, G; Cogley, JG; Wouters, B; Arendt, AA; Wahr, J; Berthier, E; Hock, R; Pfeffer, WT; Kaser, G; Ligtenberg, SRM; Bolch, T; Sharp, MJ; Hagen, JO; van den Broeke, MR; Paul, F</t>
  </si>
  <si>
    <t>Gardner, Alex S.; Moholdt, Geir; Cogley, J. Graham; Wouters, Bert; Arendt, Anthony A.; Wahr, John; Berthier, Etienne; Hock, Regine; Pfeffer, W. Tad; Kaser, Georg; Ligtenberg, Stefan R. M.; Bolch, Tobias; Sharp, Martin J.; Hagen, Jon Ove; van den Broeke, Michiel R.; Paul, Frank</t>
  </si>
  <si>
    <t>A Reconciled Estimate of Glacier Contributions to Sea Level Rise: 2003 to 2009</t>
  </si>
  <si>
    <t>ICESAT LASER ALTIMETRY; MASS-BALANCE; CAPS; GREENLAND; AMERICA</t>
  </si>
  <si>
    <t>Glaciers distinct from the Greenland and Antarctic Ice Sheets are losing large amounts of water to the world's oceans. However, estimates of their contribution to sea level rise disagree. We provide a consensus estimate by standardizing existing, and creating new, mass-budget estimates from satellite gravimetry and altimetry and from local glaciological records. In many regions, local measurements are more negative than satellite-based estimates. All regions lost mass during 2003-2009, with the largest losses from Arctic Canada, Alaska, coastal Greenland, the southern Andes, and high-mountain Asia, but there was little loss from glaciers in Antarctica. Over this period, the global mass budget was -259 +/- 28 gigatons per year, equivalent to the combined loss from both ice sheets and accounting for 29 +/- 13% of the observed sea level rise.</t>
  </si>
  <si>
    <t>[Gardner, Alex S.] Clark Univ, Grad Sch Geog, Worcester, MA 01610 USA; [Gardner, Alex S.] Univ Michigan, Dept Atmospher Ocean &amp; Space Sci, Ann Arbor, MI 48109 USA; [Moholdt, Geir] Scripps Inst Oceanog, Inst Geophys &amp; Planetary Phys, La Jolla, CA 92093 USA; [Cogley, J. Graham] Trent Univ, Dept Geog, Peterborough, ON K9J 7B8, Canada; [Wouters, Bert; Wahr, John] Univ Colorado, Dept Phys, Boulder, CO 80309 USA; [Wouters, Bert] Bristol Glaciol Ctr, Sch Geog Sci, Bristol BS8 1SS, Avon, England; [Arendt, Anthony A.; Hock, Regine] Univ Alaska Fairbanks, Inst Geophys, Fairbanks, AK 99775 USA; [Wahr, John] Univ Colorado, Cooperat Inst Res Environm Sci, Boulder, CO 80309 USA; [Berthier, Etienne] Univ Toulouse, LEGOS, CNRS, F-31400 Toulouse, France; [Hock, Regine] Uppsala Univ, Dept Earth Sci, SE-75105 Uppsala, Sweden; [Pfeffer, W. Tad] Univ Colorado, Inst Arctic &amp; Alpine Res, Boulder, CO 80309 USA; [Kaser, Georg] Univ Innsbruck, Inst Meteorol &amp; Geophys, A-6020 Innsbruck, Austria; [Ligtenberg, Stefan R. M.; van den Broeke, Michiel R.] Univ Utrecht, Inst Marine &amp; Atmospher Res Utrecht, NL-3508 TA Utrecht, Netherlands; [Bolch, Tobias; Paul, Frank] Univ Zurich, Dept Geog, CH-8057 Zurich, Switzerland; [Bolch, Tobias] Tech Univ Dresden, Inst Kartog, D-01062 Dresden, Germany; [Sharp, Martin J.] Univ Alberta, Dept Earth &amp; Atmospher Sci, Edmonton, AB T6G 2E3, Canada; [Hagen, Jon Ove] Univ Oslo, Dept Geosci, N-0316 Oslo, Norway</t>
  </si>
  <si>
    <t>Clark University; University of Michigan System; University of Michigan; University of California System; University of California San Diego; Scripps Institution of Oceanography; Trent University; University of Colorado System; University of Colorado Boulder; University of Bristol; University of Alaska System; University of Alaska Fairbanks; University of Colorado System; University of Colorado Boulder; Universite de Toulouse; Universite Toulouse III - Paul Sabatier; Centre National de la Recherche Scientifique (CNRS); Institut de Recherche pour le Developpement (IRD); Laboratoire d'Etudes en Geophysique et oceanographie spatiales; Uppsala University; University of Colorado System; University of Colorado Boulder; University of Innsbruck; Utrecht University; University of Zurich; Technische Universitat Dresden; University of Alberta; University of Oslo</t>
  </si>
  <si>
    <t>Gardner, AS (corresponding author), Clark Univ, Grad Sch Geog, Worcester, MA 01610 USA.</t>
  </si>
  <si>
    <t>agardner@clarku.edu</t>
  </si>
  <si>
    <t>Hock, Regine/C-6179-2013; Bolch, Tobias/A-1935-2008; Berthier, Etienne/B-8900-2009; Wouters, Bert/AAA-4254-2019; Bolch, Tobias/ABE-6635-2020; Ligtenberg, Stefan/AAF-8290-2020; Van den Broeke, Michiel R./F-7867-2011; Hock, Regine/JTT-4089-2023</t>
  </si>
  <si>
    <t>Bolch, Tobias/0000-0002-8201-5059; Berthier, Etienne/0000-0001-5978-9155; Wouters, Bert/0000-0002-1086-2435; Bolch, Tobias/0000-0002-8201-5059; Van den Broeke, Michiel R./0000-0003-4662-7565; Gardner, Alex/0000-0002-8394-8889; Hock, Regine/0000-0001-8336-9441; Kaser, Georg/0000-0001-5916-6206</t>
  </si>
  <si>
    <t>Natural Sciences and Engineering Research Council of Canada; NASA [NNX09AE52G, NNX11AF41G, NNX11A023G]; Marie Curie International Outgoing Fellowship within the 7th European Community Framework Programme [FP7-PEOPLE-2011-IOF-301260]; TOSCA program of the French Space Agency (CNES); NSF [ANT-1043649]; Austrian Science Fund (FWF) [P25362-N26]; Deutsche Forschungsgemeinschaft (DFG) [BO 3199/2-1]; European Space Agency project Glaciers_cci [4000101778/10/I-AM]; NASA [119939, NNX09AE52G] Funding Source: Federal RePORTER; Austrian Science Fund (FWF) [P25362] Funding Source: Austrian Science Fund (FWF)</t>
  </si>
  <si>
    <t>Natural Sciences and Engineering Research Council of Canada(Natural Sciences and Engineering Research Council of Canada (NSERC)CGIAR); NASA(National Aeronautics &amp; Space Administration (NASA)); Marie Curie International Outgoing Fellowship within the 7th European Community Framework Programme(Marie Curie Actions); TOSCA program of the French Space Agency (CNES); NSF(National Science Foundation (NSF)); Austrian Science Fund (FWF)(Austrian Science Fund (FWF)); Deutsche Forschungsgemeinschaft (DFG)(German Research Foundation (DFG)); European Space Agency project Glaciers_cci; NASA(National Aeronautics &amp; Space Administration (NASA)); Austrian Science Fund (FWF)(Austrian Science Fund (FWF))</t>
  </si>
  <si>
    <t>We thank K. Matsuo, M. Huss, T. Jacob, A. Kaab, S. Luthcke, A. Willsman, M. Willis, and I. Sasgen for updated or early access to regional estimates of glacier mass change; M. Flanner, T. Jacob, and S. Swenson for helping with analysis of the hydrologic models; A. Bliss, N. Molg, C. Nuth, P. Rastner, M. Willis, and G. Wolken for providing regional areas of ocean-terminating glacier basins; J. Lenaerts and J. van Angelen for providing RACMO2 output for Greenland and Antarctica; J. Box and C. Chen for making available Greenland Ice Sheet snowline estimates; G. A, R. Riva, and P. Stocchi for providing glacial isostatic adjustment models; and C. Starr and the NASA/Goddard Space Flight Center Scientific Visualization Studio for help with Fig. 1. This work was supported by funding to A. S. G. and M. J. S. from the Natural Sciences and Engineering Research Council of Canada, G. M. from NASA award NNX09AE52G, B. W. from a Marie Curie International Outgoing Fellowship within the 7th European Community Framework Programme (FP7-PEOPLE-2011-IOF-301260), E. B. from the TOSCA program of the French Space Agency (CNES), R. H. from NASA grants NNX11AF41G and NNX11A023G and NSF grant ANT-1043649, G. K. from Austrian Science Fund (FWF) grant P25362-N26, T. B. from the Deutsche Forschungsgemeinschaft (DFG, BO 3199/2-1), and F. P. from European Space Agency project Glaciers_cci (4000101778/10/I-AM).</t>
  </si>
  <si>
    <t>MAY 17</t>
  </si>
  <si>
    <t>10.1126/science.1234532</t>
  </si>
  <si>
    <t>145EM</t>
  </si>
  <si>
    <t>WOS:000318997400041</t>
  </si>
  <si>
    <t>Gaiero, DM; Simonella, L; Gassó, S; Gili, S; Stein, AF; Sosa, P; Becchio, R; Arce, J; Marelli, H</t>
  </si>
  <si>
    <t>Gaiero, D. M.; Simonella, L.; Gasso, S.; Gili, S.; Stein, A. F.; Sosa, P.; Becchio, R.; Arce, J.; Marelli, H.</t>
  </si>
  <si>
    <t>Ground/satellite observations and atmospheric modeling of dust storms originating in the high Puna-Altiplano deserts (South America): Implications for the interpretation of paleo-climatic archives</t>
  </si>
  <si>
    <t>EAST ANTARCTICA; GEOCHEMICAL EVOLUTION; BOLIVIAN ALTIPLANO; CONTINENTAL-CRUST; ATLANTIC-OCEAN; CENTRAL ANDES; AEOLIAN DUST; TRANSPORT; AEROSOLS; PATAGONIA</t>
  </si>
  <si>
    <t>This study provides a detailed description of the sources, transport, dispersion, and deposition of two major dust events originating from the high-altitude subtropical Puna-Altiplano Plateau (15-26 degrees S; 65-69 degrees W) in South America. A long and severe drought provided the right conditions for the onset of both events in July 2009 and 2010. Dust was transported SE and deposited over the Pampas region and was observed to continue to the Atlantic Ocean. Dust monitoring stations located downwind recorded both events, and samples were characterized through chemical and textural analysis. Through a combination of meteorological data and satellite observations (CALIPSO and MODIS detectors), we estimate the emission flux for the 2010 event. This estimate was used to constrain the Hybrid Single Particle Lagrangian Integrated Trajectory (HYSPLIT) transport model and simulate the dust event. Both satellite imagery and model results agree in the location and extension of the dust cloud. CALIPSO detected dust between similar to 6000 and similar to 8500 m a.s.l., which remained at this height during most of its trajectory. The dust cloud mixed with a strong convective system in the region, and the associated precipitation brought down significant amounts of dust to the ground. Dust particle size analysis for both events indicates that near the sources dust samples show median modes of 12.4-14.1 mu m, similar to modes observed 1300 km away. Chemical composition of sediments from potential dust sources shows distinct signatures within the Puna-Altiplano Plateau, the Puna sector being clearly different from the Altiplano area. In addition, both sources are markedly different from the Patagonian chemical fingerprint. These results have important implications to improve the interpretation of paleo-environmental archives preserved on the Argentine loess, Antarctic ice cores, and Southern Ocean marine sediments.</t>
  </si>
  <si>
    <t>[Gaiero, D. M.; Simonella, L.; Gili, S.] Univ Nacl Cordoba, CICTERRA, FCEFyN, RA-5000 Cordoba, Argentina; [Gasso, S.] Morgan State Univ, GESTAR, Baltimore, MD 21239 USA; [Stein, A. F.] NOAA, ERT Inc, Air Resources Lab, College Pk, MD USA; [Sosa, P.; Becchio, R.] Univ Nacl Salta, Salta, Argentina; [Arce, J.; Marelli, H.] INTA, Marcos Juarez, Provincia Cordo, Argentina</t>
  </si>
  <si>
    <t>Consejo Nacional de Investigaciones Cientificas y Tecnicas (CONICET); National University of Cordoba; Morgan State University; National Oceanic Atmospheric Admin (NOAA) - USA; Instituto Nacional de Tecnologia Agropecuaria (INTA)</t>
  </si>
  <si>
    <t>Gaiero, DM (corresponding author), Univ Nacl Cordoba, CICTERRA, FCEFyN, RA-5000 Cordoba, Argentina.</t>
  </si>
  <si>
    <t>dgaiero@efn.uncor.edu</t>
  </si>
  <si>
    <t>Stein, Ariel/G-1330-2012; Stein, Ariel F/L-9724-2014; Gasso, Santiago/H-9571-2014</t>
  </si>
  <si>
    <t>Stein, Ariel F/0000-0002-9560-9198; Gaiero, Diego Marcelo/0000-0003-1029-2265; Gasso, Santiago/0000-0002-6872-0018</t>
  </si>
  <si>
    <t>Weizmann Institute; SECyT/UNC; FONCyT [PICT-0625]</t>
  </si>
  <si>
    <t>Weizmann Institute; SECyT/UNC(Secretaria de Ciencia y Tecnologia (SECYT)); FONCyT(FONCyT)</t>
  </si>
  <si>
    <t>The authors express their deep thanks to Mr. Mariano D'Alto, who kindly provided the Buenos Aires dust sample, and Florence Sylvestre, who provided the top soil sample from Coipasa. Ms. G. Torres and S. Bordese helped with lab activities. Mr. M. Hilario kindly assisted us with salar pan sampling within the Salar de Uyuni. We are indebted to the Servicio Meteorologico Nacional for the meteorological data. We also acknowledge the U.S. National Aeronautics and Space Administration and the National Oceanic and Atmospheric Administration for making the satellite data and modeling tools freely available. This work was financially supported by grants awarded to D.M.G.: Antorchas, IAI, the Weizmann Institute, SECyT/UNC, and FONCyT (PICT-0625).</t>
  </si>
  <si>
    <t>MAY 16</t>
  </si>
  <si>
    <t>10.1002/jgrd.50036</t>
  </si>
  <si>
    <t>155JU</t>
  </si>
  <si>
    <t>WOS:000319744700027</t>
  </si>
  <si>
    <t>Wright, CJ; Gille, JC</t>
  </si>
  <si>
    <t>Wright, C. J.; Gille, J. C.</t>
  </si>
  <si>
    <t>Detecting overlapping gravity waves using the S-Transform</t>
  </si>
  <si>
    <t>MOMENTUM FLUX; PARAMETERIZATION; SPECTRUM; HIRDLS</t>
  </si>
  <si>
    <t>We discuss an adaptation to the widely-used Stockwell Transform based method for the detection of gravity waves to allow the detection of multiple overlapping waves. This adjusted method is applied to data from the High Resolution Dynamics Limb Sounder for the period of May 2006 and is found to change the measured distribution of gravity wave momentum flux on a global scale. An overall 68% increase in measured momentum flux is observed for the 20 - 30 km altitude range, with significant regional variability. The largest absolute increase is over India, the Southern Ocean, and the Antarctic Peninsula, regions previously known to exhibit high levels of momentum flux. A strong relative increase is observed north of the equator, particularly in the tropics; analysis of the wavelength distribution of detected gravity waves shows that the majority of this increase is due to the detection of small vertical- and horizontal-scale waves which were presumably previously masked by higher-amplitude events in the same profile.</t>
  </si>
  <si>
    <t>[Wright, C. J.; Gille, J. C.] Natl Ctr Atmospher Res, Boulder, CO 80301 USA; [Gille, J. C.] Univ Colorado, Ctr Limb Atmosphere Sounding, Boulder, CO 80309 USA</t>
  </si>
  <si>
    <t>National Center Atmospheric Research (NCAR) - USA; University of Colorado System; University of Colorado Boulder</t>
  </si>
  <si>
    <t>Wright, CJ (corresponding author), Natl Ctr Atmospher Res, Div Atmospher Chem, Mitchell Lane, Boulder, CO 80301 USA.</t>
  </si>
  <si>
    <t>corwin.wright@trinity.oxon.org</t>
  </si>
  <si>
    <t>Wright, Corwin/J-4598-2014</t>
  </si>
  <si>
    <t>Wright, Corwin/0000-0003-2496-953X</t>
  </si>
  <si>
    <t>NASA's Aura satellite program [NAS5-97046]; National Science Foundation</t>
  </si>
  <si>
    <t>NASA's Aura satellite program; National Science Foundation(National Science Foundation (NSF))</t>
  </si>
  <si>
    <t>The authors are currently funded by NASA's Aura satellite program under contract NAS5-97046. The article was written up during a visit by CJW to the University of Oxford, generously arranged by Prof. Lesley Gray. The authors would also like to thank Dr. Joanna Barstow for useful suggestions on the figures, Dr. Adrian McDonald for advice on the implementation of the statistical-checking methodology and useful questions on some preliminary results, Dr. Scott Osprey for helpful advice, and two anonymous reviewers for useful suggestions. This work benefited from discussions at the International Space Science Institute (ISSI) in Bern, Switzerland.; The National Center for Atmospheric Research is sponsored by the National Science Foundation. Any opinions, findings, and conclusions or recommendations expressed in the publication are those of the authors and do not necessarily reflect the views of the National Science Foundation.</t>
  </si>
  <si>
    <t>10.1002/grl.50378</t>
  </si>
  <si>
    <t>163EC</t>
  </si>
  <si>
    <t>WOS:000320317500033</t>
  </si>
  <si>
    <t>Cheung, WWL; Watson, R; Pauly, D</t>
  </si>
  <si>
    <t>Cheung, William W. L.; Watson, Reg; Pauly, Daniel</t>
  </si>
  <si>
    <t>Signature of ocean warming in global fisheries catch</t>
  </si>
  <si>
    <t>CLIMATE-CHANGE; FISH ASSEMBLAGE; IMPACTS; SHIFTS; VULNERABILITY; SEA</t>
  </si>
  <si>
    <t>Marine fishes and invertebrates respond to ocean warming through distribution shifts, generally to higher latitudes and deeper waters. Consequently, fisheries should be affected by 'tropicalization' of catch(1-4) (increasing dominance of warm-water species). However, a signature of such climate-change effects on global fisheries catch has so far not been detected. Here we report such an index, the mean temperature of the catch (MTC), that is calculated from the average inferred temperature preference of exploited species weighted by their annual catch. Our results show that, after accounting for the effects of fishing and large-scale oceanographic variability, global MTC increased at a rate of 0.19 degrees Celsius per decade between 1970 and 2006, and non-tropical MTC increased at a rate of 0.23 degrees Celsius per decade. In tropical areas, MTC increased initially because of the reduction in the proportion of subtropical species catches, but subsequently stabilized as scope for further tropicalization of communities became limited. Changes in MTC in 52 large marine ecosystems, covering the majority of the world's coastal and shelf areas, are significantly and positively related to regional changes in sea surface temperature(5). This study shows that ocean warming has already affected global fisheries in the past four decades, highlighting the immediate need to develop adaptation plans to minimize the effect of such warming on the economy and food security of coastal communities, particularly in tropical regions(6,7).</t>
  </si>
  <si>
    <t>[Cheung, William W. L.] Univ British Columbia, Changing Ocean Res Unit, Fisheries Ctr, Vancouver, BC V6T 1Z4, Canada; [Watson, Reg] Univ Tasmania, Inst Marine &amp; Antarctic Studies, Taroona, Tas 7001, Australia; [Pauly, Daniel] Univ British Columbia, Sea Us Project, Vancouver, BC V6T 1Z4, Canada</t>
  </si>
  <si>
    <t>University of British Columbia; University of Tasmania; University of British Columbia</t>
  </si>
  <si>
    <t>Cheung, WWL (corresponding author), Univ British Columbia, Changing Ocean Res Unit, Fisheries Ctr, Vancouver, BC V6T 1Z4, Canada.</t>
  </si>
  <si>
    <t>w.cheung@fisheries.ubc.ca</t>
  </si>
  <si>
    <t>Pauly, Daniel Marc/AAY-2316-2021; Watson, Reg A/F-4850-2012; , William/F-5104-2013</t>
  </si>
  <si>
    <t>Watson, Reg A/0000-0001-7201-8865; , William/0000-0003-3626-1045; Pauly, Daniel/0000-0003-3756-4793</t>
  </si>
  <si>
    <t>National Geographic Society; Natural Sciences and Engineering Research Council of Canada; Pew Charitable Trust through the Sea Around Us project</t>
  </si>
  <si>
    <t>National Geographic Society(National Geographic Society); Natural Sciences and Engineering Research Council of Canada(Natural Sciences and Engineering Research Council of Canada (NSERC)CGIAR); Pew Charitable Trust through the Sea Around Us project</t>
  </si>
  <si>
    <t>W.W.L.C. acknowledges funding support from the National Geographic Society and the Natural Sciences and Engineering Research Council of Canada. R. W. and D. P. were supported by the Pew Charitable Trust through the Sea Around Us project. We are grateful to S. Pauly and D. Palomares for reviewing the manuscript and providing the Aquamap distributions from FishBase, respectively.</t>
  </si>
  <si>
    <t>NATURE RESEARCH</t>
  </si>
  <si>
    <t>10.1038/nature12156</t>
  </si>
  <si>
    <t>144PN</t>
  </si>
  <si>
    <t>WOS:000318952000037</t>
  </si>
  <si>
    <t>Mays, C; Stilwell, JD</t>
  </si>
  <si>
    <t>Mays, Chris; Stilwell, Jeffrey D.</t>
  </si>
  <si>
    <t>Pollen and spore biostratigraphy of the mid-Cretaceous Tupuangi Formation, Chatham Islands, New Zealand</t>
  </si>
  <si>
    <t>REVIEW OF PALAEOBOTANY AND PALYNOLOGY</t>
  </si>
  <si>
    <t>biostratigraphy; palynology; allostratigraphy; Chatham Islands; New Zealand; mid-Cretaceous</t>
  </si>
  <si>
    <t>WEST ANTARCTICA; SW PACIFIC; TEMPERATURES; HISTORY; SURFACE; MARGIN; ROCKS; LAND</t>
  </si>
  <si>
    <t>The Tupuangi Formation, a mid-Cretaceous terrestrial stratigraphic succession from the Chatham Islands (New Zealand), provides a unique perspective into high polar latitudinal (75-80 degrees S) conditions that have no modern analogues. Detailed investigations of the biostratigraphy of these sediments have constrained the age of crucial tectonic, climatic and ecologic events of this time. This study examined two sedimentary successions of the Tupuangi Formation on Pitt Island (Chatham Islands), and 41 palynomorph samples were retrieved and processed for biostratigraphic analysis. By comparing the stratigraphy and palynological assemblages of the two examined outcrop successions, this study produced the first island-wide biostratigraphic correlation of the Tupuangi Formation, and four allostratigraphic units (one alloformation subdivided into three allomembers) were identified; the unconformities that define the boundaries of these were verified by pollen and spore index species. Two of these unconformities have correlatives on mainland New Zealand. 18 spore/pollen taxa were used for these correlations, including two new spore taxa (Biretisporites labruplenus sp. nov. and Klukisporites sphaerogoufus sp. nov.), one newly validated spore taxon (Gleicheniidites ancorus sp. nov.), and two new pollen taxa (Liliacidites exquisitus sp. nov. and Trichotomosulcites hemisphaerius sp. nov.). The examined Tupuangi Formation outcrop successions correspond to the Ngaterian to Mangaotanean New Zealand chrono-stratigraphic stages (Cenomanian to Turonian; 99-89 Ma). The timing of deposition for the Tupuangi Formation yields supporting evidence for the notion of a failed-rift basin in eastern Zealandia prior to sea-floor spreading between Zealandia and Marie Byrd Land, Antarctica. Previous studies suggested a negligible time-gap between the Tupuangi Formation, and the overlying Kahuitara Tuff; however, supported by evidence of reworking, this study suggests a temporal hiatus of &gt;4 Ma. This time-gap was most likely caused by thermal uplift prior to the onset of sea-floor spreading between Zealandia and Antarctica. Crown Copyright (C) 2013 Published by Elsevier B.V. All rights reserved.</t>
  </si>
  <si>
    <t>[Mays, Chris; Stilwell, Jeffrey D.] Monash Univ, Sch Geosci, Clayton, Vic 3800, Australia</t>
  </si>
  <si>
    <t>Monash University</t>
  </si>
  <si>
    <t>Mays, C (corresponding author), Monash Univ, Sch Geosci, Clayton, Vic 3800, Australia.</t>
  </si>
  <si>
    <t>chris.mays@monash.edu</t>
  </si>
  <si>
    <t>Mays, Chris/0000-0002-5416-2289; Stilwell, Jeffrey Darl/0000-0002-9853-1322</t>
  </si>
  <si>
    <t>Monash University Bridging and Research Initiatives and Australian Research Council Linkage Grant [ARC-LP0989518]; Australian Postgraduate Award Scholarship</t>
  </si>
  <si>
    <t>Monash University Bridging and Research Initiatives and Australian Research Council Linkage Grant; Australian Postgraduate Award Scholarship</t>
  </si>
  <si>
    <t>The authors would like to thank the following people for particular aspects of this study: Dr Barbara Wagstaff (University of Melbourne) for advice with palynological techniques and invaluable assistance with all things palynological; Prof. Peter Kershaw (Monash University) for the usage of the microscopy facilities and sound palynological advice; Dr Ian Raine (GNS Science) for specific advice with the New Zealand floral assemblage and aid with sample processing; Dr Alan D. Partridge (Biostrata Pty. Ltd.) for aid with biostratigraphic zonation schemes and microscope techniques; Dr Poul Schioler for assistance with dinoflagellate taxonomy; Dr Daniel Mantle (Geoscience Australia) for advice on microplankton and assistance with sample processing; and Prof. David Cantrill (Royal Botanic Gardens, Melbourne) for his perspective on coeval Antarctic floras. Special thanks go out to the residents of Pitt Island, especially Mr John Preece, Mr Bill Gregory-Hunt and Mrs Dianne Gregory-Hunt for allowing access to the outcrops on their land, as well as Mr Ken Lanauze and Mrs Judy Lanauze for their assistance and support on Pitt Island. Terry and Donna Tuanui kindly provided support on Chatham Island before and after fieldwork on Pitt Island. The authors would also like to sincerely thank the following people, without whom this project would not have been possible: Dr Hamish Campbell (GNS Science), Dr Dallas Mildenhall (GNS Science), Prof. Ray Cas (Monash University), Mr Aidan McMahon, Ms Emma Lewis, Ms Leonor Sorrentino-Mariconda, Dr Stephen Poropat, Mr Daniel Thompson, Mr Jozua van Otterloo, Ms Sahereh Aivazpourporgou and Ms Chava Rodriguez. This investigation was funded by a Monash University Bridging and Research Initiatives and Australian Research Council Linkage Grant (ARC-LP0989518) grants awarded to Assoc. Prof. Jeffrey D. Stilwell, and an Australian Postgraduate Award Scholarship awarded to Chris Mays.</t>
  </si>
  <si>
    <t>0034-6667</t>
  </si>
  <si>
    <t>1879-0615</t>
  </si>
  <si>
    <t>REV PALAEOBOT PALYNO</t>
  </si>
  <si>
    <t>Rev. Palaeobot. Palynology</t>
  </si>
  <si>
    <t>MAY 15</t>
  </si>
  <si>
    <t>10.1016/j.revpalbo.2012.12.008</t>
  </si>
  <si>
    <t>165OG</t>
  </si>
  <si>
    <t>WOS:000320492600007</t>
  </si>
  <si>
    <t>Bond, AL; Lavers, JL</t>
  </si>
  <si>
    <t>Bond, Alexander L.; Lavers, Jennifer L.</t>
  </si>
  <si>
    <t>Effectiveness of emetics to study plastic ingestion by Leach's Storm-petrels (Oceanodroma leucorhoa)</t>
  </si>
  <si>
    <t>MARINE POLLUTION BULLETIN</t>
  </si>
  <si>
    <t>Ipecac; Leach's Storm-petrel; Oceanodroma leucorhoa; Plastic ingestion; Seabird</t>
  </si>
  <si>
    <t>FULMAR FULMARUS-GLACIALIS; OBTAINING FOOD SAMPLES; SOUTH ORKNEY ISLANDS; ATLANTIC-OCEAN; PARTICLE POLLUTION; MARINE-ENVIRONMENT; TAILED SHEARWATERS; STOMACH CONTENTS; INDUCED EMESIS; NORTH PACIFIC</t>
  </si>
  <si>
    <t>Most plastic ingestion studies rely on dissection of dead birds, which are found opportunistically, and may be biased. We used Leach's Storm-petrels (Oceanodroma leucorhoa) in Newfoundland to study the effect of dose volume, and the efficacy of emesis using syrup of ipecac as an emetic. Ipecac is a safe method of non-lethally sampling stomach contents, and recovered all ingested plastic. Almost half the storm-petrels sampled had ingested plastic, ranging from 0 to 17 pieces, and weighing 0.2-16.9 mg. Using the Ecological Quality Objective for Northern Fulmars, adjusted for storm-petrels smaller size, 43% exceeded the threshold of 0.0077 g of plastic. Many adult seabirds offload plastic to their offspring, so storm-petrel chicks likely experience a higher plastic burden than their parents. The ability to study plastic ingestion non-lethally allows researchers to move from opportunistic and haphazard sampling to hypothesis-driven studies on a wider range of taxa and age classes. (c) 2013 Elsevier Ltd. All rights reserved.</t>
  </si>
  <si>
    <t>[Bond, Alexander L.] Univ Saskatchewan, Dept Biol, Saskatoon, SK S7N 3H5, Canada; [Bond, Alexander L.] Environm Canada, Saskatoon, SK S7N 3H5, Canada; [Lavers, Jennifer L.] Univ Tasmania, Inst Marine &amp; Antarctic Studies, Hobart, Tas 7005, Australia</t>
  </si>
  <si>
    <t>University of Saskatchewan; Environment &amp; Climate Change Canada; University of Tasmania</t>
  </si>
  <si>
    <t>Bond, AL (corresponding author), Univ Saskatchewan, Dept Biol, 11 Innovat Blvd, Saskatoon, SK S7N 3H5, Canada.</t>
  </si>
  <si>
    <t>alex.bond@usask.ca</t>
  </si>
  <si>
    <t>Lavers, Jennifer/O-4831-2017; Lavers, Jennifer/IWM-5417-2023; Bond, Alexander L/A-3786-2010</t>
  </si>
  <si>
    <t>Lavers, Jennifer/0000-0001-7596-6588; Bond, Alexander/0000-0003-2125-7238</t>
  </si>
  <si>
    <t>Natural Sciences and Engineering Research Council of Canada; Environment Canada</t>
  </si>
  <si>
    <t>Natural Sciences and Engineering Research Council of Canada(Natural Sciences and Engineering Research Council of Canada (NSERC)CGIAR); Environment Canada(CGIAR)</t>
  </si>
  <si>
    <t>H.J. Munro and D.W. Pirie-Hay assisted with field collections in Newfoundland and Labrador. The Parks and Natural Areas Division, Newfoundland and Labrador Department of Environment and Conservation kindly granted permission for our work in the Witless Bay Ecological Reserve. A.W. Diamond, J.M. Harris, and P.M. McKinley provided valuable discussions on emetics, and G.J. Robertson, S.I. Wilhelm, and Environment Canada provided logistic support in Newfoundland and Labrador. The Natural Sciences and Engineering Research Council of Canada, and Environment Canada provided financial support. Comments from A.W. Diamond, C. Sheppard, J. van Franeker, and two anonymous reviewers improved previous drafts.</t>
  </si>
  <si>
    <t>0025-326X</t>
  </si>
  <si>
    <t>1879-3363</t>
  </si>
  <si>
    <t>MAR POLLUT BULL</t>
  </si>
  <si>
    <t>Mar. Pollut. Bull.</t>
  </si>
  <si>
    <t>1-2</t>
  </si>
  <si>
    <t>10.1016/j.marpolbul.2013.02.030</t>
  </si>
  <si>
    <t>159UI</t>
  </si>
  <si>
    <t>WOS:000320072400033</t>
  </si>
  <si>
    <t>Das, O; Wang, Y; Donoghue, J; Xu, XM; Coor, J; Elsner, J; Xu, YF</t>
  </si>
  <si>
    <t>Das, Oindrila; Wang, Yang; Donoghue, Joseph; Xu, Xiaomei; Coor, Jennifer; Elsner, James; Xu, Yingfeng</t>
  </si>
  <si>
    <t>Reconstruction of paleostorms and paleoenvironment using geochemical proxies archived in the sediments of two coastal lakes in northwest Florida</t>
  </si>
  <si>
    <t>Paleotempestology; Paleoenviroment; Stable carbon isotope; Stable nitrogen isotope; Radiocarbon dating</t>
  </si>
  <si>
    <t>PREHISTORIC LANDFALL FREQUENCIES; HURRICANE ACTIVITY; RECORD; GULF; HISTORY; CARBON; INTENSITY</t>
  </si>
  <si>
    <t>Late Holocene paleoclimate records from coastal regions are important for understanding long-term variability of hurricane activity. Here we present a nearly 4000-year record of severe storm landfalls and environmental changes based on organic geochemical proxies (OGPs) preserved in sediment cores from two coastal lakes in northwest Florida. Our analysis shows that there are significant variations in delta C-13, delta N-15, C%, N% and C/N with depth, reflecting changes in lake environment, which in turn affected the processes delivering water and sediment to the lake as well as biological productivity within the lake. Isotopic signatures of modern organic materials in the lakes and their surrounding areas show that the major sources of sedimentary organic matters in the lakes are aquatic and terrestrial C-3 vegetation. C-4 grasses do not contribute significantly to the sedimentary organic matters in the lake, although they can be found in the mostly forested watershed. Thus, the positive C and N isotopic shifts, concurrent with negative shifts in C/N ratios, most likely indicate shifts to a marine-like environment in coastal lakes following the influx of marine water and nutrients and marine biota associated with major storm events. Some of these isotopic shifts observed in the sediment cores correspond to visible sand layers presumably representing overwash deposits associated with severe storm events. Radiocarbon dating of bulk sediment organic matters, wood fragments and shells indicates that the sediment in these cores was deposited over the last 3000-4000 years. Based on our age model and OGP interpretation, Eastern Lake data suggest that the recurrence interval of severe storms (i.e., large enough to cause seawater flooding of the lakes) is approximately 84 years over the last 2900 years, whereas Western lake data suggest an average recurrence interval of 86 years in the past 3900 years. (C) 2013 Elsevier Ltd. All rights reserved.</t>
  </si>
  <si>
    <t>[Das, Oindrila; Wang, Yang; Donoghue, Joseph; Coor, Jennifer; Xu, Yingfeng] Florida State Univ, Dept Earth Ocean &amp; Atmospher Sci, Tallahassee, FL 32306 USA; [Das, Oindrila; Wang, Yang; Xu, Yingfeng] High Natl Magnet Field Lab, Tallahassee, FL USA; [Xu, Xiaomei] Univ Calif Irvine, Keck Carbon Cycle AMS Facil, Irvine, CA 92697 USA; [Elsner, James] Florida State Univ, Dept Geog, Tallahassee, FL 32306 USA</t>
  </si>
  <si>
    <t>State University System of Florida; Florida State University; State University System of Florida; Florida State University; University of California System; University of California Irvine; State University System of Florida; Florida State University</t>
  </si>
  <si>
    <t>Das, O (corresponding author), Florida State Univ, Dept Earth Ocean &amp; Atmospher Sci, Tallahassee, FL 32306 USA.</t>
  </si>
  <si>
    <t>odas@magnet.fsu.edu</t>
  </si>
  <si>
    <t>Elsner, James/0000-0001-6805-7431</t>
  </si>
  <si>
    <t>U.S. Department of Defense's Strategic Environmental Research and Development Program [SERDP SI-1700]</t>
  </si>
  <si>
    <t>U.S. Department of Defense's Strategic Environmental Research and Development Program</t>
  </si>
  <si>
    <t>This study was supported by a grant from the U.S. Department of Defense's Strategic Environmental Research and Development Program (SERDP SI-1700). Fieldwork was carried out with the cooperation of the Natural Resource Section, Eglin AFB, Florida. We are grateful to the staff of the Antarctic Marine Geology Research Facility at Florida State University for core imagery and x-radiography. We are grateful to two anonymous reviewers for their valuable comments and suggestions.</t>
  </si>
  <si>
    <t>10.1016/j.quascirev.2013.02.014</t>
  </si>
  <si>
    <t>136SO</t>
  </si>
  <si>
    <t>WOS:000318383900009</t>
  </si>
  <si>
    <t>Faith, JT</t>
  </si>
  <si>
    <t>Faith, J. Tyler</t>
  </si>
  <si>
    <t>Ungulate diversity and precipitation history since the Last Glacial Maximum in the Western Cape, South Africa</t>
  </si>
  <si>
    <t>Aridity; Diversity; Paleoclimate; Southern Africa; Winter rainfall; Summer rainfall</t>
  </si>
  <si>
    <t>LATE QUATERNARY; SOUTHWESTERN AFRICA; COMMUNITY RICHNESS; CLIMATIC-CHANGE; PINNACLE POINT; SIZE VARIATION; WOOD CHARCOAL; RAINFALL; VEGETATION; PLEISTOCENE</t>
  </si>
  <si>
    <t>This study reviews the precipitation history of the winter and year-round rainfall zones in the Western Cape (South Africa) in light of its fossil ungulate communities. Fossil sequences spanning the Last Glacial Maximum (LGM) and Lateglacial through the Holocene document a decline in ungulate richness through time. Based on the observed relationship between ungulate community richness and annual precipitation in Southern and East Africa, this implies increased effective precipitation during the LGM-Lateglacial at sites located in both the winter and year-round rainfall zones. These results are consistent with other lines of paleoenvironmental evidence from the winter rainfall zone, although they contradict records from the year-round rainfall zone that have been interpreted as reflecting aridity. A critical review of these records suggests that the patterns interpreted in terms of aridity can be explained by other mechanisms, including vegetation change. Current evidence is consistent with paleoclimatic models indicating that altered rainfall patterns during the LGM-Lateglacial were primarily related to the position of westerly frontal systems, which were displaced northward due to the expansion of Antarctic sea ice. Seasonal migration of these systems resulted in an expanded winter rainfall zone across much of southwestern Africa, but perhaps with some summer rains reaching the southern coast. (C) 2013 Elsevier Ltd. All rights reserved.</t>
  </si>
  <si>
    <t>Univ Queensland, Sch Social Sci, Archaeol Program, Brisbane, Qld 4072, Australia</t>
  </si>
  <si>
    <t>University of Queensland</t>
  </si>
  <si>
    <t>Faith, JT (corresponding author), Univ Queensland, Sch Social Sci, Archaeol Program, Brisbane, Qld 4072, Australia.</t>
  </si>
  <si>
    <t>j.faith@uq.edu.au</t>
  </si>
  <si>
    <t>Faith, J. Tyler/E-7146-2015</t>
  </si>
  <si>
    <t>Faith, J. Tyler/0000-0002-1101-7161</t>
  </si>
  <si>
    <t>1873-457X</t>
  </si>
  <si>
    <t>10.1016/j.quascirev.2013.02.016</t>
  </si>
  <si>
    <t>WOS:000318383900012</t>
  </si>
  <si>
    <t>Hillier, JK; Smith, MJ; Clark, CD; Stokes, CR; Spagnolo, M</t>
  </si>
  <si>
    <t>Hillier, J. K.; Smith, M. J.; Clark, C. D.; Stokes, C. R.; Spagnolo, M.</t>
  </si>
  <si>
    <t>Subglacial bedforms reveal an exponential size-frequency distribution</t>
  </si>
  <si>
    <t>GEOMORPHOLOGY</t>
  </si>
  <si>
    <t>Subglacial; Bedform; Exponential; Stochastic; Flow-set; Fluvial</t>
  </si>
  <si>
    <t>SCALE GLACIAL LINEATIONS; DIGITAL ELEVATION MODELS; ANTARCTIC SHELF BEDFORMS; POWER-LAW DISTRIBUTIONS; DRUMLIN FORMATION; SPECIAL ATTENTION; MELTWATER ORIGIN; ICE-STREAM; BENEATH; SEAMOUNTS</t>
  </si>
  <si>
    <t>Subglacial bedforms preserved in deglaciated landscapes record characteristics of past ice sediment flow regimes, providing insight into subglacial processes and ice sheet dynamics. Individual forms vary considerably, but they can often be grouped into coherent fields, typically called flow-sets, that reflect discrete episodes of ice flow. Within these, bedform size frequency distributions (predominantly height, width and length) are currently described by several statistics (e.g., mean, median, and standard deviation) that, arguably, do not best capture the defining characteristics of these populations. This paper seeks to create a better description based upon semi-log plots, which reveal that the frequency distributions of bedform dimensions (drumlin, mega-scale glacial lineation, and ribbed moraine) plot as straight lines above the mode (phi). This indicates, by definition, an exponential distribution, for which a simple and easily calculated, yet statistically rigorous, description is designed. Three descriptive parameters are proposed: gradient (lambda; the exponent, characterising bedforms likely least affected by non-glacial factors), area-normalised y-intercept (beta(0); quantifying spatial density), and the mode (phi). Below phi, small features are less prevalent due to i) measurement: data, sampling and mapping fidelity; ii) possible post-glacial degradation; or iii) genesis: not being created sub-glacially. This new description has the benefit of being insensitive to the impact of potentially unmapped or degraded smaller features and better captures properties relating to ice flow. Importantly, using lambda, flow sets can now be more usefully compared with each other across all deglaciated regions and with the output of numerical ice sheet models. Applications may also exist for analogous fluvial and aeolian bedforms. Identifying the characteristic exponential and that it is typical of 'emergent' subglacial bedforms is a new and potentially powerful constraint on their genesis, perhaps indicating that ice sediment interaction is fundamentally stochastic in nature. (C) 2013 Elsevier B.V. All rights reserved.</t>
  </si>
  <si>
    <t>[Hillier, J. K.] Univ Loughborough, Dept Geog, Loughborough LE11 3TU, Leics, England; [Smith, M. J.] Univ Kingston, Sch Geog Geol &amp; Environm, Kingston Upon Thames KT1 2EE, Surrey, England; [Clark, C. D.] Univ Sheffield, Dept Geog, Sheffield S10 2TN, S Yorkshire, England; [Stokes, C. R.] Univ Durham, Dept Geog, Durham DH1 3LE, England; [Spagnolo, M.] Univ Aberdeen, Sch Geosci, Aberdeen AB24 3UF, Scotland</t>
  </si>
  <si>
    <t>Loughborough University; Kingston University; University of Sheffield; Durham University; University of Aberdeen</t>
  </si>
  <si>
    <t>Hillier, JK (corresponding author), Univ Loughborough, Dept Geog, Loughborough LE11 3TU, Leics, England.</t>
  </si>
  <si>
    <t>j.hillier@lboro.ac.uk; mike@hsm.org.uk; C.Clark@Sheffield.ac.uk; C.R.Stokes@durham.ac.uk; m.spagnolo@abdn.ac.uk</t>
  </si>
  <si>
    <t>Smith, Mike/A-4431-2009; Spagnolo, Matteo/G-2415-2011; Stokes, Chris/A-1957-2011; clark, chris/C-3830-2009; Hillier, John/D-1484-2009</t>
  </si>
  <si>
    <t>Spagnolo, Matteo/0000-0002-2753-338X; Stokes, Chris/0000-0003-3355-1573; clark, chris/0000-0002-1021-6679; Hillier, John/0000-0002-0221-8383; Smith, Michael/0000-0003-4719-8651</t>
  </si>
  <si>
    <t>0169-555X</t>
  </si>
  <si>
    <t>1872-695X</t>
  </si>
  <si>
    <t>Geomorphology</t>
  </si>
  <si>
    <t>10.1016/j.geomorph.2013.02.017</t>
  </si>
  <si>
    <t>137SS</t>
  </si>
  <si>
    <t>WOS:000318458300008</t>
  </si>
  <si>
    <t>Kohfeld, KE; Graham, RM; de Boer, AM; Sime, LC; Wolff, EW; Le Quéré, C; Bopp, L</t>
  </si>
  <si>
    <t>Kohfeld, K. E.; Graham, R. M.; de Boer, A. M.; Sime, L. C.; Wolff, E. W.; Le Quere, C.; Bopp, L.</t>
  </si>
  <si>
    <t>Southern Hemisphere westerly wind changes during the Last Glacial Maximum: paleo-data synthesis</t>
  </si>
  <si>
    <t>Glacial-interglacial cycles; Westerly winds; Sea-surface temperature; Fronts; Precipitation; Southern ocean; LGM</t>
  </si>
  <si>
    <t>SEA-SURFACE TEMPERATURE; ANTARCTIC CIRCUMPOLAR CURRENT; QUATERNARY ENVIRONMENTAL-CHANGE; LATE PLEISTOCENE STALAGMITE; NONMARINE OSTRACOD SHELLS; CHILEAN LAKE DISTRICT; EPICA DOME-C; CLIMATE-CHANGE; INDIAN-OCEAN; NEW-ZEALAND</t>
  </si>
  <si>
    <t>Changes in the strength and position of Southern Hemisphere westerly winds during the Last Glacial cycle have been invoked to explain both millennial and glacial interglacial climate fluctuations. However, neither paleo models nor paleodata agree on the magnitude, or even the sign, of the change in wind strength and latitude during the most studied glacial period, the Last Glacial Maximum (LGM), compared to the recent past. This paper synthesizes paleo-environmental data that have been used to infer changes in LGM winds. Data compilations are provided for changes in terrestrial moisture, dust deposition, sea surface temperatures and ocean fronts, and ocean productivity, and existing data on Southern Hemisphere ocean circulation changes during the LGM are summarized. We find that any hypothesis of LGM wind and climate change needs to provide a plausible explanation for increased moisture on the west coast of continents, cooler temperatures and higher productivity in the Subantarctic Zone, and reductions in Agulhas leakage around southern Africa. Our comparison suggests that an overall strengthening, an equatorward displacement, or no change at all in winds could all be interpreted as consistent with observations. If a single cause related to the southern westerlies is sought for all the evidence presented, then an equatorward displacement or strengthening of the winds would be consistent with the largest proportion of the observations. However, other processes, such as weakening or poleward shifts in winds, a weakened hydrological cycle, extended sea-ice cover, and changed buoyancy fluxes, cannot be ruled out as potential explanations of observed changes in moisture, surface temperature, and productivity. We contend that resolving the position and strength of westerly winds during the LGM remains elusive based on data reconstructions alone. However, we believe that these data reconstructions of environmental conditions can be used in conjunction with model simulations to identify which processes best represent westerly wind conditions during the LGM. Crown Copyright (C) 2013 Published by Elsevier Ltd. All rights reserved.</t>
  </si>
  <si>
    <t>[Kohfeld, K. E.] Simon Fraser Univ, Sch Resource &amp; Environm Management, Burnaby, BC V5A 1S6, Canada; [Graham, R. M.; de Boer, A. M.] Stockholm Univ, Dept Geol Sci, Bert Bolin Ctr Climate Res, S-10691 Stockholm, Sweden; [Sime, L. C.; Wolff, E. W.] British Antarctic Survey, Cambridge CB3 0ET, England; [Le Quere, C.] Univ E Anglia, Sch Environm Sci, Norwich NR4 7TJ, Norfolk, England; [Bopp, L.] CEA, CNRS, F-91191 Saclay, France</t>
  </si>
  <si>
    <t>Simon Fraser University; Stockholm University; UK Research &amp; Innovation (UKRI); Natural Environment Research Council (NERC); NERC British Antarctic Survey; University of East Anglia; CEA; Centre National de la Recherche Scientifique (CNRS)</t>
  </si>
  <si>
    <t>Kohfeld, KE (corresponding author), Simon Fraser Univ, Sch Resource &amp; Environm Management, 8888 Univ Dr, Burnaby, BC V5A 1S6, Canada.</t>
  </si>
  <si>
    <t>kohfeld@sfu.ca</t>
  </si>
  <si>
    <t>Le Quéré, Corinne/C-2631-2017; De Boer, Agatha M/H-4202-2012; bopp, laurent/ABF-5302-2020; Sime, Louise/F-8058-2012; Sime, Louise/AAX-7730-2021; Wolff, Eric W/D-7925-2014</t>
  </si>
  <si>
    <t>Le Quéré, Corinne/0000-0003-2319-0452; bopp, laurent/0000-0003-4732-4953; Sime, Louise/0000-0002-9093-7926; Sime, Louise/0000-0002-9093-7926; Wolff, Eric W/0000-0002-5914-8531; Kohfeld, Karen/0000-0001-7241-1624; Graham, Robert M./0000-0003-0008-1886</t>
  </si>
  <si>
    <t>UK Natural Environment Research Council; Canadian NSERC Discovery Programme; Canada Research Chair Programme; Natural Environment Research Council [bas0100024] Funding Source: researchfish; NERC [bas0100024] Funding Source: UKRI</t>
  </si>
  <si>
    <t>UK Natural Environment Research Council(UK Research &amp; Innovation (UKRI)Natural Environment Research Council (NERC)); Canadian NSERC Discovery Programme(Natural Sciences and Engineering Research Council of Canada (NSERC)); Canada Research Chair Programme(Canada Research Chairs); Natural Environment Research Council(UK Research &amp; Innovation (UKRI)Natural Environment Research Council (NERC)); NERC(UK Research &amp; Innovation (UKRI)Natural Environment Research Council (NERC))</t>
  </si>
  <si>
    <t>We thank Z. Chase, M. Boyd, H. Bostock, and G. Martinez-Mendez for helpful input on data compilations. Comments from R.F. Anderson and two anonymous reviewers greatly improved the content of this manuscript. EWW and LS's contribution to this study is part of the British Antarctic Survey Polar Science for Planet Earth Programme and was funded by the UK Natural Environment Research Council. KEK was funded by the Canadian NSERC Discovery and Canada Research Chair Programmes.</t>
  </si>
  <si>
    <t>10.1016/j.quascirev.2013.01.017</t>
  </si>
  <si>
    <t>WOS:000318383900005</t>
  </si>
  <si>
    <t>Hodgson, DA; Roberts, SJ; Smith, JA; Verleyen, E; Sterken, M; Labarque, M; Sabbe, K; Vyverman, W; Allen, CS; Leng, MJ; Bryant, C</t>
  </si>
  <si>
    <t>Hodgson, Dominic A.; Roberts, Stephen J.; Smith, James A.; Verleyen, Elie; Sterken, Mieke; Labarque, Minke; Sabbe, Koen; Vyverman, Wim; Allen, Claire S.; Leng, Melanie J.; Bryant, Charlotte</t>
  </si>
  <si>
    <t>Late Quaternary environmental changes in Marguerite Bay, Antarctic Peninsula, inferred from lake sediments and raised beaches</t>
  </si>
  <si>
    <t>Antarctic Peninsula; Deglaciation; Climate change; Ice sheets; Sea level; Bird and seal occupation; Holocene</t>
  </si>
  <si>
    <t>LAST GLACIAL MAXIMUM; VI ICE SHELF; RADIOCARBON AGE CALIBRATION; SOUTH SHETLAND ISLANDS; PRINCE GUSTAV CHANNEL; DEGLACIAL HISTORY; ALEXANDER ISLAND; EAST ANTARCTICA; DIATOM FLORA; SEA-ICE</t>
  </si>
  <si>
    <t>The Antarctic Peninsula is one of the fastest-warming regions on Earth, but its palaeoenvironmental history south of 63 degrees latitude is relatively poorly documented, relying principally on the marine geological record and short ice cores. In this paper, we present evidence of late-Quaternary environmental change from the Marguerite Bay region combining data from lake sediment records on Horseshoe Island and Pourquoi-Pas Island, and raised beaches at Horseshoe Island, Pourquoi-Pas Island and Calmette Bay. Lake sediments were radiocarbon dated and analysed using a combination of sedimentological, geochemical and microfossil methods. Raised beaches were surveyed and analysed for changes in clast composition, size and roundness. Results suggest a non-erosive glacial regime could have existed on Horseshoe Island from 35,780 (38,650-33,380) or 32,910 (34,630-31,370) cal yr BP onwards. There is radiocarbon and macrofossil evidence for possible local deglaciation events at 28,830 (29,370-28,320) cal yr BP, immediately post-dating Antarctic Isotopic Maximum 4, and 21,110 (21,510-20,730 interpolated) cal yr BP coinciding with, or immediately post-dating, Antarctic Isotopic Maximum 2. The Holocene deglaciation of Horseshoe Island commenced from 10,610 (11,000-10,300) cal yr BP at the same time as the early Holocene temperature maximum recorded in Antarctic ice cores. This was followed by the onset of marine sedimentation in The Narrows, Pourquoi-Pas Island, before 8850 (8480-9260) cal yr BP. Relative sea level high stands of 40.79 m above present at Pourquoi-Pas Island and 40.55 m above present at Calmette Bay occurred sometime after 9000 cal yr BP and suggest that a thicker ice sheet, including grounded ice streams, was present in this region of the Antarctic Peninsula than that recorded at sites further north. Isolation of the Narrows Lake basin on Pourquoi-Pas Island shows relative sea level in this region had fallen rapidly to 19.41 m by 7270 (7385-7155) cal yr BP. Chaetoceros resting spores suggest high productivity and stratified surface waters in The Narrows after 8850 (9260-8480) cal yr BP and beach clasts provide evidence of a period of increased wave energy at approximately 8000 yr BP. Lake sediment and beach data suggest an extended period of regional warming sometime between 6200 and 2030 cal yr BP followed by the onset of Neoglacial conditions from 2630 and 2030 cal yr BP in Narrows Lake and Col Lake 1, respectively. Diatom and delta C-13 vs C/N and macrofossil evidence suggest a potential increase in the number of birds and seals visiting the Narrows Lake catchment sometime after 2100 (2250-2000) cal yr BP, with enhanced nutrient enrichment evident after 1150 (1230-1080) cal yr BP, and particularly from c. 460 (540-380) cal yr BP. A very recent increase in Gomphonema species and organic carbon in the top centimetre of the Narrows Lake sediment core after c. 410 (490-320) cal yr BP, and increased sedimentation rates in the Col Lake 1 sediment core, after c. 400 (490-310) cal yr BP may be a response to the regional late-Holocene warming of the Antarctic Peninsula. (C) 2013 Elsevier Ltd. All rights reserved.</t>
  </si>
  <si>
    <t>[Hodgson, Dominic A.; Roberts, Stephen J.; Smith, James A.; Allen, Claire S.] British Antarctic Survey, NERC, Cambridge CB3 0ET, England; [Verleyen, Elie; Sterken, Mieke; Labarque, Minke; Sabbe, Koen; Vyverman, Wim] Univ Ghent, Sect Protistol &amp; Aquat Ecol, Dept Biol, B-9000 Ghent, Belgium; [Leng, Melanie J.] British Geol Survey, NERC Isotope Geosci Lab, Nottingham NG12 5GG, England; [Bryant, Charlotte] Scottish Enterprise Technol Pk, NERC Radiocarbon Facil, E Kilbride G75 OQF, Lanark, Scotland</t>
  </si>
  <si>
    <t>UK Research &amp; Innovation (UKRI); Natural Environment Research Council (NERC); NERC British Antarctic Survey; Ghent University; UK Research &amp; Innovation (UKRI); Natural Environment Research Council (NERC); NERC British Geological Survey</t>
  </si>
  <si>
    <t>Hodgson, DA (corresponding author), British Antarctic Survey, NERC, High Cross,Madingley Rd, Cambridge CB3 0ET, England.</t>
  </si>
  <si>
    <t>daho@bas.ac.uk</t>
  </si>
  <si>
    <t>Smith, James A/N-1836-2013</t>
  </si>
  <si>
    <t>Leng, Melanie/0000-0003-1115-5166; Roberts, Stephen/0000-0003-3407-9127</t>
  </si>
  <si>
    <t>UK Natural Environment Research Council; British Antarctic Survey; Belgian Science Policy; NERC [bas0100027, bgs04003, nigl010001, bas0100024, NRCF010001] Funding Source: UKRI; Natural Environment Research Council [bgs04003, nigl010001, NRCF010001, bas0100027, bas0100024] Funding Source: researchfish</t>
  </si>
  <si>
    <t>UK Natural Environment Research Council(UK Research &amp; Innovation (UKRI)Natural Environment Research Council (NERC)); British Antarctic Survey; Belgian Science Policy(Belgian Federal Science Policy Office); NERC(UK Research &amp; Innovation (UKRI)Natural Environment Research Council (NERC)); Natural Environment Research Council(UK Research &amp; Innovation (UKRI)Natural Environment Research Council (NERC))</t>
  </si>
  <si>
    <t>This paper contributes to the CACHE-PEP and HOLANT projects led by DH and WV respectively. EV is a post-doctoral research fellow with the Fund for Scientific Research, Flanders. We thank the UK Natural Environment Research Council, British Antarctic Survey and the Belgian Science Policy for research funding, and the British Antarctic Survey and HMS Endurance for logistic support. Additional analyses were carried out at the National Isotope Geosciences Laboratory (NIGL), Keyworth and the NERC Radiocarbon Laboratory, East Kilbride and Beta Analytic. Richard Burt (BAS) provided valuable field assistance and Peter Fretwell (BAS) provided maps and geographical information. Bart Van de Vijver and Ryszard Ochyra provided useful comments on the diatom taxonomy and moss identifications. Julia Wellner and an anonymous reviewer are thanked for their helpful and constructive comments.</t>
  </si>
  <si>
    <t>10.1016/j.quascirev.2013.02.002</t>
  </si>
  <si>
    <t>WOS:000318383900014</t>
  </si>
  <si>
    <t>Wang, XW; Gong, P; Zhao, YY; Xu, Y; Cheng, X; Niu, ZG; Luo, ZC; Huang, HB; Sun, FD; Li, XW</t>
  </si>
  <si>
    <t>Wang, Xianwei; Gong, Peng; Zhao, Yuanyuan; Xu, Yue; Cheng, Xiao; Niu, Zhenguo; Luo, Zhicai; Huang, Huabing; Sun, Fangdi; Li, Xiaowen</t>
  </si>
  <si>
    <t>Water-level changes in China's large lakes determined from ICESat/GLAS data</t>
  </si>
  <si>
    <t>REMOTE SENSING OF ENVIRONMENT</t>
  </si>
  <si>
    <t>ICESat; GLAS; Lake; Water level; Change detection; Laser altimetty; China</t>
  </si>
  <si>
    <t>RECENT GLACIAL RETREAT; YANGTZE-RIVER FLOW; TIBETAN PLATEAU; POYANG LAKE; DIANCHI LAKE; ALTIMETRY; TOPEX/POSEIDON; CLIMATE; OCEAN; PRECIPITATION</t>
  </si>
  <si>
    <t>Water-level changes from 56 of the 100 largest lakes in China were derived from ICESat/GLAS data during the period of 2003 to 2009. An automated method for determining the trend of water-level change had been proposed in this study. Lake water footprints were first identified from the ICESat/GLAS GLA14 data product. Water level change was then determined from the footprints over lake water in each campaign. Trend of water-level changes was fitted with a line for each lake. Trends of water level changes from ICESat/GLAS matched well with gauge measurements in both Qinghai Lake and Nam Co. Our results showed that the trend of water-level change varied from -0.51 m/a to 0.62 m/a. Eighteen lakes showed a decreasing trend of water-level change and 38 lakes showed an increasing trend. Most lakes in Qinghai-Tibet Plateau showed an increasing trend which was probably caused by snow or glacier melts under climate warming. However, most lakes in the Yarlung Zangbu River basin showed a decreasing trend presumably resulting from intensified evaporation caused by climate warming and intensified western wind in the winter. Desertification and aggravated soil erosion in this region contributed to water level decrease. Lakes in northern Inner-Mongolia and Xinjiang and Northeast Plain of China showed decreasing trends with precipitation reduction and warming as the most probable reasons. Water consumption for agricultural use also contributed to water-level decrease in lakes of those regions. Lakes in East China Plain fluctuated presumably because most lakes were greatly affected by inflows of Yangtze River and human activities. Lakes in Yunnan-Guizhou Plateau also fluctuated. There were no obvious changes in climate warming or precipitation in this region. Published by Elsevier Inc.</t>
  </si>
  <si>
    <t>[Wang, Xianwei; Gong, Peng; Niu, Zhenguo; Huang, Huabing; Li, Xiaowen] Chinese Acad Sci, Inst Remote Sensing &amp; Digital Earth, State Key Lab Remote Sensing Sci, Beijing, Peoples R China; [Wang, Xianwei; Gong, Peng; Niu, Zhenguo; Huang, Huabing; Li, Xiaowen] Beijing Normal Univ, Beijing 100875, Peoples R China; [Gong, Peng; Zhao, Yuanyuan] Tsinghua Univ, Minist Educ Lab, Key Lab Earth Syst Modeling, Beijing 100084, Peoples R China; [Gong, Peng; Zhao, Yuanyuan] Tsinghua Univ, Ctr Earth Syst Sci, Beijing 100084, Peoples R China; [Gong, Peng] Univ Calif Berkeley, Dept Environm Sci Policy &amp; Management, Berkeley, CA 94720 USA; [Wang, Xianwei; Xu, Yue; Cheng, Xiao] Beijing Normal Univ, Coll Global Change &amp; Earth Syst Sci, Beijing 100875, Peoples R China; [Luo, Zhicai] Wuhan Univ, Sch Geodesy &amp; Geomat, Wuhan 430072, Peoples R China; [Sun, Fangdi] Nanjing Univ, Int Inst Earth Syst Sci, Nanjing 210008, Jiangsu, Peoples R China</t>
  </si>
  <si>
    <t>Chinese Academy of Sciences; The Institute of Remote Sensing &amp; Digital Earth, CAS; Beijing Normal University; Tsinghua University; Tsinghua University; University of California System; University of California Berkeley; Beijing Normal University; Wuhan University; Nanjing University</t>
  </si>
  <si>
    <t>Gong, P (corresponding author), Chinese Acad Sci, Inst Remote Sensing &amp; Digital Earth, State Key Lab Remote Sensing Sci, Beijing, Peoples R China.</t>
  </si>
  <si>
    <t>penggong@berkeley.edu</t>
  </si>
  <si>
    <t>Huang, huabing/JHT-7278-2023; Gong, Peng/AAM-1516-2021; ZHAO, YUAN/HCI-5831-2022; Luo, Zhicai/GSE-0602-2022; Gong, Peng/L-8184-2013; zhao, yang/HTN-4320-2023; Niu, Zhenguo/L-4829-2016</t>
  </si>
  <si>
    <t>Huang, huabing/0000-0001-6253-8437; Gong, Peng/0000-0003-1513-3765; Niu, Zhenguo/0000-0001-6125-730X; wang, xianwei/0000-0002-2119-0267; Zhao, Yuanyuan/0000-0001-5447-2861</t>
  </si>
  <si>
    <t>national high technology program of China [2009AA12200101, 2009AA12200307]; Chinese Arctic and Antarctic Administration; National Basic Research Program of China [2012CB957704]; Fundamental Research Funds for the Central Universities [41176163]; China Postdoctoral Science Foundation [2012M520185]; General Program of National Natural Science Foundation of China [41271423]</t>
  </si>
  <si>
    <t>national high technology program of China(National High Technology Research and Development Program of China); Chinese Arctic and Antarctic Administration; National Basic Research Program of China(National Basic Research Program of China); Fundamental Research Funds for the Central Universities(Fundamental Research Funds for the Central Universities); China Postdoctoral Science Foundation(China Postdoctoral Science Foundation); General Program of National Natural Science Foundation of China(National Natural Science Foundation of China (NSFC))</t>
  </si>
  <si>
    <t>We are grateful to Professor C.K. Shum and two anonymous reviewers for their constructive suggestions to improve this manuscript. Glacier distribution data are provided by the Environmental and Ecological Science Data Center for West China, National Natural Science Foundation of China (http://westdc.westgis.ac.cn). GLAS data are freely downloaded from the National Snow and Ice Data Center. The China Meteorological Data Sharing Service System is thanked for provision of weather data. This research is funded by a national high technology program of China (grant number: 2009AA12200101), the Chinese Arctic and Antarctic Administration, National Basic Research Program of China (grant number: 2012CB957704), national high technology program of China (grant number: 2009AA12200307), the Fundamental Research Funds for the Central Universities (grant number: 41176163), China Postdoctoral Science Foundation (grant number. 2012M520185) and the General Program of National Natural Science Foundation of China (grant number: 41271423).</t>
  </si>
  <si>
    <t>0034-4257</t>
  </si>
  <si>
    <t>1879-0704</t>
  </si>
  <si>
    <t>REMOTE SENS ENVIRON</t>
  </si>
  <si>
    <t>Remote Sens. Environ.</t>
  </si>
  <si>
    <t>10.1016/j.rse.2013.01.005</t>
  </si>
  <si>
    <t>Environmental Sciences; Remote Sensing; Imaging Science &amp; Photographic Technology</t>
  </si>
  <si>
    <t>Environmental Sciences &amp; Ecology; Remote Sensing; Imaging Science &amp; Photographic Technology</t>
  </si>
  <si>
    <t>115SE</t>
  </si>
  <si>
    <t>WOS:000316831400011</t>
  </si>
  <si>
    <t>Alvain, S; Le Quéré, C; Bopp, L; Racault, MF; Beaugrand, G; Dessailly, D; Buitenhuis, ET</t>
  </si>
  <si>
    <t>Alvain, Severine; Le Quere, Corinne; Bopp, Laurent; Racault, Marie-Fanny; Beaugrand, Gregory; Dessailly, David; Buitenhuis, Eric T.</t>
  </si>
  <si>
    <t>Rapid climatic driven shifts of diatoms at high latitudes</t>
  </si>
  <si>
    <t>Diatoms; Climate index; Phytoplankton; Remote sensing</t>
  </si>
  <si>
    <t>NORTH-ATLANTIC OSCILLATION; PHYTOPLANKTON GROUPS; COMMUNITY STRUCTURE; FUNCTIONAL TYPES; SOUTHERN-OCEAN; VARIABILITY; TRENDS; LIFE; CO2</t>
  </si>
  <si>
    <t>The composition of marine ecosystems is determined by spatial and temporal patterns of global biogeochemical cycles. Shifts in marine ecosystem composition driven by changes in climate can in turn affect biogeochemical cycles, especially through their impact on air-sea fluxes of CO2 and trace gas concentrations in the atmosphere. However, the response of marine ecosystems to climate is difficult to assess at global scale due to the scarcity of large-scale in-situ biological monitoring programmes. Here, we combine and analyse remote-sensing observations, in-situ observations, and a global ocean biogeochemistry model to gain insight into interactions between marine ecosystem composition and climate variability over the last decade, in the North Atlantic and in the Southern Ocean. Our results show large-scale shifts in the dominance of diatoms, with mean anomalies 63.3% higher during extreme positive phases of North Atlantic Oscillation index compared to its extreme negative phases and with mean anomalies 134% higher during extreme positive phases of Southern Annular Mode in the Southern Ocean over the period 1998-2008. Significant changes in the frequency of diatom dominance are detected concurrently in the three data sources studied. Model outputs indicate that this increase is driven by nutrient supply from deep waters during windier and more turbulent climate conditions. (C) 2013 Elsevier Inc. All rights reserved.</t>
  </si>
  <si>
    <t>[Alvain, Severine; Le Quere, Corinne; Racault, Marie-Fanny; Buitenhuis, Eric T.] Univ E Anglia, Sch Environm Sci, Tyndall Ctr Climate Change Res, Norwich NR4 7TJ, Norfolk, England; [Alvain, Severine; Beaugrand, Gregory; Dessailly, David] Univ Lille Nord France, F-59000 Lille, France; [Alvain, Severine; Beaugrand, Gregory; Dessailly, David] CNRS ULCO, LOG, UMR 8187, Lab Oceanol &amp; Geosci, F-62930 Wimereux, France; [Le Quere, Corinne] British Antarctic Survey, Cambridge CB3 0ET, England; [Bopp, Laurent] CNRS CEA UVSQ, LSCE IPSL, Gif Sur Yvette, France; [Beaugrand, Gregory] Sir Alister Hardy Fdn Ocean Sci, Plymouth PL1 2PB, Devon, England; [Racault, Marie-Fanny] Plymouth Marine Lab, Plymouth PL4 7PW, Devon, England</t>
  </si>
  <si>
    <t>University of East Anglia; Universite de Lille; Centre National de la Recherche Scientifique (CNRS); CNRS - National Institute for Earth Sciences &amp; Astronomy (INSU); Universite du Littoral-Cote-d'Opale; UK Research &amp; Innovation (UKRI); Natural Environment Research Council (NERC); NERC British Antarctic Survey; Universite Paris Saclay; CEA; Centre National de la Recherche Scientifique (CNRS); Plymouth Marine Laboratory</t>
  </si>
  <si>
    <t>Alvain, S (corresponding author), Univ Lille Nord France, F-59000 Lille, France.</t>
  </si>
  <si>
    <t>Severine.alvain@univ-littoral.fr</t>
  </si>
  <si>
    <t>bopp, laurent/ABF-5302-2020; Racault, Marie-Fanny/D-7190-2016; Le Quéré, Corinne/C-2631-2017; Buitenhuis, Erik/A-7692-2012</t>
  </si>
  <si>
    <t>bopp, laurent/0000-0003-4732-4953; Racault, Marie-Fanny/0000-0002-7584-2515; Le Quéré, Corinne/0000-0003-2319-0452; Buitenhuis, Erik/0000-0001-6274-5583; ALVAIN, Severine/0000-0001-6316-6284; BEAUGRAND, GREGORY/0000-0002-0712-5223</t>
  </si>
  <si>
    <t>EC projects 'Eur-Oceans' and 'GreenSeas [265294[FP7-ENV-2010]]; 'Centre National de la Recherche Scientifique' (CNRS); CNES/TOSCA; Natural Environment Research Council [pml010008, bas010011] Funding Source: researchfish; NERC [bas010011, pml010008] Funding Source: UKRI</t>
  </si>
  <si>
    <t>EC projects 'Eur-Oceans' and 'GreenSeas; 'Centre National de la Recherche Scientifique' (CNRS)(Centre National de la Recherche Scientifique (CNRS)); CNES/TOSCA; Natural Environment Research Council(UK Research &amp; Innovation (UKRI)Natural Environment Research Council (NERC)); NERC(UK Research &amp; Innovation (UKRI)Natural Environment Research Council (NERC))</t>
  </si>
  <si>
    <t>The authors thank the EC projects 'Eur-Oceans' and 'GreenSeas (265294[FP7-ENV-2010])', the 'Centre National de la Recherche Scientifique' (CNRS) and the CNES/TOSCA for funding support. The authors acknowledge the NASA/GSFC/DAAC for providing access to L3 SeaWiFS products and the Sir Alister Hardy Foundation for Ocean Science for providing the CPR dataset over the period 1998-2008.</t>
  </si>
  <si>
    <t>STE 800, 230 PARK AVE, NEW YORK, NY 10169 USA</t>
  </si>
  <si>
    <t>10.1016/j.rse.2013.01.014</t>
  </si>
  <si>
    <t>WOS:000316831400016</t>
  </si>
  <si>
    <t>Lee, H; Shum, CK; Tseng, KH; Huang, ZW; Sohn, HG</t>
  </si>
  <si>
    <t>Lee, Hyongki; Shum, C. K.; Tseng, Kuo-Hsin; Huang, Zhenwei; Sohn, Hong-Gyoo</t>
  </si>
  <si>
    <t>Elevation changes of Bering Glacier System, Alaska, from 1992 to 2010, observed by satellite radar altimetry</t>
  </si>
  <si>
    <t>Satellite Radar Altimetry; Bering Glacier; Elevation changes; Climate change</t>
  </si>
  <si>
    <t>ANTARCTIC ICE-SHEET; SEA-LEVEL RISE; MASS-BALANCE; MALASPINA GLACIER; SURFACE ELEVATION; USA; GREENLAND; SURGE; CANADA; YUKON</t>
  </si>
  <si>
    <t>Satellite radar altimetry has been extensively used to estimate ice-sheet elevation change rates over Antarctica and Greenland from repeated measurements of surface elevation changes through either crossover or collinear (repeat-track) analysis. However, there has been no attempt to use satellite radar altimetry over mountain glaciers because the instrument often loses lock or does not provide usable measurements over the rough terrains and steep slopes due to its large footprint size. In this study, we demonstrate the feasibility of satellite radar altimetry to estimate elevation change rates over the Bering Glacier System in Alaska for the period of 1992-2010 from TOPEX/Poseidon and Envisat radar altimeter measurements. We are able to observe the 1993-1995, and 2008-2011 surge events from the T/P and Envisat time series, respectively. We also observe the accelerated elevation decreases in 2002-2007, after slightly negative or near nil elevation changes, in 1996-2001, which are related to the temperature and snow depth variations. Our method can be applied to other wide (&gt;7 km) glaciers worldwide, and provide new insights into the behavior of glaciers responding to climate change. (C) 2013 Elsevier Inc. All rights reserved.</t>
  </si>
  <si>
    <t>[Lee, Hyongki] Univ Houston, Dept Civil &amp; Environm Engn, Houston, TX 77204 USA; [Lee, Hyongki] Univ Houston, Natl Ctr Airborne Laser Mapping, Houston, TX 77204 USA; [Shum, C. K.; Tseng, Kuo-Hsin; Huang, Zhenwei] Ohio State Univ, Sch Earth Sci, Div Geodet Sci, Columbus, OH 43210 USA; [Shum, C. K.] Chinese Acad Sci, Inst Geodesy &amp; Geophys, Wuhan, Peoples R China; [Sohn, Hong-Gyoo] Yonsei Univ, Sch Civil &amp; Environm Engn, Seoul 120749, South Korea</t>
  </si>
  <si>
    <t>University of Houston System; University of Houston; University of Houston System; University of Houston; University System of Ohio; Ohio State University; Chinese Academy of Sciences; Innovation Academy for Precision Measurement Science &amp; Technology, CAS; Yonsei University</t>
  </si>
  <si>
    <t>Lee, H (corresponding author), Univ Houston, Dept Civil &amp; Environm Engn, Houston, TX 77204 USA.</t>
  </si>
  <si>
    <t>hlee@uh.edu</t>
  </si>
  <si>
    <t>Sohn, Hong Gyoo/I-5331-2014; Lee, Hyongki/AAD-5210-2021</t>
  </si>
  <si>
    <t>Lee, Hyongki/0000-0001-6478-7533; Shum, C K/0000-0001-9378-4067; Tseng, Kuo-Hsin/0000-0003-3581-076X</t>
  </si>
  <si>
    <t>NASA's Cryosphere Program [NNX10AG31G, NNX12A122G, NNX11AR47G]; University of Houston; Ohio State University's Climate, Water, and Carbon (CWC) Program; Space Core Technology Development Program from the Korean Ministry of Education, Science and Technology (MEST) [2011-0030879]; Chinese Academy of Sciences (CAS)/SAFEA International Partnership Program for Creative Research Teams [KZZD-EW-TZ-05]; NASA [NNX10AG31G, 133972, NNX11AR47G, 137244] Funding Source: Federal RePORTER</t>
  </si>
  <si>
    <t>NASA's Cryosphere Program(National Aeronautics &amp; Space Administration (NASA)); University of Houston; Ohio State University's Climate, Water, and Carbon (CWC) Program; Space Core Technology Development Program from the Korean Ministry of Education, Science and Technology (MEST); Chinese Academy of Sciences (CAS)/SAFEA International Partnership Program for Creative Research Teams; NASA(National Aeronautics &amp; Space Administration (NASA))</t>
  </si>
  <si>
    <t>This study is supported by grants from NASA's Cryosphere Program (NNX10AG31G, NNX12A122G and NNX11AR47G), the University of Houston, Ohio State University's Climate, Water, and Carbon (CWC) Program, and the Space Core Technology Development Program from the Korean Ministry of Education, Science and Technology (MEST) (project no. 2011-0030879), and the Chinese Academy of Sciences (CAS)/SAFEA International Partnership Program for Creative Research Teams (KZZD-EW-TZ-05). We also thank three anonymous reviewers who provided valuable comments which improved the manuscript. ASTER GDEM is a product of the Japanese Ministry of Economy, Trade, and Industry (METI) and NASA. TOPEX/Poseidon and Envisat radar altimeter data products are from NASA/CNES via JPL-PODAAC/AVISO, and ESA via ESRIN, respectively. Some of the figures in the paper were generated using the Generic Mapping Tool (GMT) software (Wessel &amp; Smith, 1998).</t>
  </si>
  <si>
    <t>10.1016/j.rse.2013.01.007</t>
  </si>
  <si>
    <t>WOS:000316831400004</t>
  </si>
  <si>
    <t>Hoffman, JI; Clarke, A; Clark, MS; Peck, LS</t>
  </si>
  <si>
    <t>Hoffman, Joseph I.; Clarke, Andrew; Clark, Melody S.; Peck, Lloyd S.</t>
  </si>
  <si>
    <t>Hierarchical Population Genetic Structure in a Direct Developing Antarctic Marine Invertebrate</t>
  </si>
  <si>
    <t>PELAGIC LARVAL DURATION; LIFE-HISTORY; CONNECTIVITY; DISPERSAL; PENINSULA; PHYLOGEOGRAPHY; DIVERSITY; PATTERNS; BARRIER; RATES</t>
  </si>
  <si>
    <t>Understanding the relationship between life-history variation and population structure in marine invertebrates is not straightforward. This is particularly true of polar species due to the difficulty of obtaining samples and a paucity of genomic resources from which to develop nuclear genetic markers. Such knowledge, however, is essential for understanding how different taxa may respond to climate change in the most rapidly warming regions of the planet. We therefore used over two hundred polymorphic Amplified Fragment Length Polymorphisms (AFLPs) to explore population connectivity at three hierachical spatial scales in the direct developing Antarctic topshell Margarella antarctica. To previously published data from five populations spanning a 1500 km transect along the length of the Western Antarctic Peninsula, we added new AFLP data for four populations separated by up to 6 km within Ryder Bay, Adelaide Island. Overall, we found a nonlinear isolation-by-distance pattern, suggestive of weaker population structure within Ryder Bay than is present over larger spatial scales. Nevertheless, significantly positive F-st values were obtained in all but two of ten pairwise population comparisons within the bay following Bonferroni correction for multiple tests. This is in contrast to a previous study of the broadcast spawner Nacella concinna that found no significant genetic differences among several of the same sites. By implication, the topshell's direct-developing lifestyle may constrain its ability to disperse even over relatively small geographic scales.</t>
  </si>
  <si>
    <t>[Hoffman, Joseph I.] Univ Bielefeld, Dept Anim Behav, D-33615 Bielefeld, Germany; [Clarke, Andrew; Clark, Melody S.; Peck, Lloyd S.] British Antarctic Survey, NERC, Cambridge CB3 0ET, England</t>
  </si>
  <si>
    <t>Hoffman, JI (corresponding author), Univ Bielefeld, Dept Anim Behav, D-33615 Bielefeld, Germany.</t>
  </si>
  <si>
    <t>Clark, Melody/D-7371-2014; Hoffman, Joseph/K-7725-2012</t>
  </si>
  <si>
    <t>Clark, Melody/0000-0002-3442-3824; Hoffman, Joseph/0000-0001-5895-8949</t>
  </si>
  <si>
    <t>Natural Environment Research Council (NERC) British Antarctic Survey (BAS) Strategic Alliance Fellowship; Natural Environment Research Council [bas0100025, dml011000] Funding Source: researchfish; NERC [bas0100025, dml011000] Funding Source: UKRI</t>
  </si>
  <si>
    <t>Natural Environment Research Council (NERC) British Antarctic Survey (BAS) Strategic Alliance Fellowship; Natural Environment Research Council(UK Research &amp; Innovation (UKRI)Natural Environment Research Council (NERC)); NERC(UK Research &amp; Innovation (UKRI)Natural Environment Research Council (NERC))</t>
  </si>
  <si>
    <t>JIH was supported by a Natural Environment Research Council (NERC) British Antarctic Survey (BAS) Strategic Alliance Fellowship. The funders had no role in study design, data collection and analysis, decision to publish, or preparation of the manuscript.</t>
  </si>
  <si>
    <t>MAY 14</t>
  </si>
  <si>
    <t>e63954</t>
  </si>
  <si>
    <t>10.1371/journal.pone.0063954</t>
  </si>
  <si>
    <t>146RE</t>
  </si>
  <si>
    <t>Green Accepted, Green Published, gold</t>
  </si>
  <si>
    <t>WOS:000319107400091</t>
  </si>
  <si>
    <t>Mitchell, JG; Seuront, L; Doubell, MJ; Losic, D; Voelcker, NH; Seymour, J; Lal, R</t>
  </si>
  <si>
    <t>Mitchell, James G.; Seuront, Laurent; Doubell, Mark J.; Losic, Dusan; Voelcker, Nicolas H.; Seymour, Justin; Lal, Ratnesh</t>
  </si>
  <si>
    <t>The Role of Diatom Nanostructures in Biasing Diffusion to Improve Uptake in a Patchy Nutrient Environment</t>
  </si>
  <si>
    <t>PHAEOCYSTIS-GLOBOSA; PHYTOPLANKTON; SIZE; PATCHINESS; PHOSPHORUS; TURBULENCE; PATTERNS; SEAWATER; PLANKTON; NITRATE</t>
  </si>
  <si>
    <t>Background: Diatoms are important single-celled autotrophs that dominate most lit aquatic environments and are distinguished by surficial frustules with intricate designs of unknown function. Principal Findings: We show that some frustule designs constrain diffusion to positively alter nutrient uptake. In nutrient gradients of 4 to 160 times over &lt;5 cm, the screened-chambered morphology of Coscincodiscus sp. biases the nutrient diffusion towards the cell by at least 3.8 times the diffusion to the seawater. In contrast, the open-chambers of Thalassiosira eccentrica produce at least a 1.3 times diffusion advantage to the membrane over Coscincodiscus sp. when nutrients are homogeneous. Significance: Diffusion constraint explains the success of particular diatom species at given times and the overall success of diatoms. The results help answer the unresolved question of how adjacent microplankton compete. Furthermore, diffusion constraint by supramembrane nanostructures to alter molecular diffusion suggests that microbes compete via supramembrane topology, a competitive mechanism not considered by the standard smooth-surface equations used for nutrient uptake nor in microbial ecology and cell physiology.</t>
  </si>
  <si>
    <t>[Mitchell, James G.; Seuront, Laurent] Flinders Univ S Australia, Sch Biol Sci, Adelaide, SA 5001, Australia; [Seuront, Laurent; Doubell, Mark J.] South Australian Res &amp; Dev Inst, West Beach, SA, Australia; [Seuront, Laurent] Univ Sci &amp; Technol Lille, CNRS, Lab Oceanol &amp; Geosci, Stn Marine, Wimereux, France; [Losic, Dusan] Univ Adelaide, Sch Chem Engn, Adelaide, SA, Australia; [Voelcker, Nicolas H.] Univ S Australia, Mawson Inst, Adelaide, SA 5001, Australia; [Seymour, Justin] Univ Technol Sydney, Plant Funct Biol &amp; Climate Change Cluster, Sydney, NSW 2007, Australia; [Lal, Ratnesh] Univ Calif San Diego, Dept Mech &amp; Aerosp Engn &amp; Bioengn, La Jolla, CA 92093 USA</t>
  </si>
  <si>
    <t>Flinders University South Australia; South Australian Research &amp; Development Institute (SARDI); Universite de Lille; Centre National de la Recherche Scientifique (CNRS); University of Adelaide; University of South Australia; University of Technology Sydney; University of California System; University of California San Diego</t>
  </si>
  <si>
    <t>Mitchell, JG (corresponding author), Flinders Univ S Australia, Sch Biol Sci, Adelaide, SA 5001, Australia.</t>
  </si>
  <si>
    <t>jim.mitchell@flinders.edu.au</t>
  </si>
  <si>
    <t>Losic, Dusan/B-2436-2009; Lal, Ratnesh/AAG-5424-2019; Voelcker, Nicolas/D-6199-2012; Doubell, Mark/F-2884-2016</t>
  </si>
  <si>
    <t>Losic, Dusan/0000-0002-1930-072X; Seuront, Laurent/0000-0002-0051-5202; Voelcker, Nicolas/0000-0002-1536-7804; Mitchell, Jim/0000-0002-8445-0935; Seymour, Justin/0000-0002-3745-6541; Doubell, Mark/0000-0003-3272-9659</t>
  </si>
  <si>
    <t>Australian Research Council (ARC); Flinders University; Australian Antarctic Division; ARC; US National Institutes of Health</t>
  </si>
  <si>
    <t>Australian Research Council (ARC)(Australian Research Council); Flinders University; Australian Antarctic Division; ARC(Australian Research Council); US National Institutes of Health(United States Department of Health &amp; Human ServicesNational Institutes of Health (NIH) - USA)</t>
  </si>
  <si>
    <t>J.G.M., L.S., N.H.V., J.S. and D.L. were supported by the Australian Research Council (ARC) and Flinders University. J.G.M. and L.S. were supported by the Australian Antarctic Division. R.L. was supported by the ARC and the US National Institutes of Health. The funders had no role in study design, data collection and analysis, decision to publish, or preparation of the manuscript.</t>
  </si>
  <si>
    <t>MAY 7</t>
  </si>
  <si>
    <t>e59548</t>
  </si>
  <si>
    <t>10.1371/journal.pone.0059548</t>
  </si>
  <si>
    <t>154EP</t>
  </si>
  <si>
    <t>Green Published, gold, Green Submitted</t>
  </si>
  <si>
    <t>WOS:000319654700004</t>
  </si>
  <si>
    <t>Hiscock, WT; Fischer, H; Bigler, M; Gfeller, G; Leuenberger, D; Mini, O</t>
  </si>
  <si>
    <t>Hiscock, William T.; Fischer, Hubertus; Bigler, Matthias; Gfeller, Gideon; Leuenberger, Daiana; Mini, Olivia</t>
  </si>
  <si>
    <t>Continuous Flow Analysis of Labile Iron in Ice-Cores</t>
  </si>
  <si>
    <t>INDUCTIVELY-COUPLED PLASMA; ATMOSPHERIC CO2; PHYTOPLANKTON BLOOM; INJECTION-ANALYSIS; LASER ABLATION; NORTH-ATLANTIC; CARBON-CYCLE; MINERAL DUST; TRACE-METALS; DOME C</t>
  </si>
  <si>
    <t>The important active and passive role of mineral dust aerosol in the climate and the global carbon cycle over the last glacial/interglacial cycles has been recognized. However, little data on the most important aeolian dust-derived biological micronutrient, iron (Fe), has so far been available from ice-cores from Greenland or Antarctica. Furthermore, Fe deposition reconstructions derived from the palaeoproxies particulate dust and calcium differ significantly from the Fe flux data available. The ability to measure high temporal resolution Fe data in polar ice-cores is crucial for the study of the timing and magnitude of relationships between geochemical events and biological responses in the open ocean. This work adapts an existing flow injection analysis (FIA) methodology for low-level trace Fe determinations with existing glaciochemical analysis system, continuous flow analysis (CFA) of ice-cores. Fe-induced oxidation of N,N'-dimethyl-p-pheylenediamine (DPD) is used to quantify the biologically more important and easily leachable Fe fraction released in a controlled digestion step at pH similar to 1.0. The developed method was successfully applied to the determination of labile Fe in ice core samples collected from the Antarctic Byrd ice core and the Greenland Ice-Core Project (GRIP) ice-core.</t>
  </si>
  <si>
    <t>[Hiscock, William T.; Fischer, Hubertus; Bigler, Matthias; Gfeller, Gideon; Leuenberger, Daiana; Mini, Olivia] Univ Bern, Inst Phys, CH-3012 Bern, Switzerland</t>
  </si>
  <si>
    <t>University of Bern</t>
  </si>
  <si>
    <t>Hiscock, WT (corresponding author), Univ Bern, Inst Phys, Sidlerstr 5, CH-3012 Bern, Switzerland.</t>
  </si>
  <si>
    <t>hiscock@climate.unibe.ch</t>
  </si>
  <si>
    <t>Bigler, Matthias/HTT-3872-2023; Fischer, Hubertus/A-1211-2014</t>
  </si>
  <si>
    <t>Bigler, Matthias/0000-0003-0184-4013; Fischer, Hubertus/0000-0002-2787-4221</t>
  </si>
  <si>
    <t>Double Career Fund of the Rectors' Conference of the Swiss Universities (CRUS); Swiss National Science Foundation (SNF)</t>
  </si>
  <si>
    <t>Double Career Fund of the Rectors' Conference of the Swiss Universities (CRUS); Swiss National Science Foundation (SNF)(Swiss National Science Foundation (SNSF))</t>
  </si>
  <si>
    <t>We are grateful to Dr. Rene Nyffenegger for the utilization of the Perkin-Elmer LAMBDA 750 UV/vis/NIR spectrophotometer. Funding of W.T.H. was provided by the Double Career Fund of the Rectors' Conference of the Swiss Universities (CRUS). Funding of the ice-core research has also been provided by the Swiss National Science Foundation (SNF).</t>
  </si>
  <si>
    <t>10.1021/es3047087</t>
  </si>
  <si>
    <t>141WA</t>
  </si>
  <si>
    <t>WOS:000318756000059</t>
  </si>
  <si>
    <t>Cabrerizo, A; Dachs, J; Barceló, D; Jones, KC</t>
  </si>
  <si>
    <t>Cabrerizo, Ana; Dachs, Jordi; Barcelo, Damia; Jones, Kevin C.</t>
  </si>
  <si>
    <t>Climatic and Biogeochemical Controls on the Remobilization and Reservoirs of Persistent Organic Pollutants in Antarctica</t>
  </si>
  <si>
    <t>ATMOSPHERIC CONCENTRATIONS; ORGANOCHLORINE PESTICIDES; POLYCHLORINATED-BIPHENYLS; SOILS; TRANSPORT; EXCHANGE; ISLAND; PCBS; SNOW</t>
  </si>
  <si>
    <t>After decades of primary emissions, reservoirs of persistent organic pollutants (POPs) have accumulated in soils and snow/ice in polar regions. These reservoirs can be remobilized due to decreasing primary emissions or due to climate change-driven warmer conditions. Results from a sampling campaign carried out at Livingston Island (Antarctica) focusing on field measurements of air-soil exchange of POPs show that there is a close coupling of the polychlorinated biphenyls (PCBs) in the atmosphere and snow/ice and soils with a status close to air-surface equilibrium to a net volatilization from Antarctic reservoirs. This remobilization of PCBs is driven by changes in temperature and soil organic matter (SOM) content, and it provides strong evidence that the current and future remobilization and sinks of POPs are a strong function of the close coupling of climate change and carbon cycling in the Antarctic region and this is not only due to warming. Whereas an increase of 1 degrees C in ambient temperature due to climate change would increase current Antarctic atmospheric inventories of PCBs by 21-45%, a concurrent increase of 0.5% SOM would counteract the influence of warming by reducing the POP fugacity in soil. A1 degrees C increase in Antarctic temperatures will induce an increase of the soil vegetation organic carbon and associated POPs pools by 25%, becoming a net sink of POPs, and trapping up to 70 times more POPs than the amount remobilized to the atmosphere. Therefore, changes in soil biogeochemistry driven by perturbations of climate may increase to a larger degree the soil fugacity capacity than the decrease in air and soil fugacity capacity due to higher temperatures. Future research should focus on quantifying these remobilization fluxes and sinks for the Antarctic region.</t>
  </si>
  <si>
    <t>[Cabrerizo, Ana; Dachs, Jordi; Barcelo, Damia] IDAEA CSIC, Dept Environm Chem, Barcelona 08034, Catalonia, Spain; [Jones, Kevin C.] Univ Lancaster, Lancaster Environm Ctr, Lancaster LA1 4YQ, England</t>
  </si>
  <si>
    <t>Consejo Superior de Investigaciones Cientificas (CSIC); CSIC - Centro de Investigacion y Desarrollo Pascual Vila (CID-CSIC); CSIC - Instituto de Diagnostico Ambiental y Estudios del Agua (IDAEA); Lancaster University</t>
  </si>
  <si>
    <t>Dachs, J (corresponding author), IDAEA CSIC, Dept Environm Chem, Jordi Girona 18-26, Barcelona 08034, Catalonia, Spain.</t>
  </si>
  <si>
    <t>Jones, Kevin C/F-4296-2014; Cabrerizo, Ana/AAA-9050-2020; Liu, Yifan/S-6217-2017; Cabrerizo, Ana/D-8256-2018</t>
  </si>
  <si>
    <t>Jones, Kevin Christopher/0000-0001-7108-9776; Dachs, Jordi/0000-0002-4237-169X; Cabrerizo, Ana/0000-0002-5933-1483</t>
  </si>
  <si>
    <t>Spanish Ministry of Science and Innovation; Natural Environment Research Council [ceh010010] Funding Source: researchfish</t>
  </si>
  <si>
    <t>Spanish Ministry of Science and Innovation(Spanish Government); Natural Environment Research Council(UK Research &amp; Innovation (UKRI)Natural Environment Research Council (NERC))</t>
  </si>
  <si>
    <t>This research project was funded by the Spanish Ministry of Science and Innovation through the ATOS project as part of the International Polar Year activities. We thank support staff at Juan Carlos I research station, especially the mountaineers, for their help during the sampling. A. C. also acknowledges a Ph.D. predoctoral fellowship from the Spanish Ministry of Science and Innovation.</t>
  </si>
  <si>
    <t>10.1021/es400471c</t>
  </si>
  <si>
    <t>WOS:000318756000045</t>
  </si>
  <si>
    <t>Hren, MT; Sheldon, ND; Grimes, ST; Collinson, ME; Hooker, JJ; Bugler, M; Lohmann, KC</t>
  </si>
  <si>
    <t>Hren, Michael T.; Sheldon, Nathan D.; Grimes, Stephen T.; Collinson, Margaret E.; Hooker, Jerry J.; Bugler, Melanie; Lohmann, Kyger C.</t>
  </si>
  <si>
    <t>Terrestrial cooling in Northern Europe during the Eocene-Oligocene transition</t>
  </si>
  <si>
    <t>clumped isotopes; paleoclimate</t>
  </si>
  <si>
    <t>CLUMPED-ISOTOPE THERMOMETRY; HAMPSHIRE BASIN; TEMPERATURE; CLIMATE; CALIBRATION; RECORD; GROWTH; ONSET; LAND; UK</t>
  </si>
  <si>
    <t>Geochemical and modeling studies suggest that the transition from the greenhouse state of the Late Eocene to the icehouse conditions of the Oligocene 34-33.5 Ma was triggered by a reduction of atmospheric pCO(2) that enabled the rapid buildup of a permanent ice sheet on the Antarctic continent. Marine records show that the drop in pCO(2) during this interval was accompanied by a significant decline in high-latitude sea surface and deep ocean temperature and enhanced seasonality in middle and high latitudes. However, terrestrial records of this climate transition show heterogeneous responses to changing pCO(2) and ocean temperatures, with some records showing a significant time lag in the temperature response to declining pCO(2). We measured the Delta(47) of aragonite shells of the freshwater gastropod Viviparus lentus from the Solent Group, Hampshire Basin, United Kingdom, to reconstruct terrestrial temperature and hydrologic change in the North Atlantic region during the Eocene-Oligocene transition. Our data show a decrease in growing-season surface water temperatures (similar to 10 degrees C) during the Eocene-Oligocene transition, corresponding to an average decrease in mean annual air temperature of similar to 4-6 degrees C from the Late Eocene to Early Oligocene. The magnitude of cooling is similar to observed decreases in North Atlantic sea surface temperature over this interval and occurs during major glacial expansion. This suggests a close linkage between atmospheric carbon dioxide concentrations, Northern Hemisphere temperature, and expansion of the Antarctic ice sheets.</t>
  </si>
  <si>
    <t>[Hren, Michael T.] Univ Connecticut, Dept Chem, Storrs, CT 06269 USA; [Hren, Michael T.] Univ Connecticut, Ctr Integrat Geosci, Storrs, CT 06269 USA; [Sheldon, Nathan D.; Lohmann, Kyger C.] Univ Michigan, Dept Earth &amp; Environm Sci, Ann Arbor, MI 48109 USA; [Grimes, Stephen T.; Bugler, Melanie] Univ Plymouth, Sch Geog Earth &amp; Environm Sci, Plymouth PL4 8AA, Devon, England; [Collinson, Margaret E.] Royal Holloway Univ London, Dept Earth Sci, Egham TW20 0EX, Surrey, England; [Hooker, Jerry J.] Nat Hist Museum, Dept Palaeontol, London SW7 5BD, England</t>
  </si>
  <si>
    <t>University of Connecticut; University of Connecticut; University of Michigan System; University of Michigan; University of Plymouth; University of London; Royal Holloway University London; Natural History Museum London</t>
  </si>
  <si>
    <t>Hren, MT (corresponding author), Univ Connecticut, Dept Chem, Storrs, CT 06269 USA.</t>
  </si>
  <si>
    <t>mhren@uconn.edu</t>
  </si>
  <si>
    <t>Sheldon, Nathan D/K-6717-2015</t>
  </si>
  <si>
    <t>Sheldon, Nathan D/0000-0003-3371-0036; Hren, Michael/0000-0002-2866-8892</t>
  </si>
  <si>
    <t>Turner Postdoctoral Fellows program at the University of Michigan; Directorate For Geosciences; Division Of Earth Sciences [1123733] Funding Source: National Science Foundation</t>
  </si>
  <si>
    <t>Turner Postdoctoral Fellows program at the University of Michigan; Directorate For Geosciences; Division Of Earth Sciences(National Science Foundation (NSF)NSF - Directorate for Geosciences (GEO))</t>
  </si>
  <si>
    <t>We thank H. Affek for technical advice and K. Huntington and an anonymous reviewer for comments on the manuscript. We thank the National Trust for site access. This work was funded by the Turner Postdoctoral Fellows program at the University of Michigan.</t>
  </si>
  <si>
    <t>10.1073/pnas.1210930110</t>
  </si>
  <si>
    <t>149NP</t>
  </si>
  <si>
    <t>WOS:000319327700024</t>
  </si>
  <si>
    <t>Leung, ES; Augé, AA; Chilvers, BL; Moore, AB; Robertson, BC</t>
  </si>
  <si>
    <t>Leung, Elaine S.; Auge, Amelie A.; Chilvers, B. Louise; Moore, Antoni B.; Robertson, Bruce C.</t>
  </si>
  <si>
    <t>Foraging Behaviour of Juvenile Female New Zealand Sea Lions (Phocarctos hookeri) in Contrasting Environments</t>
  </si>
  <si>
    <t>ANTARCTIC FUR SEALS; DIVING BEHAVIOR; BODY-SIZE; EUMETOPIAS-JUBATUS; DIET; DECLINE; MANAGEMENT; ABUNDANCE; PATTERNS; SURVIVAL</t>
  </si>
  <si>
    <t>Foragers can show adaptive responses to changes within their environment through morphological and behavioural plasticity. We investigated the plasticity in body size, at sea movements and diving behaviour of juvenile female New Zealand (NZ) sea lions (Phocarctos hookeri) in two contrasting environments. The NZ sea lion is one of the rarest pinnipeds in the world. Most of the species is based at the subantarctic Auckland Islands (AI; considered to be marginal foraging habitat), with a recolonizing population on the Otago Peninsula, NZ mainland (considered to be more optimal habitat). We investigated how juvenile NZ sea lions adjust their foraging behaviour in contrasting environments by deploying satellite-linked platform transmitting terminals (PTTs) and time-depth recorders (TDRs) on 2-3 year-old females at AI (2007-2010) and Otago (2009-2010). Juvenile female NZ sea lions exhibited plasticity in body size and behaviour. Otago juveniles were significantly heavier than AI juveniles. Linear mixed effects models showed that study site had the most important effect on foraging behaviour, while mass and age had little influence. AI juveniles spent more time at sea, foraged over larger areas, and dove deeper and longer than Otago juveniles. It is difficult to attribute a specific cause to the observed contrasts in foraging behaviour because these differences may be driven by disparities in habitat/prey characteristics, conspecific density levels or interseasonal variation. Nevertheless, the smaller size and increased foraging effort of AI juveniles, combined with the lower productivity in this region, support the hypothesis that AI are less optimal habitat than Otago. It is more difficult for juveniles to forage in suboptimal habitats given their restricted foraging ability and lower tolerance for food limitation compared to adults. Thus, effective management measures should consider the impacts of low resource environments, along with changes that can alter food availability such as potential resource competition with fisheries.</t>
  </si>
  <si>
    <t>[Leung, Elaine S.; Auge, Amelie A.; Robertson, Bruce C.] Univ Otago, Dept Zool, POB 56, Dunedin, New Zealand; [Leung, Elaine S.; Auge, Amelie A.; Moore, Antoni B.] Univ Otago, Sch Surveying, Dunedin, New Zealand; [Chilvers, B. Louise] Aquat &amp; Threats Unit, Dept Conservat, Wellington, New Zealand</t>
  </si>
  <si>
    <t>Leung, ES (corresponding author), Univ Otago, Dept Zool, POB 56, Dunedin, New Zealand.</t>
  </si>
  <si>
    <t>elaineswleung@gmail.com</t>
  </si>
  <si>
    <t>New Zealand Department of Conservation (DOC) [1638]; DOC project Pop [2007/01]; University of Otago Zoology Department; University of Otago</t>
  </si>
  <si>
    <t>New Zealand Department of Conservation (DOC); DOC project Pop; University of Otago Zoology Department; University of Otago</t>
  </si>
  <si>
    <t>Data presented in this paper were collected from a long-term study funded by the New Zealand Department of Conservation (DOC) investigation no. 1638, in parallel with fieldwork undertaken for the DOC Conservation Services Program (DOC project Pop 2007/01; http://www.doc.govt.nz/conservation/marine-and-coastal/commercial-fishing/conservation-services-programme/) and through a levy principally on the quota holders of SQU6T. Funding was also provided by the University of Otago Zoology Department. E. L. and A. A. were supported by University of Otago Postgraduate Scholarships. The funders had no role in study design, data collection and analysis, decision to publish, or preparation of the manuscript.</t>
  </si>
  <si>
    <t>MAY 6</t>
  </si>
  <si>
    <t>e62728</t>
  </si>
  <si>
    <t>10.1371/journal.pone.0062728</t>
  </si>
  <si>
    <t>177QL</t>
  </si>
  <si>
    <t>Green Accepted, Green Submitted, Green Published, gold</t>
  </si>
  <si>
    <t>WOS:000321390200036</t>
  </si>
  <si>
    <t>Vollmers, J; Voget, S; Dietrich, S; Gollnow, K; Smits, M; Meyer, K; Brinkhoff, T; Simon, M; Daniel, R</t>
  </si>
  <si>
    <t>Vollmers, John; Voget, Sonja; Dietrich, Sascha; Gollnow, Kathleen; Smits, Maike; Meyer, Katja; Brinkhoff, Thorsten; Simon, Meinhard; Daniel, Rolf</t>
  </si>
  <si>
    <t>Poles Apart: Arctic and Antarctic Octadecabacter strains Share High Genome Plasticity and a New Type of Xanthorhodopsin</t>
  </si>
  <si>
    <t>GAS VACUOLATE BACTERIA; SEA-ICE; PROTON PUMP; SALINIBACTER-RUBER; MARINE-BACTERIA; SP-NOV; CYANOPHYCIN SYNTHETASE; ACINETOBACTER-SP; GENE-TRANSFER; FOREIGN DNA</t>
  </si>
  <si>
    <t>The genus Octadecabacter is a member of the ubiquitous marine Roseobacter clade. The two described species of this genus, Octadecabacter arcticus and Octadecabacter antarcticus, are psychrophilic and display a bipolar distribution. Here we provide the manually annotated and finished genome sequences of the type strains O. arcticus 238 and O. antarcticus 307, isolated from sea ice of the Arctic and Antarctic, respectively. Both genomes exhibit a high genome plasticity caused by an unusually high density and diversity of transposable elements. This could explain the discrepancy between the low genome synteny and high 16S rRNA gene sequence similarity between both strains. Numerous characteristic features were identified in the Octadecabacter genomes, which show indications of horizontal gene transfer and may represent specific adaptations to the habitats of the strains. These include a gene cluster encoding the synthesis and degradation of cyanophycin in O. arcticus 238, which is absent in O. antarcticus 307 and unique among the Roseobacter clade. Furthermore, genes representing a new subgroup of xanthorhodopsins as an adaptation to icy environments are present in both Octadecabacter strains. This new xanthorhodopsin subgroup differs from the previously characterized xanthorhodopsins of Salinibacter ruber and Gloeobacter violaceus in phylogeny, biogeography and the potential to bind 4-keto-carotenoids. Biochemical characterization of the Octadecabacter xanthorhodopsins revealed that they function as light-driven proton pumps.</t>
  </si>
  <si>
    <t>[Vollmers, John; Voget, Sonja; Dietrich, Sascha; Gollnow, Kathleen; Smits, Maike; Meyer, Katja; Daniel, Rolf] Univ Gottingen, Inst Microbiol &amp; Genet, Dept Genom &amp; Appl Microbiol, D-37073 Gottingen, Germany; [Vollmers, John; Voget, Sonja; Dietrich, Sascha; Gollnow, Kathleen; Smits, Maike; Meyer, Katja; Daniel, Rolf] Univ Gottingen, Inst Microbiol &amp; Genet, Gottingen Genom Lab, D-37073 Gottingen, Germany; [Brinkhoff, Thorsten; Simon, Meinhard] Carl von Ossietzky Univ Oldenburg, Inst Chem &amp; Biol Marine Environm, D-26111 Oldenburg, Germany</t>
  </si>
  <si>
    <t>University of Gottingen; University of Gottingen; Carl von Ossietzky Universitat Oldenburg</t>
  </si>
  <si>
    <t>Daniel, R (corresponding author), Univ Gottingen, Inst Microbiol &amp; Genet, Dept Genom &amp; Appl Microbiol, D-37073 Gottingen, Germany.</t>
  </si>
  <si>
    <t>rdaniel@gwdg.de</t>
  </si>
  <si>
    <t>Daniel, Rolf/AAQ-5933-2021; Vollmers, John/H-1075-2019</t>
  </si>
  <si>
    <t>Daniel, Rolf/0000-0002-8646-7925; Vollmers, John/0000-0001-5980-5178</t>
  </si>
  <si>
    <t>Niedersachsisches VW-Vorab, Germany [ZN2235]; Collaborative Research Center Roseobacter [TRR 51]; Deutsche Forschungsgemeinschaft, Germany; Marine Microbiology Initiative of the Moore Foundation, USA</t>
  </si>
  <si>
    <t>Niedersachsisches VW-Vorab, Germany; Collaborative Research Center Roseobacter; Deutsche Forschungsgemeinschaft, Germany(German Research Foundation (DFG)); Marine Microbiology Initiative of the Moore Foundation, USA</t>
  </si>
  <si>
    <t>This study was supported by the Niedersachsisches VW-Vorab Comparative and functional genome analysis of representative members of the Roseobacter clade'' (ZN2235), Germany, the Collaborative Research Center Roseobacter (TRR 51) funded by Deutsche Forschungsgemeinschaft, Germany, and the Marine Microbiology Initiative of the Moore Foundation, USA. The funders had no role in study design, data collection and analysis, decision to publish, or preparation of the manuscript.</t>
  </si>
  <si>
    <t>e63422</t>
  </si>
  <si>
    <t>10.1371/journal.pone.0063422</t>
  </si>
  <si>
    <t>WOS:000321390200048</t>
  </si>
  <si>
    <t>Akiyama, H; Tan, BC</t>
  </si>
  <si>
    <t>Akiyama, Hiroyuki; Tan, Benito C.</t>
  </si>
  <si>
    <t>The new synonymy of Horikawaea with Cryptogonium and a proposal of Pseudocryptogonium, gen. nov. (Musci, Pterobryaceae)</t>
  </si>
  <si>
    <t>PHYTOTAXA</t>
  </si>
  <si>
    <t>Bryopsida; China; mosses; Malesia; taxonomy</t>
  </si>
  <si>
    <t>Male organs and mature sporophytes of a calciphilous moss previously known as Horikawaea dubia are newly reported and described in detail based on a single specimen collected in Guangxi Province, southern China. Sporophytic features, such as the immersed and cylindrical capsule on a very short seta (ca. 1.2 mm long) and reduced peristome with 16 smooth and almost linear exostome teeth, as well as the gametophytic resemblance to Cryptogonium phyllogonioides in having complanate foliation, highly differentiated alar region of the stem and branch leaves, and more or less cucullate leaf apices, suggest a new synonymy of Horikawaea in Cryptogonium. Two new combinations, namely, C. dubia (Tixier) H. Akiyama &amp; B. C. Tan comb. nov. and C. nitida (Nog.) H. Akiyama &amp; B. C. Tan comb. nov. are made. Additionally, Pseudocryptogonium H. Akiyama &amp; B. C. Tan gen. nov. is proposed to accommodate Horikawaea tjibodensis (syn. H. redfearnii).</t>
  </si>
  <si>
    <t>[Akiyama, Hiroyuki] Museum Nat &amp; Human Act, Sanda, Hyogo 6691546, Japan; [Akiyama, Hiroyuki] Univ Hyogo, Inst Environm Sci, Sanda, Hyogo 6691546, Japan; [Tan, Benito C.] Natl Univ Singapore, Dept Biol Sci, Singapore 119077, Singapore</t>
  </si>
  <si>
    <t>University of Hyogo; National University of Singapore</t>
  </si>
  <si>
    <t>Akiyama, H (corresponding author), Museum Nat &amp; Human Act, Yayoigaoka 6, Sanda, Hyogo 6691546, Japan.</t>
  </si>
  <si>
    <t>akiyama@hitohaku.jp</t>
  </si>
  <si>
    <t>JSPS KAKENHI [24570108, 09041165]; Grants-in-Aid for Scientific Research [24570108, 09041165]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</si>
  <si>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</si>
  <si>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thank Prof. R. Seppelt (Australian Antarctic Division) for linguistic correction on English text, to Dr. J. Murata (University of Tokyo) who gave the senior author the chance to do field surveys in China, and to Dr. Wu Su-Kung (Kunming Institute of Botany, Chinese Academy of Science) for his kind assistance and arrangements in the field, and the curators of EGR, FH, HIRO, NICH, US for their kind arrangements for loans of type specimens. This study was financially supported by JSPS KAKENHI Grant Number 24570108 to HA and 09041165 to JM.</t>
  </si>
  <si>
    <t>1179-3155</t>
  </si>
  <si>
    <t>1179-3163</t>
  </si>
  <si>
    <t>Phytotaxa</t>
  </si>
  <si>
    <t>MAY 3</t>
  </si>
  <si>
    <t>10.11646/phytotaxa.98.1.2</t>
  </si>
  <si>
    <t>142RJ</t>
  </si>
  <si>
    <t>WOS:000318814500002</t>
  </si>
  <si>
    <t>Huveneers, C; Rogers, PJ; Semmens, JM; Beckmann, C; Kock, AA; Page, B; Goldsworthy, SD</t>
  </si>
  <si>
    <t>Huveneers, Charlie; Rogers, Paul J.; Semmens, Jayson M.; Beckmann, Crystal; Kock, Alison A.; Page, Brad; Goldsworthy, Simon D.</t>
  </si>
  <si>
    <t>Effects of an Electric Field on White Sharks: In Situ Testing of an Electric Deterrent</t>
  </si>
  <si>
    <t>LATERAL-LINE ORGANS; CARCHARODON-CARCHARIAS; BEHAVIORAL-RESPONSES; ELECTRORECEPTION; INNERVATION; SYSTEM; ISLAND; SENSE</t>
  </si>
  <si>
    <t>Elasmobranchs can detect minute electromagnetic fields, &lt;1 nVcm(-1), using their ampullae of Lorenzini. Behavioural responses to electric fields have been investigated in various species, sometimes with the aim to develop shark deterrents to improve human safety. The present study tested the effects of the Shark Shield Freedom7 (TM) electric deterrent on (1) the behaviour of 18 white sharks (Carcharodon carcharias) near a static bait, and (2) the rates of attacks on a towed seal decoy. In the first experiment, 116 trials using a static bait were performed at the Neptune Islands, South Australia. The proportion of baits taken during static bait trials was not affected by the electric field. The electric field, however, increased the time it took them to consume the bait, the number of interactions per approach, and decreased the proportion of interactions within two metres of the field source. The effect of the electric field was not uniform across all sharks. In the second experiment, 189 tows using a seal decoy were conducted near Seal Island, South Africa. No breaches and only two surface interactions were observed during the tows when the electric field was activated, compared with 16 breaches and 27 surface interactions without the electric field. The present study suggests that the behavioural response of white sharks and the level of risk reduction resulting from the electric field is contextually specific, and depends on the motivational state of sharks.</t>
  </si>
  <si>
    <t>[Huveneers, Charlie; Rogers, Paul J.; Page, Brad; Goldsworthy, Simon D.] South Australian Res &amp; Dev Inst Aquat Sci, Threatened Endangered &amp; Protected Species Sub Pro, Adelaide, SA, Australia; [Huveneers, Charlie; Beckmann, Crystal] Flinders Univ S Australia, Sch Biol Sci, Adelaide, SA 5001, Australia; [Semmens, Jayson M.] Univ Tasmania, Fisheries Aquaculture &amp; Coasts Ctr, Inst Marine &amp; Antarctic Studies, Hobart, Tas, Australia; [Kock, Alison A.] Univ Cape Town, Dept Zool, ZA-7925 Cape Town, Western Cape, South Africa; [Kock, Alison A.] Shark Spotters, Cape Town, Western Cape, South Africa</t>
  </si>
  <si>
    <t>Flinders University South Australia; University of Tasmania; University of Cape Town</t>
  </si>
  <si>
    <t>Huveneers, C (corresponding author), South Australian Res &amp; Dev Inst Aquat Sci, Threatened Endangered &amp; Protected Species Sub Pro, Adelaide, SA, Australia.</t>
  </si>
  <si>
    <t>charlie.huveneers@sa.gov.au</t>
  </si>
  <si>
    <t>Semmens, Jayson/0000-0003-1742-6692; Kock, Alison/0000-0001-9981-1652; Beckmann, Crystal/0000-0002-1704-9578; Huveneers, Charlie/0000-0001-8937-1358; Goldsworthy, Simon/0000-0003-4988-9085</t>
  </si>
  <si>
    <t>SafeWork SA; Winifred Violet Scott Charitable Trust; Neiser Foundation; University of Adelaide; Flinders University; Wildlife Conservation Fund; Nature Foundation of South Australia; Solar Online; Australian Research Council's Discovery Projects funding scheme [DP0988554]; umbrella of a Save Our Seas Foundation</t>
  </si>
  <si>
    <t>SafeWork SA; Winifred Violet Scott Charitable Trust; Neiser Foundation; University of Adelaide; Flinders University; Wildlife Conservation Fund; Nature Foundation of South Australia; Solar Online; Australian Research Council's Discovery Projects funding scheme(Australian Research Council); umbrella of a Save Our Seas Foundation</t>
  </si>
  <si>
    <t>This project was funded by SafeWork SA, Winifred Violet Scott Charitable Trust, Neiser Foundation, University of Adelaide, Flinders University, Wildlife Conservation Fund, Nature Foundation of South Australia, and Solar Online. This research was also partly supported under Australian Research Council's Discovery Projects funding scheme (project number DP0988554; www.arc.gov.au). Fieldwork in South Africa was funded under the umbrella of a Save Our Seas Foundation grant provided to AAK as part of a white shark monitoring project. The authors thank Andrew Fox, Jennifer Taylor, and Rachel Robbins from the Rodney Fox Shark Expeditions for the logistic support. The funders had no role in study design, data collection and analysis, decision to publish, or preparation of the manuscript.</t>
  </si>
  <si>
    <t>MAY 2</t>
  </si>
  <si>
    <t>e62730</t>
  </si>
  <si>
    <t>10.1371/journal.pone.0062730</t>
  </si>
  <si>
    <t>175AF</t>
  </si>
  <si>
    <t>Green Published, Green Accepted, gold</t>
  </si>
  <si>
    <t>WOS:000321200500034</t>
  </si>
  <si>
    <t>Priede, IG; Bergstad, OA; Miller, PI; Vecchione, M; Gebruk, A; Falkenhaug, T; Billett, DSM; Craig, J; Dale, AC; Shields, MA; Tilstone, GH; Sutton, TT; Gooday, AJ; Inall, ME; Jones, DOB; Martinez-Vicente, V; Menezes, GM; Niedzielski, T; Sigurosson, P; Rothe, N; Rogacheva, A; Alt, CHS; Brand, T; Abell, R; Brierley, AS; Cousins, NJ; Crockard, D; Hoelzel, AR; Hoines, Å; Letessier, TB; Read, JF; Shimmield, T; Cox, MJ; Galbraith, JK; Gordon, JDM; Horton, T; Neat, F; Lorance, P</t>
  </si>
  <si>
    <t>Priede, Imants G.; Bergstad, Odd Aksel; Miller, Peter I.; Vecchione, Michael; Gebruk, Andrey; Falkenhaug, Tone; Billett, David S. M.; Craig, Jessica; Dale, Andrew C.; Shields, Mark A.; Tilstone, Gavin H.; Sutton, Tracey T.; Gooday, Andrew J.; Inall, Mark E.; Jones, Daniel O. B.; Martinez-Vicente, Victor; Menezes, Gui M.; Niedzielski, Tomasz; Sigurosson, Porsteinn; Rothe, Nina; Rogacheva, Antonina; Alt, Claudia H. S.; Brand, Timothy; Abell, Richard; Brierley, Andrew S.; Cousins, Nicola J.; Crockard, Deborah; Hoelzel, A. Rus; Hoines, Age; Letessier, Tom B.; Read, Jane F.; Shimmield, Tracy; Cox, Martin J.; Galbraith, John K.; Gordon, John D. M.; Horton, Tammy; Neat, Francis; Lorance, Pascal</t>
  </si>
  <si>
    <t>Does Presence of a Mid-Ocean Ridge Enhance Biomass and Biodiversity?</t>
  </si>
  <si>
    <t>MID-ATLANTIC RIDGE; TEMPERATE NE ATLANTIC; DEEP-WATER FISH; NORTH-ATLANTIC; DEMERSAL FISH; SEA FISH; AREA; BIOLUMINESCENCE; SEAMOUNTS; PATTERNS</t>
  </si>
  <si>
    <t>In contrast to generally sparse biological communities in open-ocean settings, seamounts and ridges are perceived as areas of elevated productivity and biodiversity capable of supporting commercial fisheries. We investigated the origin of this apparent biological enhancement over a segment of the North Mid-Atlantic Ridge (MAR) using sonar, corers, trawls, traps, and a remotely operated vehicle to survey habitat, biomass, and biodiversity. Satellite remote sensing provided information on flow patterns, thermal fronts, and primary production, while sediment traps measured export flux during 2007-2010. The MAR, 3,704,404 km 2 in area, accounts for 44.7% lower bathyal habitat (800-3500 m depth) in the North Atlantic and is dominated by fine soft sediment substrate (95% of area) on a series of flat terraces with intervening slopes either side of the ridge axis contributing to habitat heterogeneity. The MAR fauna comprises mainly species known from continental margins with no evidence of greater biodiversity. Primary production and export flux over the MAR were not enhanced compared with a nearby reference station over the Porcupine Abyssal Plain. Biomasses of benthic macrofauna and megafauna were similar to global averages at the same depths totalling an estimated 258.9 kt C over the entire lower bathyal north MAR. A hypothetical flat plain at 3500 m depth in place of the MAR would contain 85.6 kt C, implying an increase of 173.3 kt C attributable to the presence of the Ridge. This is approximately equal to 167 kt C of estimated pelagic biomass displaced by the volume of the MAR. There is no enhancement of biological productivity over the MAR; oceanic bathypelagic species are replaced by benthic fauna otherwise unable to survive in the mid ocean. We propose that globally sea floor elevation has no effect on deep sea biomass; pelagic plus benthic biomass is constant within a given surface productivity regime.</t>
  </si>
  <si>
    <t>[Priede, Imants G.; Craig, Jessica; Shields, Mark A.; Cousins, Nicola J.; Crockard, Deborah] Univ Aberdeen, Inst Biol &amp; Environm Sci, Oceanlab, Aberdeen, Scotland; [Bergstad, Odd Aksel; Falkenhaug, Tone] Inst Marine Res, Flodevigen, His, Norway; [Miller, Peter I.; Tilstone, Gavin H.; Martinez-Vicente, Victor] Plymouth Marine Lab, Remote Sensing Grp, Plymouth, Devon, England; [Vecchione, Michael] Smithsonian Inst, Natl Museum Nat Hist, Natl Systemat Lab, Natl Marine Fisheries Serv,NOAA, Washington, DC 20560 USA; [Gebruk, Andrey; Rogacheva, Antonina] Russian Acad Sci, PP Shirshov Inst Oceanol, Moscow, Russia; [Billett, David S. M.; Gooday, Andrew J.; Jones, Daniel O. B.; Rothe, Nina; Alt, Claudia H. S.; Read, Jane F.; Horton, Tammy] Natl Oceanog Ctr, Southampton, Hants, England; [Dale, Andrew C.; Inall, Mark E.; Brand, Timothy; Abell, Richard; Shimmield, Tracy; Gordon, John D. M.] Scottish Marine Inst, Scottish Assoc Marine Sci, Oban, Argyll, Scotland; [Sutton, Tracey T.] Coll William &amp; Mary, Virginia Inst Marine Sci, Gloucester Point, VA USA; [Menezes, Gui M.] Univ Azores, Dept Oceanog &amp; Fisheries, Horta, Faial, Portugal; [Niedzielski, Tomasz] Univ Wroclaw, Inst Geog &amp; Reg Dev, Dept Geoinformat &amp; Cartog, PL-50138 Wroclaw, Poland; [Sigurosson, Porsteinn] Marine Res Inst, IS-121 Reykjavik, Iceland; [Brierley, Andrew S.] Univ St Andrews, Scottish Oceans Inst, St Andrews KY16 9AJ, Fife, Scotland; [Hoelzel, A. Rus] Univ Durham, Sch Biol &amp; Biomed Sci, Durham, England; [Hoines, Age] Inst Marine Res, N-5024 Bergen, Norway; [Letessier, Tom B.] Univ Western Australia, Oceans Inst, Ctr Marine Futures, Perth, WA 6009, Australia; [Cox, Martin J.] Australian Antarctic Div, Southern Ocean Ecosyst Change Dept, Kingston, Tas, Australia; [Galbraith, John K.] NOAA, Northeast Fisheries Sci Ctr, Woods Hole, MA USA; [Neat, Francis] Marine Scotland Sci, Marine Lab, Aberdeen, Scotland; [Lorance, Pascal] IFREMER, Ctr Atlantique, F-44311 Nantes 03, France</t>
  </si>
  <si>
    <t>University of Aberdeen; Institute of Marine Research - Norway; Plymouth Marine Laboratory; Smithsonian Institution; Smithsonian National Museum of Natural History; National Oceanic Atmospheric Admin (NOAA) - USA; Russian Academy of Sciences; Shirshov Institute of Oceanology; NERC National Oceanography Centre; UHI Millennium Institute; William &amp; Mary; Virginia Institute of Marine Science; Universidade dos Acores; University of Wroclaw; Marine &amp; Freshwater Research Institute (MFRI); University of St Andrews; Durham University; Institute of Marine Research - Norway; University of Western Australia; Australian Antarctic Division; National Oceanic Atmospheric Admin (NOAA) - USA; Marine Scotland Science (MSS); Ifremer</t>
  </si>
  <si>
    <t>Priede, IG (corresponding author), Univ Aberdeen, Inst Biol &amp; Environm Sci, Oceanlab, Aberdeen, Scotland.</t>
  </si>
  <si>
    <t>i.g.priede@abdn.ac.uk</t>
  </si>
  <si>
    <t>Jones, Daniel/A-3412-2009; Dale, Andrew C/H-4847-2012; Gebruk, Andrey/A-9041-2016; Lorance, Pascal/F-4668-2011; Niedzielski, Tomasz/AAI-8985-2020; Kremenetskaia, Antonina/H-5654-2018; Horton, Tammy/G-3590-2010; Alt, Claudia H/B-5439-2014; Menezes, Gui M/HMV-5797-2023; Letessier, Tom Bech/AAV-2759-2020; Gooday, Andrew/AAH-8991-2021; Menezes, Gui M./A-3956-2009; Martinez-Vicente, Victor/F-5131-2010; Miller, Peter I./E-4525-2013; Sutton, Tracey/AAW-7644-2021; Vicente, Victor Martinez/T-1207-2019; Gooday, Andrew/ABB-4267-2020; Brierley, Andrew/G-8019-2011; /I-4835-2014</t>
  </si>
  <si>
    <t>Jones, Daniel/0000-0001-5218-1649; Dale, Andrew C/0000-0002-9256-7770; Lorance, Pascal/0000-0002-6453-2925; Niedzielski, Tomasz/0000-0001-8236-9861; Kremenetskaia, Antonina/0000-0001-8851-3318; Horton, Tammy/0000-0003-4250-1068; Menezes, Gui M/0000-0003-0781-4579; Letessier, Tom Bech/0000-0003-4011-0207; Martinez-Vicente, Victor/0000-0003-3492-583X; Miller, Peter I./0000-0002-5292-8789; Sutton, Tracey/0000-0002-5280-7071; Gooday, Andrew/0000-0002-5661-7371; Neat, Francis/0000-0003-0077-9088; Brierley, Andrew/0000-0002-6438-6892; Bergstad, Odd Aksel/0000-0002-4096-0896; Tilstone, Gavin/0000-0002-9347-1682; /0000-0002-1624-4275; Priede, Imants/0000-0002-5064-9751; Craig, Jessica/0000-0003-3811-7362; Falkenhaug, Tone/0000-0003-3617-7724</t>
  </si>
  <si>
    <t>UK Natural Environment Research Council [NE/C512961/1]; Census of Marine Life; NERC [NE/C513018/1, NE/C512996/1, NE/C512961/1, NE/C51300X/1, NE/C512988/1, noc010009, NE/C51297X/1, pml010008] Funding Source: UKRI; Natural Environment Research Council [NE/C512988/1, NE/C513018/1, NE/C512996/1, NE/C51300X/1, noc010009, pml010008, NE/C51297X/1, NE/C512961/1] Funding Source: researchfish</t>
  </si>
  <si>
    <t>UK Natural Environment Research Council(UK Research &amp; Innovation (UKRI)Natural Environment Research Council (NERC)); Census of Marine Life; NERC(UK Research &amp; Innovation (UKRI)Natural Environment Research Council (NERC)); Natural Environment Research Council(UK Research &amp; Innovation (UKRI)Natural Environment Research Council (NERC))</t>
  </si>
  <si>
    <t>The research was funded by the UK Natural Environment Research Council (http://www.nerc.ac.uk/) consortium grant number NE/C512961/1 for a project entitled: ECOMAR; Ecosystem of the Mid Atlantic Ridge at the Sub-Polar Front and Charlie Gibbs Fracture Zone. Funding was also provided by the Census of Marine Life (http://www.coml.org/). Other than selecting the project for funding and approving the resources required, the funders had no role in study design, data collection and analysis, decision to publish, or preparation of the manuscript.</t>
  </si>
  <si>
    <t>e61550</t>
  </si>
  <si>
    <t>10.1371/journal.pone.0061550</t>
  </si>
  <si>
    <t>WOS:000321200500009</t>
  </si>
  <si>
    <t>Chacón, N; Ascanio, M; Herrera, R; Benzo, D; Flores, S; Silva, SJ; García, B</t>
  </si>
  <si>
    <t>Chacon, Noemi; Ascanio, Mildred; Herrera, Rafael; Benzo, Diana; Flores, Saul; Silva, Soraya J.; Garcia, Belkis</t>
  </si>
  <si>
    <t>Do P Cycling Patterns Differ between Ice-Free Areas and Glacial Boundaries in the Maritime Antarctic Region?</t>
  </si>
  <si>
    <t>SOUTH-SHETLAND ISLANDS; SOIL ORGANIC-CARBON; MCMURDO DRY VALLEYS; KING-GEORGE ISLAND; LOWER ORINOCO RIVER; TAYLOR VALLEY; PHOSPHORUS FRACTIONS; MICROBIAL ACTIVITY; ACID-PHOSPHATASE; BIOLOGICAL-ACTIVITIES</t>
  </si>
  <si>
    <t>Antarctic studies have indicated that during summer, ice-free areas experience greater temperatures than those along the glacial boundaries. This allows for the availability of liquid water and thus influences the biogeochemical processes of Antarctic terrestrial ecosystems. In this study we explore whether the patterns of soil phosphorus cycling differ between the glacial boundary and ice-free areas. To do so, we chose two sites on the Fildes Peninsula in Antarctica, one at the boundary of the Collins Glacier and another within an ice-free area close to Lake Uruguay. In each location, we determined soil phosphorus distribution, iron and aluminum fractions, soil mineralogy, alkaline phosphatase activity, and fluorescein diacetate hydrolysis. The results showed that soils of the ice-free area had a greater content of phosphorus sorbed on iron/aluminum oxyhydroxides and occluded forms. An opposite pattern was obtained for the calcium-bound phosphorus pool. Accordingly, soil samples from the ice-free area showed the greatest levels of iron/ aluminum oxyhydroxides and the presence of secondary minerals such as hematite and the intergrade chlorite-vermiculite-montmorillonite Alkaline phosphatase activity and the fluorescein diacetate hydrolysis were also favored at the ice-free area. The overall results suggest that the less extreme microclimatic conditions and the presence of liquid water in the ice-free area promote the biogeochemical cycling of soil phosphorus. In a context of climate warming this study may contribute to the comprehension of how the expansion of the ice-free areas due to glacial retreat influences biogeochemical cycling of essential nutrients in the Antarctic Peninsula.</t>
  </si>
  <si>
    <t>[Chacon, Noemi; Ascanio, Mildred; Herrera, Rafael; Benzo, Diana; Flores, Saul; Garcia, Belkis] Inst Venezolano Invest Cient, Ctr Ecol, Caracas 1020A, Venezuela; [Chacon, Noemi; Silva, Soraya J.] Inst Venezolano Invest Cient, Ctr Oceanol &amp; Estudios Antarticos, Caracas 1020A, Venezuela; [Herrera, Rafael] Univ Cordoba, Grp Evaluac &amp; Restaurac Sistemas Agricolas &amp; Fore, E-14071 Cordoba, Spain</t>
  </si>
  <si>
    <t>Venezuelan Institute Science Research; Venezuelan Institute Science Research; Universidad de Cordoba</t>
  </si>
  <si>
    <t>Chacón, N (corresponding author), Inst Venezolano Invest Cient, Ctr Ecol, Apdo 20632, Caracas 1020A, Venezuela.</t>
  </si>
  <si>
    <t>nchacon@ivic.gob.ve</t>
  </si>
  <si>
    <t>Flores, Saul/0000-0003-0687-8271</t>
  </si>
  <si>
    <t>Venezuelan Antarctic Program of the Ministerio del Poder Popular para Ciencia, Tecnologia e Innovacion (MCTI)</t>
  </si>
  <si>
    <t>This research was supported by the Venezuelan Antarctic Program of the Ministerio del Poder Popular para Ciencia, Tecnologia e Innovacion (MCTI). Chacon thanks Maximilian Bezada and Daniel Palacios, who helped in the fieldwork. We thank Cristina Lull for her critical comments on an early version of this manuscript. We are very grateful to three anonymous reviewers for their careful revision and valuable and critical commentaries about the original version of the manuscript. We also wish to acknowledge Werner Wilbert and Alessia Bastianoni for revising the English version of the manuscript.</t>
  </si>
  <si>
    <t>MAY</t>
  </si>
  <si>
    <t>10.1657/1938-4246-45.2.190</t>
  </si>
  <si>
    <t>287HQ</t>
  </si>
  <si>
    <t>WOS:000329533100003</t>
  </si>
  <si>
    <t>Gacitua, G; Bay, C; Pedersen, MR; Tamstorf, MP</t>
  </si>
  <si>
    <t>Gacitua, Guisella; Bay, Christian; Pedersen, Maria Rask; Tamstorf, Mikkel Peter</t>
  </si>
  <si>
    <t>Quantifying Snow and Vegetation Interactions in the High Arctic Based on Ground Penetrating Radar (GPR)</t>
  </si>
  <si>
    <t>SOIL-WATER CONTENT; ACCUMULATION; VARIABILITY; TRANSPORT; DYNAMICS; SURFACE; TUNDRA; COVER</t>
  </si>
  <si>
    <t>The quantification of the relationship between accumulation of snow and vegetation is crucial for understanding the influence of vegetation dynamics. We here present an analysis of the thickness of the snow and hydrological availability in relation to the seven main vegetation types in the High Arctic in Northeast Greenland. We used ground penetrating radar (GPR) for snow thickness measurements across the Zackenberg valley. Measurements were integrated to the physical conditions that support the vegetation distribution. Descriptive statistics and correlations of the distribution of each vegetation type to snow thickness, as well as to external factors that influence the redistribution of snow were performed. We found that although there is wide variability in the snow packing, there is strong correlation between snow thickness and the distribution of certain plant communities in the area. The accumulation of snow and occurrence of vegetation types such as Dryas octopetala heath and Salix arctica snowbed showed more influence by the microtopography than by other vegetation types that showed independence of the terrain conditions.</t>
  </si>
  <si>
    <t>[Gacitua, Guisella; Bay, Christian; Tamstorf, Mikkel Peter] Aarhus Univ, Dept Biosci, Arctic Res Ctr, DK-4000 Roskilde, Denmark; [Pedersen, Maria Rask] Univ Copenhagen, IGG, Dept Geog &amp; Geol, DK-1350 Copenhagen K, Denmark</t>
  </si>
  <si>
    <t>Aarhus University; University of Copenhagen</t>
  </si>
  <si>
    <t>Gacitua, G (corresponding author), Ctr Estudios Cient, Ave Prat 514, Valdivia, Chile.</t>
  </si>
  <si>
    <t>ggacitua@cecs.cl</t>
  </si>
  <si>
    <t>Tamstorf, Mikkel/I-7101-2013; Tamstorf, Mikkel/ACU-7592-2022</t>
  </si>
  <si>
    <t>Tamstorf, Mikkel/0000-0002-2811-331X;</t>
  </si>
  <si>
    <t>10.1657/1938-4246-45.2.201</t>
  </si>
  <si>
    <t>WOS:000329533100004</t>
  </si>
  <si>
    <t>Jarvis, SK; Wiles, GC; Appleton, SN; D'Arrigo, RD; Lawson, DE</t>
  </si>
  <si>
    <t>Jarvis, Stephanie K.; Wiles, Gregory C.; Appleton, Sarah N.; D'Arrigo, Rosanne D.; Lawson, Daniel E.</t>
  </si>
  <si>
    <t>A Warming-Induced Biome Shift Detected in Tree Growth of Mountain Hemlock [Tsuga mertensiana (Bong.) Carriere] along the Gulf of Alaska</t>
  </si>
  <si>
    <t>YELLOW-CEDAR; GLACIER BAY; SOUTHEAST ALASKA; VARIABILITY; HISTORY; FORESTS</t>
  </si>
  <si>
    <t>Recent observations of divergence between tree growth at high-latitude sites and temperature, as well as the decline of yellow cedar [Callitropsis nootkatensis (D. Don) Oerst. ex D.P. Little] in southeast Alaska due to warming, emphasize a need to investigate nonstationary climate response of Alaskan coastal forests to warming in other tree species. Comparison of annual tree growth in mountain hemlock [Tsuga mertensiana (Bong.) Carriere] to mean monthly temperature and precipitation data from Sitka, Alaska, from A.D. 1830s to 1990s along an elevational transect reveals nonstationarity in tree growth response to climate that suggests an ongoing biome shift. We observe a marked weakening in the positive relationship between annual growth and warmer growth season temperatures at low-elevation hemlock sites, and a concurrent increase in growth and sensitivity at higher elevations coupled with increased correlation between growth and April precipitation at all sites along our transects. As previously observed with yellow cedar, the mechanism of the hemlock biome shift may be due to an increased susceptibility of roots to damage from late frosts resulting from earlier seasonal loss of protective snowpack.</t>
  </si>
  <si>
    <t>[Jarvis, Stephanie K.; Wiles, Gregory C.; Appleton, Sarah N.] Coll Wooster, Dept Geol, Wooster, OH 44691 USA; [D'Arrigo, Rosanne D.] Columbia Univ, Lamont Doherty Earth Observ, Tree Ring Lab, Palisades, NY 10964 USA; [Lawson, Daniel E.] US Army, Cold Reg Res &amp; Engn Lab, Hanover, NH 03755 USA</t>
  </si>
  <si>
    <t>University System of Ohio; College of Wooster; Columbia University; United States Department of Defense; United States Army; U.S. Army Corps of Engineers; U.S. Army Engineer Research &amp; Development Center (ERDC); Cold Regions Research &amp; Engineering Laboratory (CRREL)</t>
  </si>
  <si>
    <t>Jarvis, SK (corresponding author), So Illinois Univ, Dept Geol, 1259 Lincoln Dr, Carbondale, IL 62901 USA.</t>
  </si>
  <si>
    <t>sjarvis@siu.edu</t>
  </si>
  <si>
    <t>National Science Foundation [ATM-0902799, AGS-1202218]; National Geographic Society</t>
  </si>
  <si>
    <t>National Science Foundation(National Science Foundation (NSF)); National Geographic Society(National Geographic Society)</t>
  </si>
  <si>
    <t>We thank Glacier Bay National Park and Preserve and the National Forest Service (U.S. Forest Service Special Use Permit FS-2700-4) for allowing us to sample the mountain hemlock and yellow-cedar trees for this study and the National Park Service for logistical support. We also thank Marilyn Loveless for the many ecology discussions pertaining to this study and are grateful for the constructive feedback of two anonymous reviewers. This work was supported by the National Science Foundation (ATM-0902799 and AGS-1202218). Part of the Excursion Ridge chronology sampling was made possible by a grant from the National Geographic Society. Lamont-Doherty contribution #7652.</t>
  </si>
  <si>
    <t>10.1657/1938-4246-45.2</t>
  </si>
  <si>
    <t>WOS:000329533100005</t>
  </si>
  <si>
    <t>Mamet, SD; Kershaw, GP</t>
  </si>
  <si>
    <t>Mamet, Steven D.; Kershaw, G. Peter</t>
  </si>
  <si>
    <t>Environmental Influences on Winter Desiccation of Picea glauca Foliage at Treeline, and Implications for Treeline Dynamics in Northern Manitoba</t>
  </si>
  <si>
    <t>SIMULATED TRANSPORT CORRIDOR; FOREST-TUNDRA ECOTONE; WHITE SPRUCE; PINUS-SYLVESTRIS; SNOWPACK CHARACTERISTICS; CUTICULAR TRANSPIRATION; NATIONAL-PARK; CANADA; LINE; WIND</t>
  </si>
  <si>
    <t>Winter desiccation and mortality of coniferous foliage are important determinants of carbon balance in trees and thus can influence the location of the subarctic treeline ecotone. The purpose of this study was (i) to assess variation in winter desiccation and viability of first-year conifer needles at several heights and orientations along tree boles across the forest-tundra ecotone near Churchill, Manitoba, from 2008 to 2010, and (ii) determine if there is a noticeable influence of needle health on ongoing treeline advance in the area. Growing season air temperatures around Churchill were significantly cooler in 2009, resulting in the development of significantly shorter needles during 2010. Minimum epidermal conductance (g(min)) varied little with height on the tree or orientation to the prevailing wind direction. The highest values of gmin occurred in 2010, when temperatures during the previous June (t - 1) were 2.9 degrees C cooler than normal, and the lowest g(min), occurred during 2009 when June (t - 1) was 1.2 degrees C warmer than normal. There were few correlations between needle viability and water content, and little consistency among years. However, significant correlations occurred during all 3 yr in northwest-facing needles at treeline, which suggests that treeline trees could be the most susceptible to water loss and dieback, relative to forest and tundra stems. Despite the occurrence of some winter desiccation, death of coniferous foliage (&lt;10%) and sapling mortality (4-17%) was low, and rapid height growth of live saplings suggests passage through the wind-blown snow abrasion zone does not significantly impede wood production. Ostensibly winter desiccation and foliage mortality does not significantly influence sapling height growth and treeline dynamics around Churchill.</t>
  </si>
  <si>
    <t>[Mamet, Steven D.] Univ Saskatchewan, Dept Biol, Northern Plant Ecol Lab, Saskatoon, SK S7N 5E2, Canada; [Kershaw, G. Peter] Univ Alberta, Dept Earth &amp; Atmospher Sci, Edmonton, AB T6G 2E3, Canada</t>
  </si>
  <si>
    <t>University of Saskatchewan; University of Alberta</t>
  </si>
  <si>
    <t>Mamet, SD (corresponding author), Univ Saskatchewan, Dept Biol, Northern Plant Ecol Lab, 239 WP Thompson Bldg,112 Sci Pl, Saskatoon, SK S7N 5E2, Canada.</t>
  </si>
  <si>
    <t>steven.mamet@usask.ca</t>
  </si>
  <si>
    <t>Mamet, Steven Douglas/H-8408-2019</t>
  </si>
  <si>
    <t>Mamet, Steven Douglas/0000-0002-3510-3814</t>
  </si>
  <si>
    <t>Government of Canada, International Polar Year (IPY); Canadian Circumpolar Institute at the University of Alberta; Northern Research Fund; International Council for Science; World Meteorological Organization</t>
  </si>
  <si>
    <t>Government of Canada, International Polar Year (IPY); Canadian Circumpolar Institute at the University of Alberta(University of Alberta); Northern Research Fund; International Council for Science; World Meteorological Organization</t>
  </si>
  <si>
    <t>This research was supported by grants from the Government of Canada, International Polar Year (IPY), Canadian Circumpolar Institute at the University of Alberta, the Northern Research Fund administered by the Churchill Northern Studies Centre (CNSC), and Earthwatch Institute (El). This paper is a product under the IPY core project PPS Arctic as part of IPY 2007-08, sponsored by the International Council for Science and the World Meteorological Organization. We thank staff and volunteers of the CNSC and El for their assistance with the study. The efforts of L. Fishback, C. Basler, K. Hanis, and K. Jansen were essential for fieldwork completion. David Cairns and two anonymous reviewers made comments on an earlier version of this manuscript, which greatly improved its quality.</t>
  </si>
  <si>
    <t>10.1657/1938-4246-45.2.219</t>
  </si>
  <si>
    <t>WOS:000329533100006</t>
  </si>
  <si>
    <t>Nagano, S; Nakano, T; Hikosaka, K; Maruta, E</t>
  </si>
  <si>
    <t>Nagano, Soichiro; Nakano, Takashi; Hikosaka, Kouki; Maruta, Emiko</t>
  </si>
  <si>
    <t>Pinus pumila Photosynthesis Is Suppressed by Water Stress in a Wind-Exposed Mountain Site</t>
  </si>
  <si>
    <t>CENTRAL JAPAN; GAS-EXCHANGE; GROWTH; LIMITATION; FOREST; LEAVES; RANGE; CONDUCTANCE; TEMPERATURE; DYNAMICS</t>
  </si>
  <si>
    <t>Wind exposure is known to have stressful effects on plant growth, particularly at high altitudes. We studied how environmental factors affected carbon assimilation in Pinus pumila needles at a wind-exposed site. Needle gas exchange rates were determined for detached shoots in the laboratory where the needles were free from field environmental stresses, and also determined for attached shoots in the field under in situ environment. There was no difference in gas exchange characteristics determined in the laboratory between shoots from the wind-exposed and the wind-protected sites, suggesting that wind exposure did not affect the photosynthetic potential. In the field, however, the photosynthetic rate of one-year-old needles (in situ A(area)) was significantly lower at the wind-exposed site than that at the wind-protected site. There was a positive correlation between the in situ A(area) and the xylem pressure potential, suggesting that water deficit caused photosynthetic suppression at the wind-exposed site. The in situ A(area) was lower at the wind-exposed site, even with the same electron transport rate and the same stomatal conductance. These results suggest that CO2 assimilation is suppressed by lower mesophyll CO2 conductance at the wind-exposed site. We conclude that the carbon gain is limited by water stress in wind-exposed regions.</t>
  </si>
  <si>
    <t>[Nagano, Soichiro; Maruta, Emiko] Toho Univ, Fac Sci, Funabashi, Chiba 2748510, Japan; [Nakano, Takashi] Yamanashi Inst Environm Sci, Fujiyoshida, Yamanashi 4030005, Japan; [Nagano, Soichiro; Hikosaka, Kouki] Tohoku Univ, Grad Sch Life Sci, Sendai, Miyagi 9808578, Japan; [Hikosaka, Kouki] JST, CREST, Chiyoda Ku, Tokyo 1020076, Japan</t>
  </si>
  <si>
    <t>Toho University; Tohoku University; Japan Science &amp; Technology Agency (JST)</t>
  </si>
  <si>
    <t>Nagano, S (corresponding author), Tohoku Univ, Grad Sch Life Sci, 2-1-1 Katahira, Sendai, Miyagi 9808577, Japan.</t>
  </si>
  <si>
    <t>naganosoichiro@gmail.com</t>
  </si>
  <si>
    <t>Hikosaka, Kouki/A-5415-2013</t>
  </si>
  <si>
    <t>Hikosaka, Kouki/0000-0003-1744-3775; Nagano, Soichiro/0000-0002-7933-653X</t>
  </si>
  <si>
    <t>Sasakawa Scientific Research Grant from the Japan Science Society to Nagano [18-212]; KAKENHI from the Japan Ministry of Education, Culture, Sports, Science and Technology; Global Environment Research Fund from the Japan Ministry of the Environment [D-0904]; Global COB Program Center for ecosystem management adapting to global change (J03) of the Ministry of Education, Culture, Sports, Science and Technology of Japan to Hikosaka; Grants-in-Aid for Scientific Research [21114009, 25660113] Funding Source: KAKEN</t>
  </si>
  <si>
    <t>Sasakawa Scientific Research Grant from the Japan Science Society to Nagano; KAKENHI from the Japan Ministry of Education, Culture, Sports, Science and Technology; Global Environment Research Fund from the Japan Ministry of the Environment; Global COB Program Center for ecosystem management adapting to global change (J03) of the Ministry of Education, Culture, Sports, Science and Technology of Japan to Hikosaka; Grants-in-Aid for Scientific Research(Ministry of Education, Culture, Sports, Science and Technology, Japan (MEXT)Japan Society for the Promotion of ScienceGrants-in-Aid for Scientific Research (KAKENHI))</t>
  </si>
  <si>
    <t>We thank two anonymous reviewers for their valuable comments on this manuscript. We thank Dr. Masato Takita, Mr. Yoshiaki Agematsu, and the staffs for permission to use the Norikura Observatory, Institute for Cosmic Ray Research, the University of Tokyo; and Dr. Masako Mitamura, Dr. Tsuyoshi Sakata, Dr. Takefumi Ikeda, Mr. Tetsuo Mutsuji, Mr. Teppei Miyake, Dr. Mitsumasa Kubota, and Dr. Jun-ya Yamazaki for technical support. This study was supported in part by the Sasakawa Scientific Research Grant from the Japan Science Society to Nagano (18-212), and by KAKENHI from the Japan Ministry of Education, Culture, Sports, Science and Technology, the Global Environment Research Fund (D-0904) from the Japan Ministry of the Environment, and the Global COB Program Center for ecosystem management adapting to global change (J03) of the Ministry of Education, Culture, Sports, Science and Technology of Japan to Hikosaka.</t>
  </si>
  <si>
    <t>10.1657/1938-4246-45.2.229</t>
  </si>
  <si>
    <t>WOS:000329533100007</t>
  </si>
  <si>
    <t>Oh, S; Adams, WW; Demmig-Adams, B; Koh, SC</t>
  </si>
  <si>
    <t>Oh, Soonja; Adams, William W., III; Demmig-Adams, Barbara; Koh, Seok Chan</t>
  </si>
  <si>
    <t>Seasonal Photoprotective Responses in Needles of Korean Fir (Abies koreana) over an Altitudinal Gradient on Mount Halla, Jeju Island, Korea</t>
  </si>
  <si>
    <t>DEPENDENT ENERGY-DISSIPATION; LUTEIN EPOXIDE CYCLE; XANTHOPHYLL CYCLE; PHOTOSYSTEM-II; CHLOROPHYLL FLUORESCENCE; CARBON SEQUESTRATION; LIGHT; WINTER; PHOTOSYNTHESIS; FOREST</t>
  </si>
  <si>
    <t>Chloroplast pigments and chlorophyll fluorescence were characterized in needles of Korean fir (Abies koreana) in summer, winter, and spring at three altitudes on Jeju Island, Korea. High light-harvesting efficiency (intrinsic photosystem II efficiency) and indirect evidence for high photosynthetic rates (high levels of beta-carotene and chlorophyll b) during the growing season contrasted with mid-winter downregulation of light-harvesting efficiency involving retention of high zeaxanthin levels and locked-in photoprotective thermal dissipation (from low chlorophyll fluorescence emission). Neoxanthin levels were inversely correlated with sustained photoprotection in the winter, and lutein to xanthophyll cycle carotenoid levels decreased from summer to winter, suggesting that zeaxanthin plays the prominent role in winter photoprotection of Korean fir needles. Summer was apparently most conducive to photosynthesis, consistent with high levels of summer precipitation on Jeju Island, and in contrast to fir and other conifers in a climate with dry summers at high altitudes in Colorado, U.S.A., where studies have shown that the wet spring is the season most favorable for photosynthesis. Lastly, despite there being only 300 in difference in altitude among the three sites, there were discernible differences in (i) accumulation of zeaxanthin in winter (as an indicator for the severity of conditions, with highest levels at the highest altitude), (ii) apparent photosynthesis rates in summer (from beta-carotene levels, with highest levels at the highest altitude), and (iii) transition to increased photosynthesis in spring (from fluorescence emission levels, slowest at the highest altitude).</t>
  </si>
  <si>
    <t>[Oh, Soonja] Environm Res &amp; Educ Inst, Cheju 690150, South Korea; [Adams, William W., III; Demmig-Adams, Barbara] Univ Colorado, Dept Ecol &amp; Evolutionary Biol, Boulder, CO 80309 USA; [Koh, Seok Chan] Jeju Natl Univ, Dept Biol, Cheju 690756, South Korea</t>
  </si>
  <si>
    <t>University of Colorado System; University of Colorado Boulder; Jeju National University</t>
  </si>
  <si>
    <t>Koh, SC (corresponding author), Jeju Natl Univ, Dept Biol, Cheju 690756, South Korea.</t>
  </si>
  <si>
    <t>sckoh@jejunu.ac.kr</t>
  </si>
  <si>
    <t>Adams, William/R-2772-2019</t>
  </si>
  <si>
    <t>Basic Science Research Program through the National Research Foundation of Korea (NRF); Ministry of Education, Science and Technology [2011-0361]</t>
  </si>
  <si>
    <t>Basic Science Research Program through the National Research Foundation of Korea (NRF)(National Research Foundation of Korea); Ministry of Education, Science and Technology(Ministry of Education, Science &amp; Technology (MEST), Republic of Korea)</t>
  </si>
  <si>
    <t>This research was supported by the Basic Science Research Program through the National Research Foundation of Korea (NRF) funded by the Ministry of Education, Science and Technology (2011-0361).</t>
  </si>
  <si>
    <t>10.1657/1938-4246-45.2.238</t>
  </si>
  <si>
    <t>WOS:000329533100008</t>
  </si>
  <si>
    <t>Selkirk-Bell, JM; Selkirk, PM</t>
  </si>
  <si>
    <t>Selkirk-Bell, J. M.; Selkirk, P. M.</t>
  </si>
  <si>
    <t>Vegetation-Banked Terraces on Subantarctic Macquarie Island: a Reappraisal</t>
  </si>
  <si>
    <t>TIERRA-DEL-FUEGO; AZORELLA-SELAGO; CLIMATE-CHANGE; MARION ISLAND; USA; MOVEMENT; PATTERNS; RISERS; SCALE; PARK</t>
  </si>
  <si>
    <t>Vegetation-banked terraces with alternating bands of vegetation and gravel are spectacularly developed on the plateau of subantarctic Macquarie Island. Previous work has described two distinct, apparently unrelated types of vegetation-banked terraces on the island, windward and leeward, depending on their exposure to the prevailing westerly winds. Here we have documented aspects of terrace morphology and vegetation. The terraces are dynamic, with mobile gravel, substrate erosion, and vegetation growth all in evidence. By focusing on the processes occurring, we conclude that the windward and leeward types are actually two related forms that grade from one into the other, depending on hillside aspect. In addition, we describe stone-banked terraces, not previously reported from Macquarie Island. Recent changes on the island resulting in widespread death of the cushion plant Azorella macquariensis may impact on the maintenance of terrace stability in the long term.</t>
  </si>
  <si>
    <t>[Selkirk-Bell, J. M.] La Trobe Univ, Bendigo, Vic 3552, Australia; [Selkirk, P. M.] Macquarie Univ, Dept Biol Sci, Sydney, NSW 2109, Australia</t>
  </si>
  <si>
    <t>La Trobe University; Macquarie University</t>
  </si>
  <si>
    <t>Selkirk-Bell, JM (corresponding author), La Trobe Univ, Bendigo, Vic 3552, Australia.</t>
  </si>
  <si>
    <t>j.selkirk-bell@latrobe.edu.au</t>
  </si>
  <si>
    <t>Selkirk-Bell, Jennifer/0000-0003-4529-0809</t>
  </si>
  <si>
    <t>Macquarie University; Antarctic Advisory Committee Grant Scheme</t>
  </si>
  <si>
    <t>We thank Australian Antarctic Division for logistic support for summer fieldwork between 1979-1980 and 1994-1995; Parks and Wildlife Service Tasmania for permission to visit Macquarie Island; Macquarie Island Advisory Committee for permission to conduct research there; Macquarie University for research grant support to Selkirk, and Antarctic Advisory Committee Grant Scheme for scholarship support to Selkirk-Bell. We thank the late D. Adamson for collaboration in collecting the data in Table 1, R. Seppelt for collaboration in collecting the data in Table 2, and R. Gibson for collaboration in collecting the data in Table 3. We thank Geof Copson, Trish Fanning, John Pickard, and Jennie Whinam for valuable discussions, and numerous ANARE expeditioners for field assistance and support. We appreciate the helpful comments we have received during the reviewing process of this manuscript.</t>
  </si>
  <si>
    <t>10.1657/1938-4246-45.2.261</t>
  </si>
  <si>
    <t>WOS:000329533100010</t>
  </si>
  <si>
    <t>Whalen, SC; Lofton, DD; McGowan, GE; Strohm, A</t>
  </si>
  <si>
    <t>Whalen, Stephen C.; Lofton, Dendy D.; McGowan, Gabriel E.; Strohm, Amy</t>
  </si>
  <si>
    <t>Microphytobenthos in Shallow Arctic Lakes: Fine-Scale Depth Distribution of Chlorophyll a, Radiocarbon Assimilation, Irradiance, and Dissolved O2</t>
  </si>
  <si>
    <t>OXYGEN CONCENTRATION PROFILES; CHEMICAL LIMNOLOGY; EPIPELIC ALGAE; BENTHIC MICROALGAE; TUKTOYAKTUK PENINSULA; VERTICAL-DISTRIBUTION; LIGHT MEASUREMENTS; LITTORAL SEDIMENT; N-2 FIXATION; PHOTOSYNTHESIS</t>
  </si>
  <si>
    <t>We compared in three shallow Alaskan Arctic lakes physical properties of bulk sediment and the fine-scale (1 mm increments to 20 mm sediment depth) vertical distribution of dissolved 02, scalar irradiance, chlorophyll a, and radiocarbon assimilation by microphyto-benthos to better understand the structural and functional significance of this community. Sediments showed water contents of 86-98%, and dry bulk densities of 0.012-0.146 g cm(-3), depending on depth. Chlorophyll a displayed no clear vertical pattern, suggesting mixing of surface layers and showed lakewise averages of 5.1-23.7 mu g cm(-3). Sediments were oxic to 1.5-5.5 mm and showed attenuation coefficients of 1.17-2.07 mm(-1) for photon scalar irradiance. Photosynthetic activity was localized near the sediment surface, as 57-81% of (HCO3-)-C-14 added to intact cores was recovered in the 0-2 mm zone. Only 26-44% of the chlorophyll a in vertical profiles was sited in the euphotic zone, but microphytobenthos in underlying, aphotic sediments immediately photosynthesized at or near rates for the surface sediment when artificially irradiated. Area-based chlorophyll a in the euphotic plus photosynthetically capable aphotic microphytobenthos was 62-105 times higher than that of the phytoplankton, pointing to the potential importance of benthic autotrophs to Arctic lake food webs.</t>
  </si>
  <si>
    <t>[Whalen, Stephen C.; Lofton, Dendy D.; McGowan, Gabriel E.; Strohm, Amy] Univ N Carolina, Dept Environm Sci &amp; Engn, Chapel Hill, NC 27599 USA</t>
  </si>
  <si>
    <t>University of North Carolina; University of North Carolina Chapel Hill</t>
  </si>
  <si>
    <t>Whalen, SC (corresponding author), Univ N Carolina, Dept Environm Sci &amp; Engn, CB 7431, Chapel Hill, NC 27599 USA.</t>
  </si>
  <si>
    <t>steve_whalen@unc.edu</t>
  </si>
  <si>
    <t>National Science Foundation [NSF 0323557]</t>
  </si>
  <si>
    <t>This research was supported by National Science Foundation Grant NSF 0323557. Lake morphometric data were provided by Jason Stucky. Staff of the Toolik Lake Field Station provided logistic support for this work.</t>
  </si>
  <si>
    <t>10.1657/1938-4246-45.2.285</t>
  </si>
  <si>
    <t>WOS:000329533100012</t>
  </si>
  <si>
    <t>Lamus, FV</t>
  </si>
  <si>
    <t>Villamizar Lamus, Fernando</t>
  </si>
  <si>
    <t>ANTARCTIC TREATY AND ANTARCTIC TERRITORY PROTECTION MECHANISMS</t>
  </si>
  <si>
    <t>REVISTA CHILENA DE DERECHO</t>
  </si>
  <si>
    <t>Antarctic Treaty; International Custom; Antarctic protection mechanisms</t>
  </si>
  <si>
    <t>The Antarctic Treaty marks a fundamental milestone in the handling of Antarctica. This treaty contains some mechanisms that, until now, have been effective in protecting the Antarctic territory. In this article the hows and whys of said mechanisms are laid out. However, at the same time the effectiveness of the mechanisms are only applicable to the states that form part of the Antarctic Treaty. How then would the Antarctic territory be defended with respect to states that are not party to the Antarctic Treaty? The proposed answer to this question consists in confirming that the evolution of the so-called Question of Antarctica has generated a custom in international law in such a way that the principles of the Antarctic Treaty are enforceable against third party States that are not party to this treaty.</t>
  </si>
  <si>
    <t>[Villamizar Lamus, Fernando] Univ Rosario, Rosario, Santa Fe, Argentina; [Villamizar Lamus, Fernando] Bernardo OHiggins Univ, Santiago, Chile; [Villamizar Lamus, Fernando] Univ Andes Chile, Santiago, Chile</t>
  </si>
  <si>
    <t>National University of Rosario; Universidad Bernardo O'Higgins; Universidad de los Andes - Chile</t>
  </si>
  <si>
    <t>Lamus, FV (corresponding author), Univ Rosario, Rosario, Santa Fe, Argentina.</t>
  </si>
  <si>
    <t>fvillamizar@ubo.cl</t>
  </si>
  <si>
    <t>PONTIFICA UNIV CATOLICA DE CHILE FACULTAD DE DERECHO</t>
  </si>
  <si>
    <t>SANTIAGO 1</t>
  </si>
  <si>
    <t>AV LIBERATADOR BENARDO O HIGGINS 340, SANTIAGO, CHILE, CASILLA 114-D, SANTIAGO 1, 00000, CHILE</t>
  </si>
  <si>
    <t>0718-3437</t>
  </si>
  <si>
    <t>REV CHIL DERECH-PUCC</t>
  </si>
  <si>
    <t>Rev. Chil. Derecho</t>
  </si>
  <si>
    <t>MAY-AUG</t>
  </si>
  <si>
    <t>10.4067/S0718-34372013000200005</t>
  </si>
  <si>
    <t>Law</t>
  </si>
  <si>
    <t>Government &amp; Law</t>
  </si>
  <si>
    <t>275DS</t>
  </si>
  <si>
    <t>WOS:000328657100005</t>
  </si>
  <si>
    <t>Vovk, VY; Egorova, LV; Ul'ev, VA</t>
  </si>
  <si>
    <t>Vovk, V. Ya.; Egorova, L. V.; Ul'ev, V. A.</t>
  </si>
  <si>
    <t>Relation between Variations in the Characteristics of the High-Latitude Atmosphere and Solar Cosmic Factors</t>
  </si>
  <si>
    <t>GEOMAGNETISM AND AERONOMY</t>
  </si>
  <si>
    <t>Daily temperatures at high latitudes of the Northern and Southern hemispheres and the corresponding levels of currents of solar protons and the PC, Ap, and Dst magnetic indices are considered. The character of variations in the surface temperature depending on these indices in different seasons during strong magnetic storms, when the Dst amplitude was smaller than -50, has been indicated. The relationship of the indices in southern and northern atmospheric oscillations (SOI and NAO) to the Ap indices has been revealed. The monthly average Ap amplitude increases before the El Nino warm period, when the SOI index decreases from 0 to -1.5 and the NAO index increases from -0.5 to 0.9. The La Nina cold period, when SOI increases from -0.1 to 1.3 and NAO decreases from 0.7 to -0.45, begins after a decrease in the Ap index.</t>
  </si>
  <si>
    <t>[Vovk, V. Ya.; Egorova, L. V.; Ul'ev, V. A.] Russian Acad Sci, Arctic &amp; Antarctic Res Inst, St Petersburg 199397, Russia</t>
  </si>
  <si>
    <t>Russian Academy of Sciences; Arctic &amp; Antarctic Research Institute</t>
  </si>
  <si>
    <t>Vovk, VY (corresponding author), Russian Acad Sci, Arctic &amp; Antarctic Res Inst, Ul Beringa 38, St Petersburg 199397, Russia.</t>
  </si>
  <si>
    <t>eglar@aari.nw.ru</t>
  </si>
  <si>
    <t>0016-7932</t>
  </si>
  <si>
    <t>1555-645X</t>
  </si>
  <si>
    <t>GEOMAGN AERONOMY+</t>
  </si>
  <si>
    <t>Geomagn. Aeron.</t>
  </si>
  <si>
    <t>10.1134/S0016793213020175</t>
  </si>
  <si>
    <t>253HK</t>
  </si>
  <si>
    <t>WOS:000327074900006</t>
  </si>
  <si>
    <t>Basberg, BL</t>
  </si>
  <si>
    <t>Basberg, Bjorn L.</t>
  </si>
  <si>
    <t>A Crisis that Never Came: The decline of the Antarctic Whaling Industry in the 1950s and 1960s</t>
  </si>
  <si>
    <t>MARINERS MIRROR</t>
  </si>
  <si>
    <t>Whaling industry; industrial decline; Antarctica; business cycles; Norway; transformation; shipping</t>
  </si>
  <si>
    <t>The twentieth-century Antarctic whaling industry had from the beginning been led by Norwegian companies and companies from a few other nations with strong Norwegian ties, especially Britain. This article analyses the decline and final closure of this part of the industry in the 1950s and 1960s. The nations that had dominated the industry were then challenged by Japan and the Soviet Union, who completely took over Antarctic whaling over the succeeding decades. This article has a special focus on the Norwegian industry and how the challenges were faced there, but also analyses the development in other countries that experienced a decline. The analysis reveals that the decline did not develop into a crisis for the companies or in the wider economies. One main explanation was that business cycles in shipping and in the general economy were very favourable during the years when the whaling industry was wound up.</t>
  </si>
  <si>
    <t>[Basberg, Bjorn L.] Norwegian Sch Econ, Bergen, Norway; [Basberg, Bjorn L.] New Bedford Whaling Museum, Bedford, England</t>
  </si>
  <si>
    <t>Norwegian School of Economics (NHH)</t>
  </si>
  <si>
    <t>Basberg, BL (corresponding author), Norwegian Sch Econ, Bergen, Norway.</t>
  </si>
  <si>
    <t>SOC NAUTICAL RESEARCH</t>
  </si>
  <si>
    <t>NATIONAL MARITIME MUSEUM GREENWICH, LONDON SE10 9NF, ENGLAND</t>
  </si>
  <si>
    <t>0025-3359</t>
  </si>
  <si>
    <t>Mar. Mirror</t>
  </si>
  <si>
    <t>10.1080/00253359.2013.785136</t>
  </si>
  <si>
    <t>207UE</t>
  </si>
  <si>
    <t>WOS:000323629300007</t>
  </si>
  <si>
    <t>Kusahara, K; Hasumi, H</t>
  </si>
  <si>
    <t>Kusahara, Kazuya; Hasumi, Hiroyasu</t>
  </si>
  <si>
    <t>Modeling Antarctic ice shelf responses to future climate changes and impacts on the ocean</t>
  </si>
  <si>
    <t>Antarctic ice shelves; basal melt; ice shelf-sea ice-ocean model; climate change</t>
  </si>
  <si>
    <t>PINE ISLAND GLACIER; WATER MASS-DISTRIBUTION; BOTTOM WATER; ROSS SEA; CIRCULATION BENEATH; WEST ANTARCTICA; WEDDELL SEA; MELT RATES; THERMOHALINE CIRCULATION; CONTINENTAL-SHELF</t>
  </si>
  <si>
    <t>We investigate basal melting of all Antarctic ice shelves by a circumpolar ice shelf-sea ice-ocean coupled model and estimate the total basal melting of 770-944Gt/yr under present-day climate conditions. We present a comparison of the basal melting with previous observational and modeling estimates for each ice shelf. Heat sources for basal melting are largely different among the ice shelves. Sensitivities of the basal melting to surface air warming and to enhanced westerly winds over the Antarctic Circumpolar Current are investigated from a series of numerical experiments. In this model the total basal melting strongly depends on the surface air warming but is hardly affected by the change of westerly winds. The magnitude of the basal melting response to the warming varies widely from one ice shelf to another. The largest response is found at ice shelves in the Bellingshausen Sea, followed by those in the Eastern Weddell Sea and the Indian sector. These increases of basal melting are caused by increases of Circumpolar Deep Water and/or Antarctic Surface Water into ice shelf cavities. By contrast, basal melting of ice shelves in the Ross and Weddell Seas is insensitive to the surface air warming, because even in the warming experiments there is high sea ice production at the front of the ice shelves that keeps the water temperature to the surface freezing point. Weakening of the thermohaline circulation driven by Antarctic dense water formation under warming climate conditions is enhanced by basal melting of ice shelves.</t>
  </si>
  <si>
    <t>[Kusahara, Kazuya; Hasumi, Hiroyasu] Univ Tokyo, Atmosphere &amp; Ocean Res Inst, Chiba, Japan</t>
  </si>
  <si>
    <t>University of Tokyo</t>
  </si>
  <si>
    <t>Kusahara, K (corresponding author), Hokkaido Univ, Inst Low Temp Sci, Kita Ku, N19W8, Sapporo, Hokkaido 0600819, Japan.</t>
  </si>
  <si>
    <t>kazuya.kusahara@lowtem.hokudai.ac.jp</t>
  </si>
  <si>
    <t>Kusahara, Kazuya/0000-0003-4067-7959</t>
  </si>
  <si>
    <t>JST/CREST; JSPS/KAKENHI; Sasagawa Scientific Research Grant from Japan Science Society; Grants-in-Aid for Scientific Research [23340138] Funding Source: KAKEN</t>
  </si>
  <si>
    <t>JST/CREST(Japan Science &amp; Technology Agency (JST)Core Research for Evolutional Science and Technology (CREST)); JSPS/KAKENHI(Ministry of Education, Culture, Sports, Science and Technology, Japan (MEXT)Japan Society for the Promotion of ScienceGrants-in-Aid for Scientific Research (KAKENHI)); Sasagawa Scientific Research Grant from Japan Science Society; Grants-in-Aid for Scientific Research(Ministry of Education, Culture, Sports, Science and Technology, Japan (MEXT)Japan Society for the Promotion of ScienceGrants-in-Aid for Scientific Research (KAKENHI))</t>
  </si>
  <si>
    <t>Numerical calculations were performed on FX10 and HA8000 at Information Technology Center, the University of Tokyo. We thank two anonymous reviewers for their careful reading and constructive comments on the manuscript. This study is supported by JST/CREST, JSPS/KAKENHI, and the Sasagawa Scientific Research Grant from The Japan Science Society.</t>
  </si>
  <si>
    <t>10.1002/jgrc.20166</t>
  </si>
  <si>
    <t>224TZ</t>
  </si>
  <si>
    <t>WOS:000324913700015</t>
  </si>
  <si>
    <t>Haid, V; Timmermann, R</t>
  </si>
  <si>
    <t>Haid, V.; Timmermann, R.</t>
  </si>
  <si>
    <t>Simulated heat flux and sea ice production at coastal polynyas in the southwestern Weddell Sea</t>
  </si>
  <si>
    <t>coastal polynya; Weddell Sea; heat flux; sea ice; modelling; oceanic heat flux</t>
  </si>
  <si>
    <t>BOTTOM WATER FORMATION; CIRCULATION; SHELF; MODEL; PARAMETERIZATION</t>
  </si>
  <si>
    <t>Coastal polynyas are areas in an ice-covered ocean where the ice cover is exported, mostly by off-shore winds. The resulting reduction of sea ice enables an enhanced ocean-atmosphere heat transfer. Once the water temperatures are at the freezing point, further heat loss induces sea ice production. The heat exchange and ice production in coastal polynyas in the southwestern Weddell Sea is addressed using the Finite-Element Sea-ice Ocean Model, a primitive-equation, hydrostatic ocean circulation model coupled with a dynamic-thermodynamic sea-ice model, which allows to quantify the amount of heat associated with cooling of the water column. Three important polynya regions are identified: at Brunt Ice Shelf, at Ronne Ice Shelf and along the southern part of the Antarctic Peninsula. Multiyear winter means (May-September 1990-2009) give an upward heat flux to the atmosphere of 311W/m(2) in the Brunt polynyas, 511W/m(2) in Ronne Polynya and 364W/m(2) in the Antarctic Peninsula polynyas, whereof 57W/m(2), 49W/m(2) and 48W/m(2), respectively, are supplied as oceanic heat flux from deeper layers. The mean winter sea ice production is 7.2 cm/d in the Brunt polynyas corresponding to an ice volume of 1.3 x10(10)m(3)/winter, 13.2 cm/d at Ronne polynya (4.4 x10(10)m(3)/winter), and 9.2 cm/d in the Antarctic Peninsula polynyas (2.1 x10(10)m(3)/winter). The heat flux to the atmosphere inside polynyas is 7 to 9 times higher than the heat flux in the adjacent area; polynya ice production per unit area exceeds adjacent values by a factor of 9 to 14.</t>
  </si>
  <si>
    <t>[Haid, V.; Timmermann, R.] Alfred Wegener Inst, D-27570 Bremerhaven, Germany</t>
  </si>
  <si>
    <t>Haid, V (corresponding author), Alfred Wegener Inst, Bussestr 24, D-27570 Bremerhaven, Germany.</t>
  </si>
  <si>
    <t>vhaid@awi.de</t>
  </si>
  <si>
    <t>Haid, Verena/0000-0002-9899-1740</t>
  </si>
  <si>
    <t>Deutsche Forschungsgemeinschaft [SPP 1158, TI 296/5]</t>
  </si>
  <si>
    <t>Deutsche Forschungsgemeinschaft(German Research Foundation (DFG))</t>
  </si>
  <si>
    <t>The work for this study was funded by Deutsche Forschungsgemeinschaft in SPP 1158 under grant number TI 296/5. Special thanks go to our project partners G. Heinemann and L. Ebner from the Department of Environmental Meteorology, University of Trier, Germany, for inspiration and collaboration. The NCEP/NCAR Reanalysis atmospheric forcing data was obtained from NOAA Climate Diagnostics Center, Boulder, USA via the website http://www.cdc.noaa.gov.</t>
  </si>
  <si>
    <t>10.1002/jgrc.20133</t>
  </si>
  <si>
    <t>WOS:000324913700027</t>
  </si>
  <si>
    <t>Kinrade, J; Mitchell, CN; Smith, ND; Ebihara, Y; Weatherwax, AT; Bust, GS</t>
  </si>
  <si>
    <t>Kinrade, Joe; Mitchell, Cathryn N.; Smith, Nathan D.; Ebihara, Yusuke; Weatherwax, Allan T.; Bust, Gary S.</t>
  </si>
  <si>
    <t>GPS phase scintillation associated with optical auroral emissions: First statistical results from the geographic South Pole</t>
  </si>
  <si>
    <t>GPS; ionospheric scintillation; aurora; all-sky imager; Antarctica</t>
  </si>
  <si>
    <t>STORM; CAP</t>
  </si>
  <si>
    <t>Ionospheric irregularities affect the propagation of Global Navigation Satellite System (GNSS) signals, causing radio scintillation. Particle precipitation from the magnetosphere into the ionosphere, following solar activity, is an important production mechanism for ionospheric irregularities. Particle precipitation also causes the aurorae. However, the correlation of aurorae and GNSS scintillation events is not well established in literature. This study examines optical auroral events during 2010-2011 and reports spatial and temporal correlations with Global Positioning System (GPS) L1 phase fluctuations using instrumentation located at South Pole Station. An all-sky imager provides a measure of optical emission intensities ([OI] 557.7nm and 630.0nm) at auroral latitudes during the winter months. A collocated GPS antenna and scintillation receiver facilitates superimposition of auroral images and GPS signal measurements. Correlation statistics are produced by tracking emission intensities and GPS L1 sigma indices at E and F-region heights. This is the first time that multi-wavelength auroral images have been compared with scintillation measurements in this way. Correlation levels of up to 74% are observed during 2-3hour periods of discrete arc structuring. Analysis revealed that higher values of emission intensity corresponded with elevated levels of sigma. The study has yielded the first statistical evidence supporting the previously assumed relationship between the aurorae and GPS signal propagation. The probability of scintillation-induced GPS outages is of interest for commercial and safety-critical operations at high latitudes. Results in this paper indicate that image databases of optical auroral emissions could be used to assess the likelihood of multiple satellite scintillation activity.</t>
  </si>
  <si>
    <t>[Kinrade, Joe; Mitchell, Cathryn N.; Smith, Nathan D.] Univ Bath, Dept Elect &amp; Elect Engn, Bath BA2 7AY, Avon, England; [Ebihara, Yusuke] Kyoto Univ, Res Inst Humanosphere RISH, Kyoto, Japan; [Weatherwax, Allan T.] Siena Coll, Dept Phys, New York, NY USA; [Bust, Gary S.] Johns Hopkins Univ, Appl Phys Lab, Geospace &amp; Earth Sci Grp, Dept Space, Laurel, MD USA</t>
  </si>
  <si>
    <t>University of Bath; Kyoto University; Johns Hopkins University; Johns Hopkins University Applied Physics Laboratory</t>
  </si>
  <si>
    <t>Kinrade, J (corresponding author), Univ Bath, Dept Elect &amp; Elect Engn, Bath BA2 7AY, Avon, England.</t>
  </si>
  <si>
    <t>j.kinrade@bath.ac.uk</t>
  </si>
  <si>
    <t>Bust, Gary S./AAZ-1848-2020; Ebihara, Yusuke/D-1638-2013; Smith, Nathan John/JXY-5736-2024; Ebihara, Yusuke/ABD-4430-2021</t>
  </si>
  <si>
    <t>Bust, Gary S./0000-0001-6910-3989; Ebihara, Yusuke/0000-0002-2293-1557; Smith, Nathan John/0009-0000-1982-8420; Ebihara, Yusuke/0000-0002-2293-1557; Weatherwax, Allan/0000-0003-4732-358X; Mitchell, Cathryn/0000-0003-1964-8723; Kinrade, Joe/0000-0001-9740-130X</t>
  </si>
  <si>
    <t>Engineering and Physical Sciences Research Council (EPSRC); Isle of Man Government; Royal Society Wolfson Award; Directorate For Geosciences; Office of Polar Programs (OPP) [1248062] Funding Source: National Science Foundation; Office of Polar Programs (OPP); Directorate For Geosciences [0840158, 0840650, 0638587] Funding Source: National Science Foundation; STFC [PP/D002230/1] Funding Source: UKRI</t>
  </si>
  <si>
    <t>Engineering and Physical Sciences Research Council (EPSRC)(UK Research &amp; Innovation (UKRI)Engineering &amp; Physical Sciences Research Council (EPSRC)); Isle of Man Government; Royal Society Wolfson Award(Royal Society); Directorate For Geosciences; Office of Polar Programs (OPP)(National Science Foundation (NSF)NSF - Directorate for Geosciences (GEO)); Office of Polar Programs (OPP); Directorate For Geosciences(National Science Foundation (NSF)NSF - Directorate for Geosciences (GEO)); STFC(UK Research &amp; Innovation (UKRI)Science &amp; Technology Facilities Council (STFC))</t>
  </si>
  <si>
    <t>Thanks to Dr. Biagio Forte (University of Bath, UK) and Dr. Ping Yin (Civil Aviation University of China) for their helpful insights. Logistic fieldwork support was provided by the British Antarctic Survey (BAS, Cambridge, UK) and the National Science Foundation (NSF). JK's PhD studies are supported by the Engineering and Physical Sciences Research Council (EPSRC) and the Isle of Man Government. CNM acknowledges support from the Royal Society Wolfson Award.</t>
  </si>
  <si>
    <t>10.1002/jgra.50214</t>
  </si>
  <si>
    <t>228UF</t>
  </si>
  <si>
    <t>WOS:000325215800057</t>
  </si>
  <si>
    <t>Walker, BJ; Miller, MF; Bowser, SS; Furbish, DJ; Gualda, GAR</t>
  </si>
  <si>
    <t>Walker, Beverly J.; Miller, Molly F.; Bowser, Samuel S.; Furbish, David J.; Gualda, Guilherme A. R.</t>
  </si>
  <si>
    <t>DISSOLUTION OF OPHIUROID OSSICLES ON THE SHALLOW ANTARCTIC SHELF: IMPLICATIONS FOR THE FOSSIL RECORD AND OCEAN ACIDIFICATION</t>
  </si>
  <si>
    <t>PALAIOS</t>
  </si>
  <si>
    <t>SOUTH-SHETLAND ISLANDS; SILICICLASTIC-CARBONATE SETTINGS; SCALLOP ADAMUSSIUM-COLBECKI; MCMURDO SOUND; ROSS SEA; BENTHIC COMMUNITIES; BIVALVE TAPHONOMY; DEATH ASSEMBLAGES; EXPLORERS COVE; CLIMATE-CHANGE</t>
  </si>
  <si>
    <t>The brittlestar, Ophionotus victoriae, is abundant in Explorers Cove, offshore Taylor Valley. However its ossicles, composed of high-Mg calcite, have not been reported from Cenozoic cores taken from McMurdo Sound. To identify taphonomic processes we analyzed (1) ossicle dissolution and silhouette area loss during a 2-year in situ experiment in which whole dead brittlestars were suspended above or placed on the sediment-water interface at water depths of 7-25 m; (2) ossicle dissolution in a 27-day, in situ experiment using ossicles freed of soft tissue; (3) porosities of experimental and pristine ossicles; and (4) abundance of ossicles in short cores taken at shallow depths in Explorers Cove. SEM analysis demonstrates significantly higher levels of dissolution in ossicles submerged for two years than in pristine ossicles. Submerged ossicles also had significant breakage reflected in silhouette area loss. During the 27-day experiment, submerged ossicles lost between 0.07 wt% and 1.31 wt%. At the observed rate of dissolution it would take between 6 and 105 years for vertebral ossicles to dissolve completely. Ossicles submerged for two years had a slightly higher mean porosity than pristine ossicles; porosity is controlled by variability in the porous stereom structure as well as dissolution. Results demonstrate that ossicle dissolution starts soon after death and that the stratigraphic record does not accurately reflect the presence and abundance of ophiuroids, thus complicating their use in paleoenvironmental, paleoclimatic, and paleoecologic reconstructions. These results also provide baseline information about CaCO3 skeletal dissolution needed to monitor the ocean acidification that is predicted to affect high-latitude benthic ecosystems within decades.</t>
  </si>
  <si>
    <t>[Walker, Beverly J.; Miller, Molly F.; Furbish, David J.; Gualda, Guilherme A. R.] Vanderbilt Univ, Dept Earth &amp; Environm Sci, Nashville, TN 37212 USA; [Bowser, Samuel S.] New York State Dept Hlth, Wadsworth Ctr, Albany, NY 12208 USA</t>
  </si>
  <si>
    <t>Vanderbilt University; Wadsworth Center; State University of New York (SUNY) System</t>
  </si>
  <si>
    <t>Walker, BJ (corresponding author), Vanderbilt Univ, Dept Earth &amp; Environm Sci, Nashville, TN 37212 USA.</t>
  </si>
  <si>
    <t>beverly.j.walker@vanderbilt.edu; molly.miller@vanderbilt.edu; bowser@wadsworth.org; david.j.furbish@vanderbilt.edu; g.gualda@vanderbilt.edu</t>
  </si>
  <si>
    <t>Gualda, Guilherme Augusto Rosa/A-2467-2009</t>
  </si>
  <si>
    <t>Gualda, Guilherme Augusto Rosa/0000-0003-0720-2679</t>
  </si>
  <si>
    <t>National Science Foundation (NSF) [ANT0739496]; NSF [ANT0739583]; National Science Foundation, Earth Sciences [EAR-1128799]; Department of Energy, Geosciences [DE-FG02-94ER14466]; U.S. Department of Energy, Office of Science, Office of Basic Energy Sciences [DE-AC02-06CH11357]; Office of Polar Programs (OPP); Directorate For Geosciences [0739496] Funding Source: National Science Foundation</t>
  </si>
  <si>
    <t>National Science Foundation (NSF)(National Science Foundation (NSF)); NSF(National Science Foundation (NSF)); National Science Foundation, Earth Sciences(National Science Foundation (NSF)); Department of Energy, Geosciences(United States Department of Energy (DOE)); U.S. Department of Energy, Office of Science, Office of Basic Energy Sciences(United States Department of Energy (DOE)); Office of Polar Programs (OPP); Directorate For Geosciences(National Science Foundation (NSF)NSF - Directorate for Geosciences (GEO))</t>
  </si>
  <si>
    <t>Supported by National Science Foundation (NSF) ANT0739496 (MFM) and NSF ANT0739583 (SSB). We thank divers Steve Claebusch, Shawn Harper, Henry Kaiser, and Cecelia Shin, and Raytheon Polar Services Company for logistical support, and Shawn Harper for photos. The X-ray tomography was performed at GeoSoilEnviroCARS (Sector 13), Advanced Photon Source (APS), Argonne National Laboratory. GeoSoilEnviroCARS is supported by the National Science Foundation, Earth Sciences (EAR-1128799) and Department of Energy, Geosciences (DE-FG02-94ER14466). Use of the Advanced Photon Source was supported by the U.S. Department of Energy, Office of Science, Office of Basic Energy Sciences, under Contract No. DE-AC02-06CH11357.</t>
  </si>
  <si>
    <t>SEPM-SOC SEDIMENTARY GEOLOGY</t>
  </si>
  <si>
    <t>TULSA</t>
  </si>
  <si>
    <t>6128 EAST 38TH ST, STE 308, TULSA, OK 74135-5814 USA</t>
  </si>
  <si>
    <t>0883-1351</t>
  </si>
  <si>
    <t>1938-5323</t>
  </si>
  <si>
    <t>Palaios</t>
  </si>
  <si>
    <t>MAY-JUN</t>
  </si>
  <si>
    <t>5-6</t>
  </si>
  <si>
    <t>10.2110/palo.2012.p12-100r</t>
  </si>
  <si>
    <t>197NB</t>
  </si>
  <si>
    <t>WOS:000322856800007</t>
  </si>
  <si>
    <t>Begum, Z; Srinivas, TNR; Manasa, P; Sailaja, B; Sunil, B; Prasad, S; Shivaji, S</t>
  </si>
  <si>
    <t>Begum, Z.; Srinivas, T. N. R.; Manasa, P.; Sailaja, B.; Sunil, B.; Prasad, S.; Shivaji, S.</t>
  </si>
  <si>
    <t>Winogradskyella psychrotolerans sp nov., a marine bacterium of the family Flavobacteriaceae isolated from Arctic sediment</t>
  </si>
  <si>
    <t>GENUS WINOGRADSKYELLA; MICROORGANISMS; IDENTIFICATION; THALASSOCOLA; SYSTEMATICS; ANTARCTICA; ECHINORUM; EXIMIA; MEMBER; EXILIS</t>
  </si>
  <si>
    <t>A novel Gram-negative, rod coccus shaped, non-motile, strain, RS-3(T), was isolated from a sediment sample collected from the marine transect of Kongsfjorden, Ny-Alesund, Svalbard, Arctic. Colonies and broth cultures were yellowish in colour due to the presence of carotenoids. Strain RS-3(T) was positive for oxidase, aesculinase, caseinase, gelatinase and urease activities and negative for amylase, catalase, lipase, lysine decarboxylase, ornithine decarboxylase, DNase and beta-galactosidase activities. The predominant fatty acids were iso-C-15:0 (18.0), anteiso-C-15:0 (16.8), iso-C-15:1 G (14.2), anteiso-C-15:1 A (6.0) and iso-C-15:0 3-OH (6.8). Strain RS-3(T) contained MK-6 (72.42%) and MK-7 (27.58%) as the major respiratory quinones and phosphatidylethanolamine, two unidentified aminolipids and two unidentified lipids make up the polar lipid composition. The DNA G+C content of strain RS-3(T) was 34.7 +/- 1.2 mol%. The 16S rRNA gene sequence analysis indicated that Winogradskyella pacifica and Winogradskyella thalassocola are the most closely related species with sequence similarities to the type strains of these species of 98.5 and 97.7%, respectively. However, DNA-DNA hybridization with Winogradskyella pacifica KCTC 22997(T) and Winogradskyella thalassocola DSM 15363(T) showed a relatedness of 22 and 42.5% with respect to strain RS-3(T). Based on the DNA-DNA hybridization values, phenotypic and chemotaxonomic characteristics and phylogenetic inference, strain RS-3(T) is proposed as a novel species of the genus Winogradskyella, for which the name Winogradskyella psychrotolerans sp. nov. is proposed. The type strain of Winogradskyella psychrotolerans sp. nov. is RS-3(T) (=CIP 110154(T)=NBRC 106169(T)). An emended description of the genus Winogradskyella is provided.</t>
  </si>
  <si>
    <t>[Begum, Z.; Srinivas, T. N. R.; Manasa, P.; Sailaja, B.; Sunil, B.; Prasad, S.; Shivaji, S.] Ctr Cellular &amp; Mol Biol, Hyderabad 500007, Andhra Pradesh, India</t>
  </si>
  <si>
    <t>Shivaji, S (corresponding author), Ctr Cellular &amp; Mol Biol, Uppal Rd, Hyderabad 500007, Andhra Pradesh, India.</t>
  </si>
  <si>
    <t>shivas@ccmb.res.in</t>
  </si>
  <si>
    <t>TANUKU, SRINIVAS N R/F-1029-2013; Prasad, Sathish/AAH-5305-2020</t>
  </si>
  <si>
    <t>shivaji, sisinthy/0000-0003-0376-4658; Bhamidimarri, Poorna Manasa/0000-0002-7418-0492</t>
  </si>
  <si>
    <t>National Centre for Antarctic and Ocean Research, Goa; Council of Scientific and Industrial Research (CSIR) Network Project on Exploitation of India [NWP0006]; CSIR, Government of India</t>
  </si>
  <si>
    <t>National Centre for Antarctic and Ocean Research, Goa; Council of Scientific and Industrial Research (CSIR) Network Project on Exploitation of India; CSIR, Government of India(Council of Scientific &amp; Industrial Research (CSIR) - India)</t>
  </si>
  <si>
    <t>S. S. is thankful to the National Centre for Antarctic and Ocean Research, Goa, and the Council of Scientific and Industrial Research (CSIR) Network Project on Exploitation of India's rich microbial diversity (NWP0006) for funding. T. N. R. S. acknowledges the CSIR, Government of India for the award of a Research Associateship.</t>
  </si>
  <si>
    <t>SOC GENERAL MICROBIOLOGY</t>
  </si>
  <si>
    <t>READING</t>
  </si>
  <si>
    <t>MARLBOROUGH HOUSE, BASINGSTOKE RD, SPENCERS WOODS, READING RG7 1AG, BERKS, ENGLAND</t>
  </si>
  <si>
    <t>10.1099/ijs.0.044669-0</t>
  </si>
  <si>
    <t>168XM</t>
  </si>
  <si>
    <t>WOS:000320741200011</t>
  </si>
  <si>
    <t>Prebble, JG; Crouch, EM; Carter, L; Cortese, G; Bostock, H; Neil, H</t>
  </si>
  <si>
    <t>Prebble, J. G.; Crouch, E. M.; Carter, L.; Cortese, G.; Bostock, H.; Neil, H.</t>
  </si>
  <si>
    <t>An expanded modern dinoflagellate cyst dataset for the Southwest Pacific and Southern Hemisphere with environmental associations</t>
  </si>
  <si>
    <t>MARINE MICROPALEONTOLOGY</t>
  </si>
  <si>
    <t>dinoflagellate cyst; modern; sea surface temperature; Southwest Pacific; Southern Hemisphere</t>
  </si>
  <si>
    <t>SEA-SURFACE CONDITIONS; EAST AUSTRALIAN CURRENT; NEW-ZEALAND; SUBTROPICAL FRONT; HYDROGRAPHIC CONDITIONS; PHYTOPLANKTON ASSEMBLAGES; PLANKTONIC-FORAMINIFERA; PHYSICAL OCEANOGRAPHY; PRIMARY PRODUCTIVITY; SOUTHLAND CURRENT</t>
  </si>
  <si>
    <t>Organic-walled dinoflagellate cyst (dinocyst) assemblages were examined in 120 sea floor sediment samples from the Southwest (SW) Pacific to highlight dinocyst distribution in the region. From these 120 samples, census counts of 40 samples were added to previously published census data from the Southern Hemisphere to form a modern dataset of 311 samples (SH-311). Cluster analysis (k-means clustering) of a 98-sample sub-set from the SW Pacific (NZ-98) reveals four distinct assemblages which coincide with modern Subantarctic surface water, the Subtropical Front and two clusters from Subtropical surface water. A similar clustering of the SH-311 dataset reveals an additional three assemblages, two associated with Polar waters colder than those sampled in the SW Pacific, and one that may be endemic to the South Atlantic Ocean. Multivariate ordination (canonical correspondence analysis and redundancy analysis) indicates that the dinocyst assemblages change most along a sea surface temperature (SST) gradient, in both the regional SW Pacific and Southern Hemisphere datasets. SST accounts for 38% to 56% of the species-environmental relationship after removal of covarying variables, and contributes 2-3 times the explainable inertia than the other environmental variables tested. Both modern datasets (SH-311 and NZ-98) are suitable as a training set for quantitative palaeotemperature transfer functions applied to Late Quaternary records, with the caveat that the modern assemblage also displays sensitivity to productivity, shoreline proximity, bottom water oxygen, and water mass; variation that may be exploited in certain situations. (c) 2013 Elsevier B.V. All rights reserved.</t>
  </si>
  <si>
    <t>[Prebble, J. G.; Crouch, E. M.; Cortese, G.] GNS Sci, Lower Hutt 5040, New Zealand; [Prebble, J. G.; Carter, L.] Victoria Univ Wellington, Antarctic Res Ctr, Wellington, New Zealand; [Bostock, H.; Neil, H.] Natl Inst Water &amp; Atmospher Res NIWA, Wellington, New Zealand</t>
  </si>
  <si>
    <t>GNS Science - New Zealand; Victoria University Wellington; National Institute of Water &amp; Atmospheric Research (NIWA) - New Zealand</t>
  </si>
  <si>
    <t>Prebble, JG (corresponding author), GNS Sci, POB 30368, Lower Hutt 5040, New Zealand.</t>
  </si>
  <si>
    <t>j.prebble@gns.cri.nz</t>
  </si>
  <si>
    <t>Bostock, Helen/A-6834-2013; Crouch, Erica M/C-2820-2013</t>
  </si>
  <si>
    <t>Bostock, Helen/0000-0002-8903-8958; Prebble, Joseph/0000-0002-7268-4187; Cortese, Giuseppe/0000-0003-1780-3371</t>
  </si>
  <si>
    <t>New Zealand government Bright Futures scholarship; GNS Science through its Global Change through Time (GCT) programme; FRST</t>
  </si>
  <si>
    <t>New Zealand government Bright Futures scholarship; GNS Science through its Global Change through Time (GCT) programme; FRST(New Zealand Foundation for Research, Science and Technology)</t>
  </si>
  <si>
    <t>Samples were processed by Sonja Fry and Roger Tremain at the GNS Science Palynology Laboratory. George Scott and Marcus Vandergoes, GNS Science, are thanked for discussion on variation in natural environments, and Karin Zonneveld for sharing data and providing comment on an early version of the manuscript. JP was supported by a New Zealand government Bright Futures scholarship, EC and GC acknowledge support from GNS Science through its Global Change through Time (GCT) programme, LC was supported by the FRST funded Antarctica New Zealand Interglacial Climate Extremes (ANZICE) programme. Reviews by R.W. Jordan (Editor) and A. McMinn have improved this manuscript.</t>
  </si>
  <si>
    <t>0377-8398</t>
  </si>
  <si>
    <t>1872-6186</t>
  </si>
  <si>
    <t>MAR MICROPALEONTOL</t>
  </si>
  <si>
    <t>Mar. Micropaleontol.</t>
  </si>
  <si>
    <t>10.1016/j.marmicro.2013.04.004</t>
  </si>
  <si>
    <t>179QP</t>
  </si>
  <si>
    <t>WOS:000321536700004</t>
  </si>
  <si>
    <t>Antipov, NN; Artamonov, AA; Artamonova, KV; Dukhova, LA; Maslennikov, VV</t>
  </si>
  <si>
    <t>Antipov, N. N.; Artamonov, A. A.; Artamonova, K. V.; Dukhova, L. A.; Maslennikov, V. V.</t>
  </si>
  <si>
    <t>Hydrological and hydrochemical studies in the Antarctic waters by the 57th Russian Antarctic expedition</t>
  </si>
  <si>
    <t>[Antipov, N. N.; Artamonov, A. A.] Arctic &amp; Antarctic Res Inst, St Petersburg 199226, Russia; [Artamonova, K. V.; Dukhova, L. A.; Maslennikov, V. V.] Russian Fed Res Inst Fisheries &amp; Oceanog, Moscow, Russia</t>
  </si>
  <si>
    <t>Arctic &amp; Antarctic Research Institute; Research lnstitute of Fisheries &amp; Oceanography</t>
  </si>
  <si>
    <t>Antipov, NN (corresponding author), Arctic &amp; Antarctic Res Inst, St Petersburg 199226, Russia.</t>
  </si>
  <si>
    <t>marecol@vniro.ru</t>
  </si>
  <si>
    <t>Artamonova, Ksenia/AAT-9263-2021</t>
  </si>
  <si>
    <t>Artamonova, Ksenia/0000-0001-5036-7087</t>
  </si>
  <si>
    <t>10.1134/S0001437013030016</t>
  </si>
  <si>
    <t>174CH</t>
  </si>
  <si>
    <t>WOS:000321130000015</t>
  </si>
  <si>
    <t>Lebedev, GA; Fedotov, VI; Cherepanov, NV</t>
  </si>
  <si>
    <t>Lebedev, G. A.; Fedotov, V. I.; Cherepanov, N. V.</t>
  </si>
  <si>
    <t>Some features of sea ice formation in Antarctic coastal waters</t>
  </si>
  <si>
    <t>Considered are the peculiarities of fast ice formation in the Antarctic coastal waters. It is noted that the fine-crystalline ice with the chaotic orientation of crystals is mainly developed in the surface layers of the ice cover as well as the ice formed due to the infiltration of the sea water and its subsequent freezing in the lower layers of the snow cover. It is demonstrated that under the conditions of coastal Antarctic, the lamination of the structure during the period of ice cover formation and its subsequent development is the result of heavy precipitation in the form of snow and the formation of the large amount of snow sludge and crystals of intrawater ice (frazil ice) on the open water. The main distinctive feature of the Antarctic sea ice is its seasonal stratification with the formation of the surface layer of recrystallized ice and underlying destructive layers including the water interlayer in the ice column. The provision of the safety of overice movement of machinery requires the development of methods of continuous remote control of the snow-ice stratum of the fast ice.</t>
  </si>
  <si>
    <t>[Lebedev, G. A.; Fedotov, V. I.; Cherepanov, N. V.] Arctic &amp; Antarctic Res Inst, St Petersburg 199397, Russia</t>
  </si>
  <si>
    <t>Arctic &amp; Antarctic Research Institute</t>
  </si>
  <si>
    <t>Lebedev, GA (corresponding author), Arctic &amp; Antarctic Res Inst, Ul Beringa 38, St Petersburg 199397, Russia.</t>
  </si>
  <si>
    <t>ALLERTON PRESS INC</t>
  </si>
  <si>
    <t>18 WEST 27TH ST, NEW YORK, NY 10001 USA</t>
  </si>
  <si>
    <t>10.3103/S1068373913050063</t>
  </si>
  <si>
    <t>173XQ</t>
  </si>
  <si>
    <t>WOS:000321116600006</t>
  </si>
  <si>
    <t>Bhatia, A; Pal, R</t>
  </si>
  <si>
    <t>Bhatia, Abhijeet; Pal, Ranabir</t>
  </si>
  <si>
    <t>Impact of Antarctica winters on vital parameters and anthropometric variables</t>
  </si>
  <si>
    <t>TRAVEL MEDICINE AND INFECTIOUS DISEASE</t>
  </si>
  <si>
    <t>Antarctica; Anthropometry; Vital parameters</t>
  </si>
  <si>
    <t>WAIST CIRCUMFERENCE; ARM CIRCUMFERENCE; BODY-WEIGHT; MEN; RISK; FAT</t>
  </si>
  <si>
    <t>Introduction: We studied the variations in vital parameters and anthropometric variables in Antarctica to identify the effect of extreme weather and isolation on the vital parameters and adipose tissue distribution in humans. Methods: A descriptive observational cohort study on three vital parameters and nine anthropometric measurements was conducted among the 26 winter team members of the 27th Indian Scientific Expedition to Antarctica. The parameters were evaluated in March, May and July 2008. The data was analyzed for: (1) undivided team, (2) groups based on physical activity levels, and (3) groups based on age. Intergroup variations were analyzed. Results: The diastolic blood pressure of the undivided team fell significantly during the study. The systolic and diastolic blood pressure of non-convoy team decreased but the systolic blood pressure of the convoy team increased. The pulse rate of the two physical activity groups increased. No significant changes were observed in rest of the vital parameters and any of the anthropometric variables. Conclusion: The blood pressure of the expedition members may show unpredictable changes. But in a modern day Antarctic station, no significant variations in body fat are observed. Though the stress factors have been mitigated in Antarctica to a large extent, they might still be substantial. Quantification of the impact of such factors is difficult. (C) 2013 Elsevier Ltd. All rights reserved.</t>
  </si>
  <si>
    <t>[Bhatia, Abhijeet] Natl Ctr Antarctic &amp; Ocean Res, Vasco Da Gama, Goa, India; [Pal, Ranabir] Sikkim Manipal Inst Med Sci, Dept Community Med, Gangtok 737102, Sikkim, India</t>
  </si>
  <si>
    <t>Ministry of Earth Sciences (MoES) - India; National Centre for Polar and Ocean Research (NCPOR); Sikkim Manipal University</t>
  </si>
  <si>
    <t>Bhatia, A (corresponding author), Sikkim Manipal Inst Med Sci, Dept ENT, 5th Mile, Gangtok 737102, Sikkim, India.</t>
  </si>
  <si>
    <t>abhijeetbhatia77@gmail.com; ranabirmon@yahoo.co.in</t>
  </si>
  <si>
    <t>PAL, RANABIR/HKV-0556-2023; Pal, Ranabir/M-6693-2013; Bhatia, Abhijeet/J-9795-2015</t>
  </si>
  <si>
    <t>PAL, RANABIR/0000-0002-8602-0162; Bhatia, Abhijeet/0000-0003-3251-1801; Ghosh, Amrita/0000-0002-8038-0861</t>
  </si>
  <si>
    <t>National Centre for Antarctic and Ocean Research (NCAOR), Ministry of Earth Sciences, Govt of India</t>
  </si>
  <si>
    <t>The 27th Indian Scientific Expedition was funded and organised by National Centre for Antarctic and Ocean Research (NCAOR), Ministry of Earth Sciences, Govt of India. We are grateful to NCAOR and the Indian Scientific Expeditions for their cooperation during the discharge of our duties and during the writing of this article. We also thank all the members of the 27th Indian Scientific Expedition to Antarctica, for their cooperation for data collection during the expedition and making this work possible. This is NCAOR publication no. xxxx/12 (to be given on acceptance of article for publication).</t>
  </si>
  <si>
    <t>1477-8939</t>
  </si>
  <si>
    <t>TRAVEL MED INFECT DI</t>
  </si>
  <si>
    <t>Travel Med. Infect. Dis.</t>
  </si>
  <si>
    <t>10.1016/j.tmaid.2013.02.005</t>
  </si>
  <si>
    <t>Public, Environmental &amp; Occupational Health; Infectious Diseases</t>
  </si>
  <si>
    <t>172CF</t>
  </si>
  <si>
    <t>WOS:000320976900006</t>
  </si>
  <si>
    <t>Norman, RJ; Bennett, JA; Dyson, PL; Le Marshall, J; Zhang, K</t>
  </si>
  <si>
    <t>Norman, R. J.; Bennett, J. A.; Dyson, P. L.; Le Marshall, J.; Zhang, K.</t>
  </si>
  <si>
    <t>A Ray-Tracing Technique for Determining Ray Tubes in Anisotropic Media</t>
  </si>
  <si>
    <t>IEEE TRANSACTIONS ON ANTENNAS AND PROPAGATION</t>
  </si>
  <si>
    <t>Anisotropic; geometrical optics; ionosphere; magnetic fields</t>
  </si>
  <si>
    <t>PHASE PATH; INTENSITY</t>
  </si>
  <si>
    <t>Ray-tracing techniques are commonly used for calculating the paths taken by electromagnetic waves in a medium that has an associated refractive index, such as the earth's ionospheric plasma. Ray equations derived from Hamilton's equation are usually used to determine ray paths and ray tubes defined by tracing adjacent rays separately. There are advantages in describing ray tubes in terms of a main ray and variational rays. In this paper, equations for variational rays are derived for anisotropic inhomogeneous media such as the earth's ionosphere. The ray-tracing technique is ideal for simulating ionospheric propagation experiments, and examples are given of ground illumination as a function of ground range and frequency.</t>
  </si>
  <si>
    <t>[Norman, R. J.; Zhang, K.] RMIT Univ, Space Res Ctr, Melbourne, Vic 3001, Australia; [Bennett, J. A.] Monash Univ, Dept Elect &amp; Comp Syst Engn, Clayton, Vic 3168, Australia; [Dyson, P. L.] La Trobe Univ, Dept Phys, Bundoora, Vic 3086, Australia</t>
  </si>
  <si>
    <t>Royal Melbourne Institute of Technology (RMIT); Melbourne Genomics Health Alliance; Monash University; La Trobe University</t>
  </si>
  <si>
    <t>Norman, RJ (corresponding author), RMIT Univ, Space Res Ctr, Melbourne, Vic 3001, Australia.</t>
  </si>
  <si>
    <t>robert.norman7@gmail.com; john.bennett@eng.monash.edu.au; p.dyson@latrobe.edu.au; jlm@bom.gov.au; kefei.zhang@rmit.edu.au</t>
  </si>
  <si>
    <t>zhang, ke/AAH-8217-2019; Zhang, Kefei/R-5239-2019</t>
  </si>
  <si>
    <t>Norman, Robert/0000-0001-8306-9588</t>
  </si>
  <si>
    <t>Australian Space Research Program project: Platform Technologies for Space, Atmosphere and Climate; Satellite-Based Radio Occultation for Atmospheric Sounding, Weather Forecasting and climate monitoring in the Australian RegioN [ARC-LP0883228]; Australian Antarctic Division AAS [4159]; CAS/SAFEA International Partnership Program for Creative Research Teams [KZZD-EW-TZ-05]</t>
  </si>
  <si>
    <t>Australian Space Research Program project: Platform Technologies for Space, Atmosphere and Climate; Satellite-Based Radio Occultation for Atmospheric Sounding, Weather Forecasting and climate monitoring in the Australian RegioN; Australian Antarctic Division AAS; CAS/SAFEA International Partnership Program for Creative Research Teams(Chinese Academy of Sciences)</t>
  </si>
  <si>
    <t>This work is supported in part by the Australian Space Research Program project: Platform Technologies for Space, Atmosphere and Climate and ARC-LP0883228: Satellite-Based Radio Occultation for Atmospheric Sounding, Weather Forecasting and climate monitoring in the Australian Region, Australian Antarctic Division AAS project no. 4159: GPS Radio Occultation for studying the Antarctic Atmosphere and Climate Analysis and CAS/SAFEA International Partnership Program for Creative Research Teams (Grant No. KZZD-EW-TZ-05).</t>
  </si>
  <si>
    <t>0018-926X</t>
  </si>
  <si>
    <t>1558-2221</t>
  </si>
  <si>
    <t>IEEE T ANTENN PROPAG</t>
  </si>
  <si>
    <t>IEEE Trans. Antennas Propag.</t>
  </si>
  <si>
    <t>10.1109/TAP.2013.2240647</t>
  </si>
  <si>
    <t>Engineering, Electrical &amp; Electronic; Telecommunications</t>
  </si>
  <si>
    <t>Engineering; Telecommunications</t>
  </si>
  <si>
    <t>157BP</t>
  </si>
  <si>
    <t>WOS:000319870700035</t>
  </si>
  <si>
    <t>Masová, S; Barus, V</t>
  </si>
  <si>
    <t>Masova, Sarka; Barus, Vlastimil</t>
  </si>
  <si>
    <t>Redescription of cystacanths of Corynosoma pseudohamanni Zdzitowiecki, 1984 (Acanthocephala: Polymorphidae) from paratenic fish hosts</t>
  </si>
  <si>
    <t>FOLIA PARASITOLOGICA</t>
  </si>
  <si>
    <t>Acanthocephala; Corynosoma pseudohamanni; redescription; morphology; James Ross Island; Antarctica</t>
  </si>
  <si>
    <t>SOUTH-SHETLAND ISLANDS; ADMIRALTY BAY; NOTOTHENIA-CORIICEPS; ANTARCTIC FISH</t>
  </si>
  <si>
    <t>Cystacanths of Corynosoma pseudohamanni Zdzitowiecki, 1984 (Palaeacanthocephala: Polymorphidae) are redescribed on the basis of specimens recovered from three species of Antarctic notothenioid fish, Trematomus bernacchii Boulenger, Gobionotothen gibberifrons (Lonnberg) and Notothenia coriiceps Richardson, collected from the Prince Gustav Channel, Antarctica. The cystacanths' morphometry and their internal anatomy including trunk muscle's were studied using light and scanning electron microscopy (SEM). The characteristic features of this species such as the length of proboscis and the number of hooks (i.e. 260 hooks arranged in 20 rows with 13 hooks each, including two basal hooks) were confirmed and the intraspecific variability was evaluated. Sexual dimorphism was manifested in the shape of the hindtrunk, and the distribution and extent of the somatic armature only. SEM observations of internal anatomy revealed the detailed organization of trunk musculature.</t>
  </si>
  <si>
    <t>[Masova, Sarka; Barus, Vlastimil] Masaryk Univ, Fac Sci, Dept Bot &amp; Zool, CS-61137 Brno, Czech Republic</t>
  </si>
  <si>
    <t>Masaryk University Brno</t>
  </si>
  <si>
    <t>Masová, S (corresponding author), Masaryk Univ, Fac Sci, Dept Bot &amp; Zool, Kotlarska 2, CS-61137 Brno, Czech Republic.</t>
  </si>
  <si>
    <t>masova@sci.muni.cz</t>
  </si>
  <si>
    <t>Baruš, Vlastimil/A-2211-2015; Masova, Sarka/C-1442-2011</t>
  </si>
  <si>
    <t>Masova, Sarka/0000-0003-0033-4230</t>
  </si>
  <si>
    <t>Czech Science Foundation [P505/12/0112]; Department of Botany and Zoology, Faculty of Science, Masaryk University; foundation 'Naclani Josefa, Marie a Zdenky Hlavkovych'</t>
  </si>
  <si>
    <t>Czech Science Foundation(Grant Agency of the Czech Republic); Department of Botany and Zoology, Faculty of Science, Masaryk University; foundation 'Naclani Josefa, Marie a Zdenky Hlavkovych'</t>
  </si>
  <si>
    <t>The authors are grateful to the staff of the Czech Antarctic expedition 2011-2012 in the James Ross Island for their help and support. The authors also acknowledge unrestricted use of the facilities at the Czech Johann Gregor Mendel Antarctic Station. This study was supported by the Czech Science Foundation (project No. P505/12/0112), by the Department of Botany and Zoology, Faculty of Science, Masaryk University and by foundation 'Naclani Josefa, Marie a Zdenky Hlavkovych'. Thanks also go to the staff at the Laboratory of Electron Microscopy, Institute of Parasitology, Biology Centre of the ASCR, Ceske Budejovice for their technical assistance and to Eva Kasparova for help with fish identification.</t>
  </si>
  <si>
    <t>CESKE BUDEJOVICE</t>
  </si>
  <si>
    <t>BRANISOVSKA 31,, CESKE BUDEJOVICE 370 05, CZECH REPUBLIC</t>
  </si>
  <si>
    <t>0015-5683</t>
  </si>
  <si>
    <t>FOLIA PARASIT</t>
  </si>
  <si>
    <t>Folia Parasitol.</t>
  </si>
  <si>
    <t>10.14411/fp.2013.019</t>
  </si>
  <si>
    <t>155BK</t>
  </si>
  <si>
    <t>WOS:000319720200010</t>
  </si>
  <si>
    <t>Arifin, AR; Kim, SJ; Yim, JH; Suwanto, A; Kim, HK</t>
  </si>
  <si>
    <t>Arifin, Arild Ranlym; Kim, Soon-Ja; Yim, Joung Han; Suwanto, Antonius; Kim, Hyung Kwoun</t>
  </si>
  <si>
    <t>Isolation and Biochemical Characterization of Bacillus pumilus Lipases from the Antarctic</t>
  </si>
  <si>
    <t>JOURNAL OF MICROBIOLOGY AND BIOTECHNOLOGY</t>
  </si>
  <si>
    <t>Bacillus pumilus; lipase; Antarctic</t>
  </si>
  <si>
    <t>COLD-ADAPTED LIPASE; GENE CLONING; LAKE VOSTOK; EXPRESSION; PURIFICATION; SEQUENCE; ICE</t>
  </si>
  <si>
    <t>Lipase-producing bacterial strains were isolated from Antarctic soil samples using the tricaprylin agar plate method. Seven strains with relatively strong lipase activities were selected. All of them turned out to be Bacillus pumilus strains by the 16S rRNA gene sequence analysis. Their corresponding lipase genes were cloned, sequenced, and compared. Finally, three different Bacillus pumilus lipases (BPL1, BPL2, and BPL3) were chosen. Their amino acid sequence identities were in the range of 92-98% with the previous Bacillus pumilus lipases. Their optimum temperatures and pHs were measured to be 40 degrees C and pH 9. Lipase BPL1 and lipase BPL2 were stable up to 30 degrees C, whereas lipase BPL3 was stable up to 20 degrees C. Lipase BPL2 was stable within a pH range of 6-10, whereas lipase BPL1 and lipase BPL3 were stable within a pH range of 5-11, showing strong alkaline tolerance. All these lipases exhibited high hydrolytic activity toward p-nitrophenyl caprylate (C-8). In addition, lipase BPL1 showed high hydrolytic activity toward tributyrin, whereas lipase BPL2 and lipase BPL3 hydrolyzed tricaprylin and castor oil preferentially. These results demonstrated that the three Antarctic Bacillus lipases were alkaliphilic and had a substrate preference toward short- and medium-chain triglycerides. These Antarctic Bacillus lipases might be used in detergent and food industries.</t>
  </si>
  <si>
    <t>[Arifin, Arild Ranlym; Kim, Soon-Ja; Kim, Hyung Kwoun] Catholic Univ Korea, Div Biotechnol, Puchon 420743, South Korea; [Arifin, Arild Ranlym; Suwanto, Antonius] Atma Jaya Catholic Univ, Fac Biotechnol, Jakarta 12930, Indonesia; [Yim, Joung Han] Korea Polar Res Inst, Inchon 406840, South Korea</t>
  </si>
  <si>
    <t>Catholic University of Korea; University Katolik Indonesia Atma Jaya; Korea Polar Research Institute (KOPRI); Korea Institute of Ocean Science &amp; Technology (KIOST)</t>
  </si>
  <si>
    <t>Kim, HK (corresponding author), Catholic Univ Korea, Div Biotechnol, Puchon 420743, South Korea.</t>
  </si>
  <si>
    <t>hkkim@catholic.ac.kr</t>
  </si>
  <si>
    <t>Arifin, Arild Ranlym/GWM-5479-2022; Suwanto, Antonius/CAE-9240-2022</t>
  </si>
  <si>
    <t>Arifin, Arild Ranlym/0000-0001-8679-0995; Suwanto, Antonius/0000-0002-8765-1548</t>
  </si>
  <si>
    <t>Gyeonggi Regional Research Center (GRRC) at the Catholic University of Korea</t>
  </si>
  <si>
    <t>This work was supported by Gyeonggi Regional Research Center (GRRC) at the Catholic University of Korea.</t>
  </si>
  <si>
    <t>KOREAN SOC MICROBIOLOGY &amp; BIOTECHNOLOGY</t>
  </si>
  <si>
    <t>KOREA SCI TECHNOL CENTER #507, 635-4 YEOGSAM-DONG, KANGNAM-GU, SEOUL 135-703, SOUTH KOREA</t>
  </si>
  <si>
    <t>1017-7825</t>
  </si>
  <si>
    <t>1738-8872</t>
  </si>
  <si>
    <t>J MICROBIOL BIOTECHN</t>
  </si>
  <si>
    <t>J. Microbiol. Biotechnol.</t>
  </si>
  <si>
    <t>10.4014/jmb.1212.12040</t>
  </si>
  <si>
    <t>154YK</t>
  </si>
  <si>
    <t>WOS:000319712400010</t>
  </si>
  <si>
    <t>Krywult, M; Smykla, J; Wincenciak, A</t>
  </si>
  <si>
    <t>Krywult, Marek; Smykla, Jerzy; Wincenciak, Adam</t>
  </si>
  <si>
    <t>The Presence of Nitrates and the Impact of Ultraviolet Radiation as Factors that Determine Nitrate Reductase Activity and Nitrogen Concentrations in Deschampsia antarctica Desv. Around Penguin Rookeries on King George Island, Maritime Antarctica</t>
  </si>
  <si>
    <t>WATER AIR AND SOIL POLLUTION</t>
  </si>
  <si>
    <t>Nitrate reductase activity; Ultraviolet radiation; Deschampsia antarctica; King George Island; Maritime Antarctic</t>
  </si>
  <si>
    <t>B-RADIATION; ECOSYSTEMS; VEGETATION; NUTRIENTS; METABOLISM; DEPOSITION; INDUCTION; DEPLETION; NEEDLES; OZONE</t>
  </si>
  <si>
    <t>Plant communities around penguin rookeries were studied during the Antarctic summer. Antarctic hair grass Deschampsia antarctica was examined. The abundance of this grass around penguin rookeries demonstrated a characteristic distribution. Eight UV screens were installed on a transect leading away from the rookeries. Nitrate reductase activity was measured below and outside of the screens. The activity varied between the measurement sites and also changed with the distance from rookeries. Fifteen cycles of nitrate reductase activity were conducted during the experiment. The highest values of nitrate reductase in the leaves of plants protected from UV radiation, which occurred in well-fertilized sites close to the rookery, reached 743.1 (SD=789.7) nmol of nitrite synthesized g(-1) of dry mass h(-1); the lowest occurred in the poorly fertilized sites 77.2 (SD=41.2) nmol g(-1) of dry mass h(-1). Nitrate reductase activity in unprotected plants growing in ambient conditions reached up to 843.8 (SD=894.5) in well-fertilized sites and 159.5 (SD=257.6) nmol g(-1) of dry mass h(-1), respectively. The greatest abundance of D. antarctica occurred in the middle of the transect. The influence of ultraviolet radiation caused the induction of NR activity in poorly fertilized sites, but this effect was not visible in sites that were well fertilized. Total nitrogen concentrations in the plant tissues varied between 1.4 % in poor sites and 3.4 % in sites that were situated close to the rookeries. In addition, the concentrations of total nitrogen in the soil varied between the sites and ranged from 0.2 to 3.3 %.</t>
  </si>
  <si>
    <t>[Krywult, Marek] Univ Bielsko Biala, Inst Environm Protect &amp; Engn, PL-43309 Bielsko Biala, Poland; [Smykla, Jerzy] Polish Acad Sci, Dept Biodivers, Inst Nat Conservat, PL-31120 Krakow, Poland; [Wincenciak, Adam] Nicholas Copernicus Univ, Dept Plant Ecol &amp; Nat Protect, Inst Ecol &amp; Environm Protect, PL-87100 Torun, Poland; [Krywult, Marek; Smykla, Jerzy; Wincenciak, Adam] Polish Acad Sci, Dept Antarctic Biol, PL-02141 Warsaw, Poland</t>
  </si>
  <si>
    <t>University of Bielsko-Biala; Polish Academy of Sciences; Nicolaus Copernicus University; Polish Academy of Sciences</t>
  </si>
  <si>
    <t>Krywult, M (corresponding author), Univ Bielsko Biala, Inst Environm Protect &amp; Engn, Willowa 2, PL-43309 Bielsko Biala, Poland.</t>
  </si>
  <si>
    <t>m.krywult@ath.bielsko.pl; smykla@iop.krakow.pl; wincent@stud.uni.torun.pl</t>
  </si>
  <si>
    <t>Smykla, Jerzy/N-3288-2014</t>
  </si>
  <si>
    <t>Smykla, Jerzy/0000-0001-8228-6695</t>
  </si>
  <si>
    <t>Department of Antarctic Biology, Polish Academy of Sciences; Polish Ministry of Science and Higher Education [6P04F01820, 2P04F00127, NN305376438]</t>
  </si>
  <si>
    <t>Department of Antarctic Biology, Polish Academy of Sciences; Polish Ministry of Science and Higher Education(Ministry of Science and Higher Education, Poland)</t>
  </si>
  <si>
    <t>The authors owe special thanks to Krystyna Grodzinska, Kazimierz Zarzycki, and Adam Barcikowski, whose ideas initiated this survey, for their generous encouragement and support throughout, without which it would not have been accomplished. Special thanks are also due to all the XXVI Arctowski expeditionary team, particularly the leader of this expedition, Pawel Loro, for their logistical aid and comradeship during field studies. The field survey was partly supported by logistical and financial aid from the Department of Antarctic Biology, Polish Academy of Sciences. We also thank Ms. Michele Simmons for English correction of the manuscript. This work was supported by the Polish Ministry of Science and Higher Education within the program Supporting International Mobility of Scientists edition III, project No. 2 to JS and grants Nos. 6P04F01820, 2P04F00127, and NN305376438 to MK and JS.</t>
  </si>
  <si>
    <t>SPRINGER INT PUBL AG</t>
  </si>
  <si>
    <t>CHAM</t>
  </si>
  <si>
    <t>GEWERBESTRASSE 11, CHAM, CH-6330, SWITZERLAND</t>
  </si>
  <si>
    <t>0049-6979</t>
  </si>
  <si>
    <t>1573-2932</t>
  </si>
  <si>
    <t>WATER AIR SOIL POLL</t>
  </si>
  <si>
    <t>Water Air Soil Pollut.</t>
  </si>
  <si>
    <t>10.1007/s11270-013-1563-8</t>
  </si>
  <si>
    <t>Environmental Sciences; Meteorology &amp; Atmospheric Sciences; Water Resources</t>
  </si>
  <si>
    <t>Environmental Sciences &amp; Ecology; Meteorology &amp; Atmospheric Sciences; Water Resources</t>
  </si>
  <si>
    <t>147IY</t>
  </si>
  <si>
    <t>WOS:000319161400035</t>
  </si>
  <si>
    <t>Sun, LC; Kaneko, K; Okazaki, E; Cao, MJ; Ohwaki, H; Weng, WY; Osako, K</t>
  </si>
  <si>
    <t>Sun, Le-Chang; Kaneko, Kodai; Okazaki, Emiko; Cao, Min-Jie; Ohwaki, Hiroki; Weng, Wu-Yin; Osako, Kazufumi</t>
  </si>
  <si>
    <t>Comparative study of proteins recovered from whole North Pacific krill Euphausia pacifica by acidic and alkaline treatment during isoelectric solubilization/precipitation</t>
  </si>
  <si>
    <t>North Pacific krill; Euphausia pacifica; Isoelectric solubilization/precipitation; Protein recovery; Protein degradation; Proteinase</t>
  </si>
  <si>
    <t>TRYPSIN-LIKE ENZYMES; ANTARCTIC KRILL; FUNCTIONAL ADDITIVES; NUTRITIONAL-VALUE; PURIFICATION; SUPERBA; EXTRACTION; GELATION</t>
  </si>
  <si>
    <t>North Pacific krill is widely distributed in the waters around Japan, however its utilization for human consumption has been limited due to its small size. We have investigated the proximate composition, the amino acid, free fatty acid, mineral and protein composition, respectively, as well as the residual proteolytic activity of krill protein, as recovered by acidic- and alkaline-aided isoelectric solubilization/precipitation, in order to facilitate effective utilization of this krill species. Krill protein yield was 31.7 and 73.4 % by acidic and alkaline treatment, respectively. Both treatments resulted in a comparable higher content of essential amino acids than that in whole krill, accompanied with effective removal of insoluble materials. Three major proteolytic active bands with molecular weights of approximately 28, 18 and 16 kDa, as estimated by gelatin-based zymography, were detected. Pronounced residual proteolytic activity was observed in the krill protein after alkaline processing, implying the possible involvement of proteinase(s) in protein degradation during alkaline solubilization. Based on these results, we suggest that inhibition of proteolysis during isoelectric solubilization/precipitation is required for the effective use of North Pacific krill.</t>
  </si>
  <si>
    <t>[Sun, Le-Chang; Kaneko, Kodai; Okazaki, Emiko; Osako, Kazufumi] Tokyo Univ Marine Sci &amp; Technol, Dept Food Sci &amp; Technol, Minato Ku, Tokyo 1088477, Japan; [Cao, Min-Jie; Weng, Wu-Yin] Jimei Univ, Coll Biol Engn, Xiamen 361021, Peoples R China; [Ohwaki, Hiroki] Ind Technol Ctr Nagasaki, Omura, Nagasaki 8560026, Japan</t>
  </si>
  <si>
    <t>Tokyo University of Marine Science &amp; Technology; Jimei University</t>
  </si>
  <si>
    <t>Osako, K (corresponding author), Tokyo Univ Marine Sci &amp; Technol, Dept Food Sci &amp; Technol, Minato Ku, Konan 4-5-7, Tokyo 1088477, Japan.</t>
  </si>
  <si>
    <t>osako@kaiyodai.ac.jp</t>
  </si>
  <si>
    <t>OSAKO, Kazufumi/O-1978-2014; Sun, Le-Chang/AAO-8488-2021</t>
  </si>
  <si>
    <t>CHIYODA FIRST BLDG EAST, 3-8-1 NISHI-KANDA, CHIYODA-KU, TOKYO, 101-0065, JAPAN</t>
  </si>
  <si>
    <t>10.1007/s12562-013-0625-6</t>
  </si>
  <si>
    <t>143BD</t>
  </si>
  <si>
    <t>WOS:000318840400020</t>
  </si>
  <si>
    <t>Olivero, EB; Cabrera, MIL</t>
  </si>
  <si>
    <t>Olivero, Eduardo B.; Lopez Cabrera, Maria I.</t>
  </si>
  <si>
    <t>EUFLABELLA N. IGEN.: COMPLEX HORIZONTAL SPREITE BURROWS IN UPPER CRETACEOUS-PALEOGENE SHALLOW-MARINE SANDSTONES OF ANTARCTICA AND TIERRA DEL FUEGO</t>
  </si>
  <si>
    <t>JOURNAL OF PALEONTOLOGY</t>
  </si>
  <si>
    <t>JAMES-ROSS-ISLAND; TRACE FOSSILS; MARAMBIO GROUP; ARGENTINA; STRATIGRAPHY; ZOOPHYCOS; EVOLUTION; ANDES; BASIN; UTAH</t>
  </si>
  <si>
    <t>Fine-grained sandstones and siltstones of Late Cretaceous to Eocene age in Antarctica and Tierra del Fuego yield an association of well-known shallow-marine trace fossils. Among them stick out complex spreite burrows, which are formally described as Euflabella n. igen. and subdivided into five ichnospecies with different burrowing programs and occurrences. As shown by concentrations of diatoms, radiolarians, foraminifers, and calcispheres in particular backfill lamellae, the unknown trace makers lived on fresh detritus from the surface as well as the burrowed sediment. In some ichnospecies, vertical sections show that the spreite is three-dimensionally meandering in upward direction and that upper laminae tend to rework the upper backfill of the folds underneath. This could mean a second harvest, after cultivated bacteria had time to ferment refractory sediment components, which the metazoan trace maker had been unable to digest before.</t>
  </si>
  <si>
    <t>[Olivero, Eduardo B.; Lopez Cabrera, Maria I.] Ctr Austral Invest Cient CADIC CONICET, RA-9410 Ushuaia, Tierra Fuego, Argentina</t>
  </si>
  <si>
    <t>Consejo Nacional de Investigaciones Cientificas y Tecnicas (CONICET)</t>
  </si>
  <si>
    <t>Olivero, EB (corresponding author), Ctr Austral Invest Cient CADIC CONICET, BA Houssay 200, RA-9410 Ushuaia, Tierra Fuego, Argentina.</t>
  </si>
  <si>
    <t>emolivero@gmail.com</t>
  </si>
  <si>
    <t>ANPCyT-FONCyT [PICTO 0114]; CONICET, Argentina [PID 114 200101 0341]</t>
  </si>
  <si>
    <t>ANPCyT-FONCyT(ANPCyTFONCyT); CONICET, Argentina(Consejo Nacional de Investigaciones Cientificas y Tecnicas (CONICET))</t>
  </si>
  <si>
    <t>We appreciate the continuous support of the Institut Antartico Argentino and the logistical facilities in Antarctica of the Fuerza Aerea Argentina. The friendship and help during several Antarctic field seasons of A. Sobral (CADIC/CICTERRA) and students of the University of Buenos Aires, F. A. Mussel, G. Robles, D. Martinioni, F. Milanese, and M. E. Raffi are greatly appreciated. We thank M. Barbagallo (CADIC) for preparation of thin and polished sections. The reviewers A. Seilacher and A. Uchman greatly help to improve the manuscript. This study was supported by PICTO 0114 ANPCyT-FONCyT, and PID 114 200101 0341 CONICET, Argentina.</t>
  </si>
  <si>
    <t>PALEONTOLOGICAL SOC INC</t>
  </si>
  <si>
    <t>810 EAST 10TH ST, LAWRENCE, KS 66044 USA</t>
  </si>
  <si>
    <t>0022-3360</t>
  </si>
  <si>
    <t>J PALEONTOL</t>
  </si>
  <si>
    <t>J. Paleontol.</t>
  </si>
  <si>
    <t>10.1666/12-088.1</t>
  </si>
  <si>
    <t>144SL</t>
  </si>
  <si>
    <t>WOS:000318960600007</t>
  </si>
  <si>
    <t>Shanmugam, G</t>
  </si>
  <si>
    <t>Shanmugam, G.</t>
  </si>
  <si>
    <t>Modern internal waves and internal tides along oceanic pycnoclines: Challenges and implications for ancient deep-marine baroclinic sands</t>
  </si>
  <si>
    <t>AAPG BULLETIN</t>
  </si>
  <si>
    <t>CURRENT REWORKED SANDS; WATER KUTEI BASIN; SOLITARY WAVES; CONTINENTAL-MARGIN; SUBMARINE CANYONS; BOTTOM CURRENTS; SEDIMENT WAVES; TRACTION STRUCTURES; TURBIDITY CURRENTS; LOCAL GENERATION</t>
  </si>
  <si>
    <t>Thus far, the subject of deep-marine sands emplaced by baroclinic currents associated with internal waves and internal tides as potential reservoirs has remained an alien topic in petroleum exploration. Internal waves are gravity waves that oscillate along oceanic pycnoclines. Internal tides are internal waves with a tidal frequency. Internal solitary waves (i.e., solitons), the most common type, are commonly generated near the shelf edge (100-200 m [328-656 ft] in bathymetry) and in the deep ocean over areas of sea-floor irregularities, such as mid-ocean ridges, seamounts, and guyots. Empirical data from 51 locations in the Atlantic, Pacific, Indian, Arctic, and Antarctic oceans reveal that internal solitary waves travel in packets. Internal waves commonly exhibit (1) higher wave amplitudes (5-50 m [16-164 ft]) than surface waves (&lt;2 m [6.56 ft]), (2) longer wavelengths (0.5-15 km [0.31-9 mi]) than surface waves (100 m [328 ft]), (3) longer wave periods (5-50 min) than surface waves (9-10 s), and (4) higher wave speeds (0.5-2 m s(-1) [1.64-6.56 ft s(-1)]) than surface waves (25 cm s(-1) [10 in. s(-1)]). Maximum speeds of 48 cm s(-1) (19 in. s(-1).) for baroclinic currents were measured on guyots. However, core-based sedimentologic studies of modern sediments emplaced by baroclinic currents on continental slopes, in submarine canyons, and on submarine guyots are lacking. No cogent sedimentologic or seismic criteria exist for distinguishing ancient counterparts. Outcrop-based fades models of these deposits are untenable. Therefore, potential exists for misinterpreting deep-marine baroclinic sands as turbidites, contourites, basin-floor fans, and others. Economic risks associated with such misinterpretations could be real.</t>
  </si>
  <si>
    <t>Univ Texas Arlington, Dept Earth &amp; Environm Sci, Arlington, TX 76019 USA</t>
  </si>
  <si>
    <t>University of Texas System; University of Texas Arlington</t>
  </si>
  <si>
    <t>Shanmugam, G (corresponding author), Univ Texas Arlington, Dept Earth &amp; Environm Sci, Arlington, TX 76019 USA.</t>
  </si>
  <si>
    <t>shanshanmugam@aol.com</t>
  </si>
  <si>
    <t>AMER ASSOC PETROLEUM GEOLOGIST</t>
  </si>
  <si>
    <t>1444 S BOULDER AVE, PO BOX 979, TULSA, OK 74119-3604 USA</t>
  </si>
  <si>
    <t>0149-1423</t>
  </si>
  <si>
    <t>1558-9153</t>
  </si>
  <si>
    <t>AAPG BULL</t>
  </si>
  <si>
    <t>AAPG Bull.</t>
  </si>
  <si>
    <t>10.1306/10171212101</t>
  </si>
  <si>
    <t>142VF</t>
  </si>
  <si>
    <t>WOS:000318825000005</t>
  </si>
  <si>
    <t>Zhang, XS; Wu, KJ; Wang, B; Wang, ZF</t>
  </si>
  <si>
    <t>Zhang Xiaoshuang; Wu Kejian; Wang Bin; Wang Zhifeng</t>
  </si>
  <si>
    <t>The low-frequency variance of the ocean surface wave field in the area of the Antarctic Circumpolar Current</t>
  </si>
  <si>
    <t>significant wave height; antarctic circumpolar wave; empirical orthogonal function; low-frequency variance</t>
  </si>
  <si>
    <t>NINO-SOUTHERN OSCILLATION; SEA-ICE; ANNULAR MODE; WIND STRESS; TEMPERATURE; TELECONNECTIONS; FLUXES</t>
  </si>
  <si>
    <t>The low-frequency variance of the surface wave in the area of the Antarctic Circumpolar Current (ACC) and its correlation with the antarctic circumpolar wave (ACW) are focused on. The analysis of the series of 44 a significant wave height (SWH) interannual anomalies reveals that the SWH anomalies have a strong periodicity of about 4-5 a and this signal propagates eastward obviously from 1985 to 1995, which needs about 8 a to complete a mimacircle around the earth. The method of empirical orthogonal function (EOF) is used to analyze the filtered monthly SWH anomalies to study the spatio-temporal distributions and the propagation characteristics of the low-frequency signals in the wave field. Both the dominant wavenumber-2 pattern in space and the propagation feature in the south Pacific, the south Atlantic and the south Indian ocean show strong consistency with the ACW. So it is reasonable to conclude that the ACW signal also exists in the wave field. The ACW is important for the climate in the Southern Ocean, so it is worth to pay more attention to the large-scale effect of the surface wave, which may also be important for climate studies.</t>
  </si>
  <si>
    <t>[Zhang Xiaoshuang; Wu Kejian; Wang Bin; Wang Zhifeng] Ocean Univ China, Qingdao 266100, Peoples R China; [Zhang Xiaoshuang] State Ocean Adm, Natl Marine Data &amp; Informat Serv, Key Lab Marine Environm Informat Technol, Tianjin 300171, Peoples R China; [Wu Kejian] Ocean Univ China, Phys Oceanog Lab, Qingdao 266100, Peoples R China</t>
  </si>
  <si>
    <t>Ocean University of China; National Marine Data &amp; Information Service; Ocean University of China</t>
  </si>
  <si>
    <t>Wu, KJ (corresponding author), Ocean Univ China, Qingdao 266100, Peoples R China.</t>
  </si>
  <si>
    <t>kejianwu@ouc.edu.cn</t>
  </si>
  <si>
    <t>National Natural Science Foundation of China [40976005, 40930844]</t>
  </si>
  <si>
    <t>National Natural Science Foundation of China(National Natural Science Foundation of China (NSFC))</t>
  </si>
  <si>
    <t>Foundation item: The National Natural Science Foundation of China under contract Nos 40976005 and 40930844.</t>
  </si>
  <si>
    <t>10.1007/s13131-013-0309-1</t>
  </si>
  <si>
    <t>141TZ</t>
  </si>
  <si>
    <t>WOS:000318750700003</t>
  </si>
  <si>
    <t>Oldroyd, HJ; Higgins, CW; Huwald, H; Selker, JS; Parlange, MB</t>
  </si>
  <si>
    <t>Oldroyd, H. J.; Higgins, C. W.; Huwald, H.; Selker, J. S.; Parlange, M. B.</t>
  </si>
  <si>
    <t>Thermal diffusivity of seasonal snow determined from temperature profiles</t>
  </si>
  <si>
    <t>ADVANCES IN WATER RESOURCES</t>
  </si>
  <si>
    <t>Heat diffusion; Porous media; Snow temperature measurements; Thermal conductivity; Thermal diffusivity</t>
  </si>
  <si>
    <t>ANTARCTIC SNOW; HEAT-TRANSFER; CONDUCTIVITY; MODEL; PROBE</t>
  </si>
  <si>
    <t>Thermal diffusivity of snow is an important thermodynamic property associated with key hydrological phenomena such as snow melt and heat and water vapor exchange with the atmosphere. Direct determination of snow thermal diffusivity requires coupled point measurements of thermal conductivity and density, which continually change due to snow metamorphism. Traditional methods for determining these two quantities are generally limited by temporal resolution. In this study we present a method to determine the thermal diffusivity of snow with high temporal resolution using snow temperature profile measurements. High resolution (between 2.5 and 10 cm at 1 min) temperature measurements from the seasonal snow pack at the Plaine-Morte glacier in Switzerland are used as initial conditions and Neumann (heat flux) boundary conditions to numerically solve the one-dimensional heat equation and iteratively optimize for thermal diffusivity. The implementation of Neumann boundary conditions and a t-test, ensuring statistical significance between solutions of varied thermal diffusivity, are important to help constrain thermal diffusivity such that spurious high and low values as seen with Dirichlet (temperature) boundary conditions are reduced. The results show that time resolved thermal diffusivity can be determined from temperature measurements of seasonal snow and support density-based empirical parameterizations for thermal conductivity. (c) 2012 Elsevier Ltd. All rights reserved.</t>
  </si>
  <si>
    <t>[Oldroyd, H. J.; Higgins, C. W.; Huwald, H.; Parlange, M. B.] Ecole Polytech Fed Lausanne, Sch Architecture Civil &amp; Environm Engn, Stn 2, CH-1015 Lausanne, Switzerland; [Higgins, C. W.; Selker, J. S.] Oregon State Univ, Dept Biol &amp; Ecol Engn, Corvallis, OR 97331 USA</t>
  </si>
  <si>
    <t>Swiss Federal Institutes of Technology Domain; Ecole Polytechnique Federale de Lausanne; Oregon State University</t>
  </si>
  <si>
    <t>Oldroyd, HJ (corresponding author), Ecole Polytech Fed Lausanne, Sch Architecture Civil &amp; Environm Engn, Stn 2, CH-1015 Lausanne, Switzerland.</t>
  </si>
  <si>
    <t>holly.oldroyd@epfl.ch</t>
  </si>
  <si>
    <t>Huwald, Hendrik/C-1746-2012; Huwald, Hendrik/S-3688-2019; Parlange, Marc/A-3403-2015</t>
  </si>
  <si>
    <t>Huwald, Hendrik/0000-0003-3769-7342; Parlange, Marc/0000-0001-6972-4371; Oldroyd, Holly Jayne/0000-0001-8925-4063; Selker, John/0000-0001-9751-6094</t>
  </si>
  <si>
    <t>Swiss National Science Foundation [200021_120238/1, 200020_125092/1]; NCCR Mobile Information Communication Systems (MICS) project of ETH Domain; Competence Center Environment and Sustainability (CCES) of ETH Domain; Swiss National Science Foundation (SNF) [200021-120238, 200020_125092] Funding Source: Swiss National Science Foundation (SNF)</t>
  </si>
  <si>
    <t>Swiss National Science Foundation(Swiss National Science Foundation (SNSF)); NCCR Mobile Information Communication Systems (MICS) project of ETH Domain; Competence Center Environment and Sustainability (CCES) of ETH Domain; Swiss National Science Foundation (SNF)(Swiss National Science Foundation (SNSF))</t>
  </si>
  <si>
    <t>We are grateful to the anonymous reviewers and the associate editor, Michael Lehning, for their thoughtful comments that substantially improved the manuscript. This research was supported with partial funding from the Swiss National Science Foundation [200021_120238/1, 200020_125092/1], the NCCR Mobile Information Communication Systems (MICS) project and Competence Center Environment and Sustainability (CCES) of ETH Domain. We are also grateful for logistical support from the Crans-Montana ski resort, and for the field assistance from the many members of the Environmental Fluid Mechanics and Hydrology (EFLUM) laboratory at EPFL.</t>
  </si>
  <si>
    <t>0309-1708</t>
  </si>
  <si>
    <t>1872-9657</t>
  </si>
  <si>
    <t>ADV WATER RESOUR</t>
  </si>
  <si>
    <t>Adv. Water Resour.</t>
  </si>
  <si>
    <t>10.1016/j.advwatres.2012.06.011</t>
  </si>
  <si>
    <t>Water Resources</t>
  </si>
  <si>
    <t>139SQ</t>
  </si>
  <si>
    <t>WOS:000318605000012</t>
  </si>
  <si>
    <t>Zakhvatkina, NY; Alexandrov, VY; Johannessen, OM; Sandven, S; Frolov, IY</t>
  </si>
  <si>
    <t>Zakhvatkina, Natalia Yu; Alexandrov, Vitaly Yu; Johannessen, Ola M.; Sandven, Stein; Frolov, Ivan Ye</t>
  </si>
  <si>
    <t>Classification of Sea Ice Types in ENVISAT Synthetic Aperture Radar Images</t>
  </si>
  <si>
    <t>Classification; neural network (NN) algorithm; sea ice; synthetic aperture radar (SAR)</t>
  </si>
  <si>
    <t>NEURAL-NETWORKS; C-BAND; SIGNATURES; FEATURES; SCATTEROMETER; SYSTEM</t>
  </si>
  <si>
    <t>In this paper, sea ice in the Central Arctic has been classified in synthetic aperture radar (SAR) images from ENVISAT using a neural network (NN)-based algorithm and a Bayesian algorithm. Since different sea ice types can have similar backscattering coefficients at C-band HH polarization, it is necessary to use textural features in addition to the backscattering coefficients. The analysis revealed that the most informative texture features for the classification of multiyear ice (MYI), deformed first-year ice (FYI) (DFYI), and level FYI (LFYI) and open water/nilas are correlation, inertia, cluster prominence, energy, homogeneity, and entropy, as well as third and fourth central statistical moments of image brightness. The optimal topology of the NN, trained for ENVISAT wide-swath SAR sea ice classification, consists of nine neurons in input layer, six neurons in hidden layer, and three neurons in output layer. The classification results for a series of 20 SAR images, acquired in the central part of the Arctic Ocean during winter months, were compared to expert analysis of the images and ice charts. The results of the NN classification show that the average correspondences with the expert analysis amount to 85%, 83%, and 80% for LFYI, DFYI, and MYI, respectively. The Bayesian pixel-based method can provide a higher resolution in the classified image and, therefore, better capability to identify leads compared to the NN method. Both methods may be effectively used in the Central Arctic where MYI is predominant.</t>
  </si>
  <si>
    <t>[Zakhvatkina, Natalia Yu] Arctic &amp; Antarctic Res Inst, St Petersburg 199397, Russia; [Zakhvatkina, Natalia Yu; Alexandrov, Vitaly Yu] Nansen Int Environm &amp; Remote Sensing Ctr, St Petersburg 199034, Russia; [Alexandrov, Vitaly Yu; Johannessen, Ola M.; Sandven, Stein] Nansen Environm &amp; Remote Sensing Ctr, N-5006 Bergen, Norway; [Johannessen, Ola M.] Univ Bergen, Bergen, Norway; [Frolov, Ivan Ye] Arctic &amp; Antarctic Res Inst, Dept Ice Regime, St Petersburg 199397, Russia</t>
  </si>
  <si>
    <t>Arctic &amp; Antarctic Research Institute; Nansen Environmental &amp; Remote Sensing Center (NERSC); Nansen Environmental &amp; Remote Sensing Center (NERSC); University of Bergen; Arctic &amp; Antarctic Research Institute</t>
  </si>
  <si>
    <t>Zakhvatkina, NY (corresponding author), Arctic &amp; Antarctic Res Inst, St Petersburg 199397, Russia.</t>
  </si>
  <si>
    <t>natalia.piotrovskaya@niersc.spb.ru; vitali.alexandrov@niersc.spb.ru; ola.johannessen@nersc.no; stein.sandven@nersc.no; frolov@aari.ru</t>
  </si>
  <si>
    <t>Bashmachnikov, Igor/B-2879-2012; Frolov, Ivan/L-2908-2018</t>
  </si>
  <si>
    <t>Bashmachnikov, Igor/0000-0002-1257-4197; Frolov, Ivan/0000-0002-6586-354X; Sandven, Stein/0000-0002-8023-5779</t>
  </si>
  <si>
    <t>European Union [SST5-CT-2006-03001]; Developing Arctic Modeling and Observing Capabilities for Long-term Environmental Studies [018509, 045928]; MyOcean [218812]; Sea Ice Downstream Services for Arctic and Antarctic Users and Stakeholders [262922]; Research Council of Norway [196214]; Norwegian Space Center [JOP.01.11.2]; Nansen Scientific Society; Nansen Environmental and Remote Sensing Center under the Mohn-Sverdrup Grant; European Space Agency [AOPOL 4075, 4081, 4093, Cat 1 3822]</t>
  </si>
  <si>
    <t>European Union(European Union (EU)); Developing Arctic Modeling and Observing Capabilities for Long-term Environmental Studies; MyOcean; Sea Ice Downstream Services for Arctic and Antarctic Users and Stakeholders; Research Council of Norway(Research Council of Norway); Norwegian Space Center; Nansen Scientific Society; Nansen Environmental and Remote Sensing Center under the Mohn-Sverdrup Grant; European Space Agency(European Space Agency)</t>
  </si>
  <si>
    <t>This work was supported in part by the European Union projects MONitoring the Marine Environment in Russia, Ukraine and Kazakhstan under Contract SST5-CT-2006-03001, Developing Arctic Modeling and Observing Capabilities for Long-term Environmental Studies under Contract 018509 GOCE and under Extension Contract 045928, MyOcean under Grant Agreement 218812, and Sea Ice Downstream Services for Arctic and Antarctic Users and Stakeholders under Grant Agreement 262922, by the Research Council of Norway under Contract 196214, by the Norwegian Space Center under Grant JOP.01.11.2, by the Nansen Scientific Society, and by the Nansen Environmental and Remote Sensing Center under the Mohn-Sverdrup Grant.; The authors would like to thank sea ice specialists from the Arctic and Antarctic Research Institute, particularly V. Bessonov, for providing expert analysis of the SAR images, and Dr. V. Smirnov for providing in situ data from the North Pole drifting stations. The authors also would like to thank the Stuttgart Neural Network Simulator for use of the software package, the European Space Agency for providing ENVISAT ASAR data through the Announcement of Opportunity projects (AOPOL 4075, 4081, 4093, and Cat 1 3822), and the two anonymous reviewers for valuable comments and suggestions that helped to improve this paper and to avoid some inaccuracies.</t>
  </si>
  <si>
    <t>10.1109/TGRS.2012.2212445</t>
  </si>
  <si>
    <t>137IJ</t>
  </si>
  <si>
    <t>WOS:000318428700009</t>
  </si>
  <si>
    <t>Núñez-Pons, L; Carbone, M; Vázquez, J; Gavagnin, M; Avila, C</t>
  </si>
  <si>
    <t>Nunez-Pons, Laura; Carbone, Marianna; Vazquez, Jennifer; Gavagnin, Margherita; Avila, Conxita</t>
  </si>
  <si>
    <t>Lipophilic Defenses From Alcyonium Soft Corals of Antarctica</t>
  </si>
  <si>
    <t>JOURNAL OF CHEMICAL ECOLOGY</t>
  </si>
  <si>
    <t>Chemical defense; Alcyopterosin sesquiterpenes; Wax esters; Deterrent metabolites; Sea star Odontaster validus; Amphipod Cheirimedon femoratus</t>
  </si>
  <si>
    <t>ILLUDALANE SESQUITERPENOIDS; CHEMICAL DEFENSES; ANTIPREDATOR DEFENSES; SECONDARY METABOLITES; STRUCTURAL DEFENSES; FULVUM-FULVUM; RED-SEA; OCTOCORALLIA; COELENTERATA; MUCUS</t>
  </si>
  <si>
    <t>Alcyonacean soft corals lack physical or skeletal defenses and their nematocyst system is weak, leading to the conclusion that soft corals mainly rely on chemistry for protection from predators and microbes. Defensive chemicals of primary and secondary metabolic origin are exuded in the mucus surface layer, explaining the general lack of heavy fouling and predation in corals. In Antarctic ecosystems, where generalist predation is intense and mainly driven by invertebrate consumers, the genus Alcyonium is represented by eight species. Our goal was to investigate the understudied chemical ecology of Antarctic Alcyonium soft corals. We obtained six samples belonging to five species: A. antarcticum, A. grandis, A. haddoni, A. paucilobulatum, and A. roseum, and assessed the lipid-soluble fractions for the presence of defensive agents in these specimens. Ethyl ether extracts were tested in feeding bioassays with the sea star Odontaster validus and the amphipod Cheirimedon femoratus as putative sympatric predators. Repellent activities were observed towards both consumers in all but one of the samples assessed. Moreover, three of the extracts caused inhibition to a sympatric marine bacterium. The ether extracts afforded characteristic illudalane sesquiterpenoids in two of the samples, as well as particular wax esters subfractions in all the colonies analyzed. Both kinds of metabolites displayed significant deterrent activities demonstrating their likely defensive role. These results suggest that lipophilic chemicals are a first line protection strategy in Antarctic Alcyonium soft corals against predation and bacterial fouling.</t>
  </si>
  <si>
    <t>[Nunez-Pons, Laura; Vazquez, Jennifer; Avila, Conxita] Univ Barcelona, Fac Biol, Dept Biol Anim Invertebrats, E-08028 Barcelona, Catalunya, Spain; [Carbone, Marianna; Gavagnin, Margherita] CNR, Ist Chim Biomol, I-80078 Naples, Italy</t>
  </si>
  <si>
    <t>University of Barcelona; Consiglio Nazionale delle Ricerche (CNR); Istituto di Chimica Biomolecolare (ICB-CNR)</t>
  </si>
  <si>
    <t>Núñez-Pons, L (corresponding author), Univ Barcelona, Fac Biol, Dept Biol Anim Invertebrats, Av Diagonal 643, E-08028 Barcelona, Catalunya, Spain.</t>
  </si>
  <si>
    <t>lauguau@gmail.com</t>
  </si>
  <si>
    <t>Gavagnin, Margherita/B-4584-2012; Avila, Conxita/B-9466-2008; Vazquez, Jennifer/K-7579-2017</t>
  </si>
  <si>
    <t>Avila, Conxita/0000-0002-5489-8376; Vazquez, Jennifer/0000-0002-1510-0034; CARBONE, MARIANNA/0000-0003-3729-5714</t>
  </si>
  <si>
    <t>Ministry of Science and Innovation of Spain [CGL/2004-03356, CGL2007-65453/ANT, CGL2010-17415/ANT]</t>
  </si>
  <si>
    <t>Ministry of Science and Innovation of Spain(Spanish Government)</t>
  </si>
  <si>
    <t>We thank L. Ciavatta, F. Castelluccio, M. Rodriguez-Arias, M. Paone, S. Taboada, J. Cristobo, B. Figuerola, C. Angulo, and J. Moles for support and help in the lab. Thanks are due to S. Catazine for the artwork. Also we are grateful to W. Arntz and the crew of R/V Polarstern, UTM (CSIC), Las Palmas and BAE Gabriel de Castilla crews for logistic support. Funding was provided by the Ministry of Science and Innovation of Spain (CGL/2004-03356, ANT, CGL2007-65453/ANT and CGL2010-17415/ANT).</t>
  </si>
  <si>
    <t>0098-0331</t>
  </si>
  <si>
    <t>1573-1561</t>
  </si>
  <si>
    <t>J CHEM ECOL</t>
  </si>
  <si>
    <t>J. Chem. Ecol.</t>
  </si>
  <si>
    <t>10.1007/s10886-013-0276-1</t>
  </si>
  <si>
    <t>Biochemistry &amp; Molecular Biology; Ecology</t>
  </si>
  <si>
    <t>Biochemistry &amp; Molecular Biology; Environmental Sciences &amp; Ecology</t>
  </si>
  <si>
    <t>140MH</t>
  </si>
  <si>
    <t>WOS:000318657700011</t>
  </si>
  <si>
    <t>Hu, AX; Meehl, GA; Han, WQ; Yin, JJ; Wu, BY; Kimoto, M</t>
  </si>
  <si>
    <t>Hu, Aixue; Meehl, Gerald A.; Han, Weiqing; Yin, Jianjun; Wu, Bingyi; Kimoto, Masahide</t>
  </si>
  <si>
    <t>Influence of Continental Ice Retreat on Future Global Climate</t>
  </si>
  <si>
    <t>ATLANTIC THERMOHALINE CIRCULATION; SEA-LEVEL RISE; NORTH-ATLANTIC; BERING STRAIT; FRESH-WATER; OCEAN CIRCULATION; DEEP-WATER; ATMOSPHERIC CO2; GREENLAND; MODEL</t>
  </si>
  <si>
    <t>Evidence from observations indicates a net loss of global land-based ice and a rise of global sea level. Other than sea level rise, it is not clear how this loss of land-based ice could affect other aspects of global climate in the future. Here, the authors use the Community Climate System Model version 3 (CCSM3) to evaluate the potential influence of shrinking land-based ice on the Atlantic meridional overturning circulation (AMOC) and surface climate in the next two centuries under the Intergovernmental Panel on Climate Change (IPCC) A1B scenario with prescribed rates of melting for the Greenland Ice Sheet, West Antarctic Ice Sheet, and mountain glaciers and ice caps. Results show that the AMOC, in general, is only sensitive to the freshwater discharge directly into the North Atlantic over the next two centuries. If the loss of the West Antarctic Ice Sheet would not significantly increase from its current rate, it would not have much effect on the AMOC. The AMOC slows down further only when the surface freshwater input due to runoff from land-based ice melt becomes large enough to generate a net freshwater gain in the upper North Atlantic. This further-weakened AMOC does not cool the global mean climate, but it does cause less warming, especially in the northern high latitudes and, in particular, in Europe. The projected precipitation increase in North America in the standard run becomes a net reduction in the simulation that includes land ice runoff, but there are precipitation increases in west Australia in the simulations where the AMOC slows down because of the inclusion of land-based ice runoff.</t>
  </si>
  <si>
    <t>[Hu, Aixue; Meehl, Gerald A.] Natl Ctr Atmospher Res, Climate &amp; Global Dynam Div, Boulder, CO 80305 USA; [Han, Weiqing] Univ Colorado, Dept Atmospher &amp; Ocean Sci, Boulder, CO 80309 USA; [Yin, Jianjun] Univ Arizona, Dept Geosci, Tucson, AZ 85721 USA; [Wu, Bingyi] Chinese Acad Meteorol Sci, Beijing, Peoples R China; [Kimoto, Masahide] Univ Tokyo, Atmosphere &amp; Ocean Res Inst, Chiba, Japan</t>
  </si>
  <si>
    <t>National Center Atmospheric Research (NCAR) - USA; University of Colorado System; University of Colorado Boulder; University of Arizona; China Meteorological Administration; Chinese Academy of Meteorological Sciences (CAMS); University of Tokyo</t>
  </si>
  <si>
    <t>Hu, AX (corresponding author), Natl Ctr Atmospher Res, Climate &amp; Global Dynam Div, 1850 Table Mesa Dr, Boulder, CO 80305 USA.</t>
  </si>
  <si>
    <t>ahu@ucar.edu</t>
  </si>
  <si>
    <t>kimoto, masahide/P-9077-2014; Han, Weiqing/JXN-0886-2024; Hu, Aixue/E-1063-2013</t>
  </si>
  <si>
    <t>Hu, Aixue/0000-0002-1337-287X</t>
  </si>
  <si>
    <t>Office of Science (BER), U.S. Department of Energy [DE-FC02-97ER62402]; National Science Foundation; NSF [OCE-0452917]; NASA Ocean Vector Winds Program [1283568]; NASA Ocean Surface Topography Science Team [NNX08AR62G]</t>
  </si>
  <si>
    <t>Office of Science (BER), U.S. Department of Energy(United States Department of Energy (DOE)); National Science Foundation(National Science Foundation (NSF)); NSF(National Science Foundation (NSF)); NASA Ocean Vector Winds Program; NASA Ocean Surface Topography Science Team(National Aeronautics &amp; Space Administration (NASA))</t>
  </si>
  <si>
    <t>Portions of this study were supported by the Office of Science (BER), U.S. Department of Energy, Cooperative Agreement DE-FC02-97ER62402, and the National Science Foundation. The National Center for Atmospheric Research is sponsored by the National Science Foundation. Weiqing Han was supported by NSF OCE-0452917, NASA Ocean Vector Winds Program 1283568, and NASA Ocean Surface Topography Science Team NNX08AR62G.</t>
  </si>
  <si>
    <t>10.1175/JCLI-D-12-00102.1</t>
  </si>
  <si>
    <t>142DG</t>
  </si>
  <si>
    <t>WOS:000318775900006</t>
  </si>
  <si>
    <t>Liu, SH; Wang, NF; Zhang, PY; Cong, BL; Lin, XZ; Wang, SQ; Xia, GM; Huang, XH</t>
  </si>
  <si>
    <t>Liu, Shenghao; Wang, Nengfei; Zhang, Pengying; Cong, Bailin; Lin, Xuezheng; Wang, Shouqiang; Xia, Guangmin; Huang, Xiaohang</t>
  </si>
  <si>
    <t>Next-generation sequencing-based transcriptome profiling analysis of Pohlia nutans reveals insight into the stress-relevant genes in Antarctic moss</t>
  </si>
  <si>
    <t>Mosses; Transcriptome; Gene expression profiling; High-throughput RNA sequencing; Cold treatment</t>
  </si>
  <si>
    <t>DIFFERENTIALLY EXPRESSED GENES; COLD-ACCLIMATION; PHYSCOMITRELLA-PATENS; TOLERANCE; PLANT; FAMILY; DIVERSITY</t>
  </si>
  <si>
    <t>Genome-wide characterization of the Pohlia nutans transcriptome is essential for clarifying the role of stress-relevant genes in Antarctic moss adapting to the extreme polar environment. High-throughput Illumina sequencing was used to analyze the gene expression profile of P. nutans after cold treatment. A total of 93,488 unigenes, with an average length of 405 bp, were obtained. Gene annotation showed that 16,781 unigenes had significant similarity to known functional protein-coding genes, most of which were annotated using the GO, KOG and KEGG pathway databases. Global profiling of the differentially expressed genes revealed that 3,796 unigenes were significantly upregulated after cold treatment, while 1,405 unigenes were significantly downregulated. In addition, 816 receptor-like kinases and 1,309 transcription factors were identified from P. nutans. This overall survey of transcripts and stress-relevant genes can contribute to understanding the stress-resistance mechanism of Antarctic moss and will accelerate the practical exploitation of the genetic resources for this organism.</t>
  </si>
  <si>
    <t>[Liu, Shenghao; Wang, Nengfei; Cong, Bailin; Lin, Xuezheng; Wang, Shouqiang; Huang, Xiaohang] State Ocean Adm, Key Lab Marine Bioact Subst, Inst Oceanog 1, Qingdao 266061, Shandong, Peoples R China; [Liu, Shenghao; Xia, Guangmin] Shandong Univ, Sch Life Sci, Jinan 250100, Peoples R China; [Zhang, Pengying] Shandong Univ, Natl Glycoengn Res Ctr, Jinan 250100, Peoples R China</t>
  </si>
  <si>
    <t>First Institute of Oceanography, Ministry of Natural Resources; Shandong University; Shandong University</t>
  </si>
  <si>
    <t>Huang, XH (corresponding author), State Ocean Adm, Key Lab Marine Bioact Subst, Inst Oceanog 1, 6 Xian Xia Ling Rd,High Tech Pk, Qingdao 266061, Shandong, Peoples R China.</t>
  </si>
  <si>
    <t>xiaohanghuang@yahoo.ca</t>
  </si>
  <si>
    <t>Liu, Shenghao/ISU-3076-2023; Wang, Shouqiang/KFS-6521-2024</t>
  </si>
  <si>
    <t>Liu, Shenghao/0000-0002-1449-3526; Wang, Shouqiang/0000-0002-0988-7010</t>
  </si>
  <si>
    <t>China National Natural Science Foundation [40906103, 41206176]; Basic Scientific Research Foundation of The First Institute of Oceanography (SOA)</t>
  </si>
  <si>
    <t>China National Natural Science Foundation(National Natural Science Foundation of China (NSFC)); Basic Scientific Research Foundation of The First Institute of Oceanography (SOA)</t>
  </si>
  <si>
    <t>We thank the Chinese National Human Genome Center (Shanghai) for their collaboration and support in the de novo assembly and annotation of the P. nutans transcriptome. We are very grateful for the critical comments and suggestions from the anonymous reviewers. This work was financially supported by the China National Natural Science Foundation (40906103 and 41206176) and Basic Scientific Research Foundation of The First Institute of Oceanography (SOA).</t>
  </si>
  <si>
    <t>10.1007/s00792-013-0528-6</t>
  </si>
  <si>
    <t>133VW</t>
  </si>
  <si>
    <t>WOS:000318169900004</t>
  </si>
  <si>
    <t>Dziewit, L; Cegielski, A; Romaniuk, K; Uhrynowski, W; Szych, A; Niesiobedzki, P; Zmuda-Baranowska, MJ; Zdanowski, MK; Bartosik, D</t>
  </si>
  <si>
    <t>Dziewit, Lukasz; Cegielski, Adrian; Romaniuk, Krzysztof; Uhrynowski, Witold; Szych, Antoni; Niesiobedzki, Pawel; Zmuda-Baranowska, Magdalena J.; Zdanowski, Marek K.; Bartosik, Dariusz</t>
  </si>
  <si>
    <t>Plasmid diversity in arctic strains of Psychrobacter spp.</t>
  </si>
  <si>
    <t>Psychrobacter; Plasmid; Host range; Mobilization for conjugal transfer; ahpC</t>
  </si>
  <si>
    <t>RESTRICTION-MODIFICATION SYSTEMS; GRAM-NEGATIVE BACTERIA; HOST-RANGE PLASMID; GENOME SEQUENCE; MOLECULAR CHARACTERIZATION; SP-NOV.; MOBILIZATION; DNA; RESISTANCE; VECTORS</t>
  </si>
  <si>
    <t>Six strains of Psychrobacter spp. isolated from guano of little auks collected on Spitsbergen island (Arctic) carried nine plasmids that were fully sequenced. These replicons (ranging in size from 2917 to 14924 bp) contained either repA (ColE2-type) or repB (iteron-type) replication systems of a relatively narrow host range, limited to Psychrobacter spp. All but one of the plasmids carried predicted mobilization for conjugal transfer systems, encoding relaxases of the MOBQ, MOBV or MOBP families. The plasmids also contained diverse additional genetic load, including a type II restriction-modification system and a gene encoding a putative subunit C of alkyl hydroperoxide reductase (AhpC)-an antioxidant enzyme and major scavenger of reactive oxygen species. Detailed comparative sequence analyses, extended to all plasmids identified so far in psychrophilic bacteria, distinguished groups of the most ubiquitous replicons, which play a key role in horizontal gene transfer in cold environments.</t>
  </si>
  <si>
    <t>[Dziewit, Lukasz; Cegielski, Adrian; Romaniuk, Krzysztof; Uhrynowski, Witold; Szych, Antoni; Niesiobedzki, Pawel; Bartosik, Dariusz] Univ Warsaw, Dept Bacterial Genet, Inst Microbiol, Fac Biol, PL-02096 Warsaw, Poland; [Zmuda-Baranowska, Magdalena J.; Zdanowski, Marek K.] Polish Acad Sci, Inst Biochem &amp; Biophys, Dept Antarctic Biol, PL-02141 Warsaw, Poland</t>
  </si>
  <si>
    <t>University of Warsaw; Polish Academy of Sciences; Institute of Biochemistry &amp; Biophysics - Polish Academy of Sciences</t>
  </si>
  <si>
    <t>Dziewit, L (corresponding author), Univ Warsaw, Dept Bacterial Genet, Inst Microbiol, Fac Biol, Miecznikowa 1, PL-02096 Warsaw, Poland.</t>
  </si>
  <si>
    <t>ldziewit@biol.uw.edu.pl; bartosik@biol.uw.edu.pl</t>
  </si>
  <si>
    <t>Dziewit, Lukasz/L-1131-2016</t>
  </si>
  <si>
    <t>Dziewit, Lukasz/0000-0002-5057-2811; Zmuda-Baranowska, Magdalena/0000-0003-0645-3396; Bartosik, Dariusz/0000-0002-3589-8864</t>
  </si>
  <si>
    <t>Ministry of Science and Higher Education, Poland [N303 816340]</t>
  </si>
  <si>
    <t>Ministry of Science and Higher Education, Poland(Ministry of Science and Higher Education, Poland)</t>
  </si>
  <si>
    <t>We acknowledge G. Jagura-Burdzy for providing strain KT2442R. This work was supported by the Ministry of Science and Higher Education, Poland (Grant No. N303 816340).</t>
  </si>
  <si>
    <t>10.1007/s00792-013-0521-0</t>
  </si>
  <si>
    <t>Green Published, hybrid</t>
  </si>
  <si>
    <t>WOS:000318169900007</t>
  </si>
  <si>
    <t>Mou, SL; Zhang, XW; Ye, NH; Miao, JL; Cao, SN; Xu, D; Fan, X; An, ML</t>
  </si>
  <si>
    <t>Mou, Shanli; Zhang, Xiaowen; Ye, Naihao; Miao, Jinlai; Cao, Shaona; Xu, Dong; Fan, Xiao; An, Meiling</t>
  </si>
  <si>
    <t>Analysis of ΔpH and the xanthophyll cycle in NPQ of the Antarctic sea ice alga Chlamydomonas sp ICE-L</t>
  </si>
  <si>
    <t>Delta pH; Xanthophyll cycle; NPQ; Antarctic sea ice alga; Chlamydomonas sp ICE-L</t>
  </si>
  <si>
    <t>PHOTOPROTECTIVE ENERGY-DISSIPATION; PHOTOSYSTEM-II; GRANA MEMBRANES; LIGHT; FLUORESCENCE; PROTEIN; PSBS; ZEAXANTHIN; ANTENNA; PHOTOSYNTHESIS</t>
  </si>
  <si>
    <t>Non-photochemical fluorescence quenching (NPQ) is mainly associated with the transthylakoid proton gradient (Delta pH) and xanthophyll cycle. However, the exact mechanism of NPQ is different in different oxygenic photosynthetic organisms. In this study, several inhibitors were used to study NPQ kinetics in the sea ice alga Chlamydomonas sp. ICE-L and to determine the functions of Delta pH and the xanthophyll cycle in the NPQ process. NH4Cl and nigericin, uncouplers of Delta pH, inhibited NPQ completely and zeaxanthin (Z) was not detected in 1 mM NH4Cl-treated samples. Moreover, Z and NPQ were increased in the samples containing N,N'-dicyclohexyl-carbodiimide (DCCD) under low light conditions. We conclude that Delta pH plays a major role in NPQ, and activation of the xanthophyll cycle is related to Delta pH. In dithiothreitol (DTT)-treated samples, no Z was observed and NPQ decreased. NPQ was completely inhibited when NH4Cl was added suggesting that part of the NPQ process is related to the xanthophyll cycle and the remainder depends on Delta pH. Moreover, lutein and beta-carotene were also essential for NPQ. These results indicate that NPQ in the sea ice alga Chlamydomonas sp. ICE-L is mainly dependent on Delta pH which affects the protonation of PSII proteins and de-epoxidation of the xanthophyll cycle, and the transthylakoid proton gradient alone can induce NPQ.</t>
  </si>
  <si>
    <t>[Mou, Shanli; Zhang, Xiaowen; Ye, Naihao; Xu, Dong; Fan, Xiao] Chinese Acad Fishery Sci, Yellow Sea Fisheries Res Inst, Qingdao 266071, Peoples R China; [Miao, Jinlai; An, Meiling] State Ocean Adm, Inst Oceanog 1, Key Lab Marine Bioact Subst, Qingdao 266061, Peoples R China; [Cao, Shaona] Qingdao Agr Univ, Qingdao 266109, Peoples R China</t>
  </si>
  <si>
    <t>Chinese Academy of Fishery Sciences; Yellow Sea Fisheries Research Institute, CAFS; First Institute of Oceanography, Ministry of Natural Resources; Qingdao Agricultural University</t>
  </si>
  <si>
    <t>Ye, NH (corresponding author), Chinese Acad Fishery Sci, Yellow Sea Fisheries Res Inst, Qingdao 266071, Peoples R China.</t>
  </si>
  <si>
    <t>yenh@ysfri.ac.cn</t>
  </si>
  <si>
    <t>National Natural Science Foundation of China [31200187, 31200272, 41176153]; Hi-Tech Research and Development Program (863) of China [2012AA052103]; Shandong Science and Technology plan project [2011GHY11528]; Specialized Fund for the Basic Research Operating expenses Program [20603022012004]; Natural Science Foundation of Shandong Province [2009ZRA02075]; Qingdao Municipal Science and Technology plan project [11-3-1-5-hy]; National Marine Public Welfare Research Project [200805069]</t>
  </si>
  <si>
    <t>National Natural Science Foundation of China(National Natural Science Foundation of China (NSFC)); Hi-Tech Research and Development Program (863) of China(National High Technology Research and Development Program of China); Shandong Science and Technology plan project; Specialized Fund for the Basic Research Operating expenses Program; Natural Science Foundation of Shandong Province(Natural Science Foundation of Shandong Province); Qingdao Municipal Science and Technology plan project; National Marine Public Welfare Research Project</t>
  </si>
  <si>
    <t>This work was supported by National Natural Science Foundation of China (31200187, 31200272, 41176153), Hi-Tech Research and Development Program (863) of China (2012AA052103), Shandong Science and Technology plan project (2011GHY11528), the Specialized Fund for the Basic Research Operating expenses Program (20603022012004), Natural Science Foundation of Shandong Province (2009ZRA02075), Qingdao Municipal Science and Technology plan project (11-3-1-5-hy), National Marine Public Welfare Research Project (200805069).</t>
  </si>
  <si>
    <t>10.1007/s00792-013-0532-x</t>
  </si>
  <si>
    <t>WOS:000318169900012</t>
  </si>
  <si>
    <t>Dartois, E; Engrand, C; Brunetto, R; Duprat, J; Pino, T; Quirico, E; Remusat, L; Bardin, N; Briani, G; Mostefaoui, S; Morinaud, G; Crane, B; Szwec, N; Delauche, L; Jamme, F; Sandt, C; Dumas, P</t>
  </si>
  <si>
    <t>Dartois, E.; Engrand, C.; Brunetto, R.; Duprat, J.; Pino, T.; Quirico, E.; Remusat, L.; Bardin, N.; Briani, G.; Mostefaoui, S.; Morinaud, G.; Crane, B.; Szwec, N.; Delauche, L.; Jamme, F.; Sandt, Ch.; Dumas, P.</t>
  </si>
  <si>
    <t>UltraCarbonaceous Antarctic micrometeorites, probing the Solar System beyond the nitrogen snow-line</t>
  </si>
  <si>
    <t>Origin, Solar System; Interplanetary dust; Cosmochemistry; Cosmic rays; Organic chemistry</t>
  </si>
  <si>
    <t>INSOLUBLE ORGANIC-MATTER; OORT CLOUD OBJECTS; KUIPER-BELT; INTERSTELLAR CHEMISTRY; ISOTOPIC COMPOSITIONS; PROTON IRRADIATION; COMET 81P/WILD-2; DUST PARTICLES; ICE ANALOGS; CARBON</t>
  </si>
  <si>
    <t>The current Solar System architecture is a heritage of the protoplanetary disk that surrounded the young Sun, 4.56 Gy ago. Primitive extraterrestrial objects provide means to trace back the primordial composition and radial distribution of matter in this disk. Here, we present a combined micro-IR, Raman, chemical and isotopic study of two ultracarbonaceous micrometeorites recovered from Antarctica (UCAMMs). This study reveals particles containing an unusually high nitrogen- and deuterium-rich organic matter analogous to a polyaromatic hydrogenated carbon nitride, characterized by nitrogen concentration with bulk atomic N/C ratios of 0.05 and 0.12 (locally exceeding 0.15). We propose that such nitrogen-rich carbonaceous material can be formed by energetic irradiations of nitrogen-rich ices in very low temperature regions of the Solar System. Such conditions are encountered at the surface of small objects beyond the trans-neptunian region. UCAMMs provide unique insights on physico-chemical processes that occurred beyond the nitrogen snow-line, revealing organic material from the extreme outer regions of the Solar System that cannot be investigated by remote sensing methods. (C) 2013 Elsevier Inc. All rights reserved.</t>
  </si>
  <si>
    <t>[Dartois, E.; Brunetto, R.; Morinaud, G.; Crane, B.; Szwec, N.] Univ Paris 11, CNRS, Inst Astrophys Spatiale, INSU,UMR 8617, F-91405 Orsay, France; Univ Paris 11, Ctr Spectrometrie Nucl &amp; Spectrometrie Masse, CNRS, IN2P3,UMR 8609, F-91405 Orsay, France; [Pino, T.] Univ Paris 11, ISMO, CNRS, UMR 8214, F-91405 Orsay, France; [Quirico, E.] INSU, CNRS, UJF Grenoble 1, IPAG,UMR 5274, F-38041 Grenoble, France; [Remusat, L.; Mostefaoui, S.] Museum Natl Hist Nat, LMCM, CNRS, INSU,UMR 7202, F-75231 Paris 05, France; [Jamme, F.; Sandt, Ch.; Dumas, P.] Synchrotron SOLEIL, F-91192 Gif Sur Yvette, France</t>
  </si>
  <si>
    <t>Centre National de la Recherche Scientifique (CNRS); CNRS - National Institute for Earth Sciences &amp; Astronomy (INSU); Universite Paris Saclay; Sorbonne Universite; Centre National de la Recherche Scientifique (CNRS); CNRS - National Institute of Nuclear and Particle Physics (IN2P3); Universite Paris Saclay; Centre National de la Recherche Scientifique (CNRS); CNRS - Institute of Physics (INP); Universite Paris Saclay; Institut de Planetologie et d'Astrophysique de Grenoble (IPAG); Centre National de la Recherche Scientifique (CNRS); CNRS - National Institute for Earth Sciences &amp; Astronomy (INSU); Communaute Universite Grenoble Alpes; Universite Grenoble Alpes (UGA); Centre National de la Recherche Scientifique (CNRS); CNRS - National Institute for Earth Sciences &amp; Astronomy (INSU); Museum National d'Histoire Naturelle (MNHN); SOLEIL Synchrotron</t>
  </si>
  <si>
    <t>Dartois, E (corresponding author), Univ Paris 11, CNRS, Inst Astrophys Spatiale, INSU,UMR 8617, Bat 121, F-91405 Orsay, France.</t>
  </si>
  <si>
    <t>emmanuel.dartois@ias.u-psud.fr</t>
  </si>
  <si>
    <t>IMPMC, ROCKS @/U-8478-2017; JAMME, Frederic/E-2170-2011; quirico, eric/K-9650-2013; Soleil, SMIS/I-3166-2014; Sandt, Christophe/M-9806-2014; Remusat, Laurent/A-8298-2016; Sandt, Christophe/ABE-6818-2020</t>
  </si>
  <si>
    <t>JAMME, Frederic/0000-0002-7398-7868; quirico, eric/0000-0003-2768-0694; Sandt, Christophe/0000-0002-6432-2004; Sandt, Christophe/0000-0002-6432-2004; Remusat, Laurent/0009-0008-6423-6254; Dartois, Emmanuel/0000-0003-1197-7143</t>
  </si>
  <si>
    <t>ANR projects COSMISME [ANR-2010-BLAN-0502]; OGRESSE of the French Agence Nationale de la Recherche [ANR2011-BS56-026-01]; INSU; IN2P3; CNES; CNRS; Universite Paris-Sud; French and Italian polar institutes IPEV; PNRA; Region Ile de France; MESR; MNHN</t>
  </si>
  <si>
    <t>ANR projects COSMISME(Agence Nationale de la Recherche (ANR)); OGRESSE of the French Agence Nationale de la Recherche(Agence Nationale de la Recherche (ANR)); INSU(Centre National de la Recherche Scientifique (CNRS)); IN2P3; CNES(Centre National D'etudes Spatiales); CNRS(Centre National de la Recherche Scientifique (CNRS)); Universite Paris-Sud; French and Italian polar institutes IPEV; PNRA; Region Ile de France(Region Ile-de-France); MESR(Ministry of Research, France); MNHN</t>
  </si>
  <si>
    <t>The authors wish to acknowledge fruitful discussions and comments from P. Beck and L. Bonal. Insightful comments from L.R. Nittler and an anonymous reviewer helped improving the manuscript. The measurements of the N/C with the electron microprobe were performed thanks to the CAMPARIS team at Jussieu. This work was supported by the ANR projects COSMISME (Grant ANR-2010-BLAN-0502) and OGRESSE (Grant ANR2011-BS56-026-01) of the French Agence Nationale de la Recherche as well as INSU, IN2P3, CNES, CNRS and Universite Paris-Sud. We are grateful to French and Italian polar institutes IPEV and PNRA, for their financial and logistic support. The NanoSIMS facility was established with funding from the CNRS, Region Ile de France, MESR and MNHN. This research has made use of NASA's Astrophysics Data System.</t>
  </si>
  <si>
    <t>10.1016/j.icarus.2013.03.002</t>
  </si>
  <si>
    <t>133HC</t>
  </si>
  <si>
    <t>WOS:000318128500022</t>
  </si>
  <si>
    <t>Cropp, RA; Gabric, AJ; Levasseur, M; McTainsh, GH; Bowie, A; Hassler, CS; Law, CS; McGowan, H; Tindale, N; Rossel, RV</t>
  </si>
  <si>
    <t>Cropp, R. A.; Gabric, A. J.; Levasseur, M.; McTainsh, G. H.; Bowie, A.; Hassler, C. S.; Law, C. S.; McGowan, H.; Tindale, N.; Rossel, R. Viscarra</t>
  </si>
  <si>
    <t>The likelihood of observing dust-stimulated phytoplankton growth in waters proximal to the Australian continent</t>
  </si>
  <si>
    <t>JOURNAL OF MARINE SYSTEMS</t>
  </si>
  <si>
    <t>Dust-phytoplankton link; Aeolian dust; Iron limitation; Southern Ocean; Tasman Sea; Great Barrier Reef</t>
  </si>
  <si>
    <t>GREAT-BARRIER-REEF; ANTARCTIC SOUTHERN-OCEAN; NITROGEN-FIXATION; IRON REQUIREMENTS; INTERANNUAL VARIABILITY; MARINE-PHYTOPLANKTON; SUSPENDED SEDIMENTS; DISSOLVED IRON; CO-LIMITATION; CHLOROPHYLL-A</t>
  </si>
  <si>
    <t>We develop a tool to assist in identifying a link between naturally occurring aeolian dust deposition and phytoplankton response in the ocean. Rather than examining a single, or small number of dust deposition events, we take a climatological approach to estimate the likelihood of observing a definitive link between dust deposition and a phytoplankton bloom for the oceans proximal to the Australian continent We use a dust storm index (DSI) to determine dust entrainment in the Lake Eyre Basin (LEB) and an ensemble of modelled atmospheric trajectories of dust transport from the basin, the major dust source in Australia. Deposition into the ocean is computed as a function of distance from the LEB source and the local over-ocean precipitation. The upper ocean's receptivity to nutrients, including dust-borne iron, is defined in terms of time-dependent, monthly climatological fields for light, mixed layer depth and chlorophyll concentration relative to the climatological monthly maximum. The resultant likelihood of a dust-phytoplankton link being observed is then mapped as a function of space and time. Our results suggest that the Southern Ocean (north of 45 degrees S), the North West Shelf, and Great Barrier Reef are ocean regions where a rapid biological response to dust inputs is most likely to be observed. Conversely, due to asynchrony between deposition and ocean receptivity, direct causal links appear unlikely to be observed in the Tasman Sea and Southern Ocean south of 45 degrees S. (C) 2013 Elsevier B.V. All rights reserved.</t>
  </si>
  <si>
    <t>[Cropp, R. A.; Gabric, A. J.; McTainsh, G. H.] Griffith Univ, Sch Environm, Nathan, Qld 4111, Australia; [Levasseur, M.] Univ Laval, Dept Biol Quebec Ocean, Ste Foy, PQ G1K 7P4, Canada; [Bowie, A.] Univ Tasmania, Antarctic Climate &amp; Ecosyst CRC, Hobart, Tas 7001, Australia; [Bowie, A.] Univ Tasmania, Inst Marine &amp; Antarctic Studies, Hobart, Tas 7001, Australia; [Hassler, C. S.] Univ Technol Sydney, Plant Funct Biol &amp; Climate Change Cluster, Sydney, NSW 2007, Australia; [Law, C. S.] Natl Inst Water &amp; Atmospher Res, Wellington, New Zealand; [McGowan, H.] Univ Queensland, Climate Res Grp, Sch Geog Planning &amp; Environm Management, Brisbane, Qld, Australia; [Tindale, N.] Univ Sunshine Coast, Maroochydore, Qld 4558, Australia; [Rossel, R. Viscarra] CSIRO Land &amp; Water, Bruce E Butler Lab, Canberra, ACT 2601, Australia</t>
  </si>
  <si>
    <t>Griffith University; Laval University; University of Tasmania; University of Tasmania; University of Technology Sydney; National Institute of Water &amp; Atmospheric Research (NIWA) - New Zealand; University of Queensland; University of the Sunshine Coast; Commonwealth Scientific &amp; Industrial Research Organisation (CSIRO); CSIRO Land &amp; Water</t>
  </si>
  <si>
    <t>Cropp, RA (corresponding author), Griffith Univ, Sch Environm, Nathan, Qld 4111, Australia.</t>
  </si>
  <si>
    <t>r.cropp@griffith.edu.au</t>
  </si>
  <si>
    <t>McGowan, Hamish/AAD-9607-2021; Gabric, Albert J/S-1551-2017; Viscarra Rossel, Raphael A./B-4061-2011; Cropp, Roger/C-1019-2008; Bowie, Andrew/C-8677-2013</t>
  </si>
  <si>
    <t>Viscarra Rossel, Raphael A./0000-0003-1540-4748; Hassler, Christel/0000-0002-8976-5469; Law, Cliff/0000-0002-7669-2475; Cropp, Roger/0000-0001-9582-857X; Bowie, Andrew/0000-0002-5144-7799</t>
  </si>
  <si>
    <t>Atmospheric Environment Research Centre; Office for Research of Griffith University</t>
  </si>
  <si>
    <t>This manuscript is the outcome of a dust workshop held at the Griffith University in Brisbane, Australia on 11-13 May 2010. We thank the Atmospheric Environment Research Centre and the Office for Research of Griffith University for sponsoring the event We also thank Stephane Blain, Phillip Boyd, Alan Butcher, John Leys, Doug Mackie, Richard Matear, John Norbury, Yaping Shao, Craig Strong, Bronte Tilbrook and Mitsuo Uematsu for their contributions to the workshop.</t>
  </si>
  <si>
    <t>0924-7963</t>
  </si>
  <si>
    <t>1879-1573</t>
  </si>
  <si>
    <t>J MARINE SYST</t>
  </si>
  <si>
    <t>J. Mar. Syst.</t>
  </si>
  <si>
    <t>10.1016/j.jmarsys.2013.02.013</t>
  </si>
  <si>
    <t>Geosciences, Multidisciplinary; Marine &amp; Freshwater Biology; Oceanography</t>
  </si>
  <si>
    <t>Geology; Marine &amp; Freshwater Biology; Oceanography</t>
  </si>
  <si>
    <t>135CO</t>
  </si>
  <si>
    <t>WOS:000318263800004</t>
  </si>
  <si>
    <t>Foltz, DW; Fatland, SD; Eléaume, M; Markello, K; Howell, KL; Neill, K; Mah, CL</t>
  </si>
  <si>
    <t>Foltz, D. W.; Fatland, S. D.; Eleaume, M.; Markello, K.; Howell, K. L.; Neill, K.; Mah, C. L.</t>
  </si>
  <si>
    <t>Global population divergence of the sea star Hippasteria phrygiana corresponds to the onset of the last glacial period of the Pleistocene</t>
  </si>
  <si>
    <t>NORTHWEST ATLANTIC; SEQUENCE ALIGNMENT; SPECIES COMPLEX; MARINE; MITOCHONDRIAL; DISPERSAL; PHYLOGEOGRAPHY; DNA; BIOGEOGRAPHY; HISTORY</t>
  </si>
  <si>
    <t>Genetic structure and connectivity of populations of the globally distributed and eurybathic sea star Hippasteria phrygiana (Parelius 1768) were studied in 165 individuals sampled from three oceanic regions: the North Pacific Ocean, the South Pacific Ocean (considered to include the adjacent regions of the Southern Ocean and the southern Indian Ocean) and the North Atlantic Ocean. A nuclear gene region (ATP synthase subunit alpha intron #5, ATPS alpha) and a mitochondrial gene region (cytochrome oxidase subunit I, COI) were amplified and sequenced. Significant heterogeneity was detected in an AMOVA analysis among the three sampled oceanic regions for COI, but not for ATPS alpha. Neither gene showed significant genetic heterogeneity within the North Atlantic, as assessed by I broken vertical bar ST values. Significant heterogeneity was detected for COI (but not ATPS alpha) in the North Pacific, but the converse was true in the South Pacific. Coalescent simulations suggested that the three regions have been diverging with little or no gene flow for the past 50-75,000 years, a time frame that corresponds to the onset of the last glacial period of the Pleistocene. A possible genetic signature of recent population expansion (or non-neutrality) was detected for each gene in the North Pacific, but not in the other two oceanic regions.</t>
  </si>
  <si>
    <t>[Foltz, D. W.; Fatland, S. D.; Mah, C. L.] Louisiana State Univ, Dept Biol Sci, Baton Rouge, LA 70803 USA; [Eleaume, M.] Museum Natl Hist Nat, Dept Peuplement &amp; Milieux Aquat, F-75231 Paris 05, France; [Markello, K.] Calif Acad Sci, Dept Invertebrate Zool &amp; Geol, San Francisco, CA 94118 USA; [Howell, K. L.] Univ Plymouth, Inst Marine, Marine Biol &amp; Ecol Res Ctr, Plymouth PL4 8AA, Devon, England; [Neill, K.] Natl Inst Water &amp; Atmospher Res, Wellington, New Zealand; [Mah, C. L.] Natl Museum Nat Hist, Dept Invertebrate Zool, Washington, DC 20013 USA</t>
  </si>
  <si>
    <t>Louisiana State University System; Louisiana State University; Museum National d'Histoire Naturelle (MNHN); California Academy of Sciences; University of Plymouth; National Institute of Water &amp; Atmospheric Research (NIWA) - New Zealand; Smithsonian Institution; Smithsonian National Museum of Natural History</t>
  </si>
  <si>
    <t>Foltz, DW (corresponding author), Louisiana State Univ, Dept Biol Sci, Baton Rouge, LA 70803 USA.</t>
  </si>
  <si>
    <t>dfoltz@lsu.edu</t>
  </si>
  <si>
    <t>Howell, Kerry L/H-5044-2013</t>
  </si>
  <si>
    <t>Neill, Kate/0000-0002-1639-2403; Howell, Kerry/0000-0003-3359-1778</t>
  </si>
  <si>
    <t>NSF [DEB-1036358]; REU; Direct For Biological Sciences; Division Of Environmental Biology [1036358] Funding Source: National Science Foundation</t>
  </si>
  <si>
    <t>NSF(National Science Foundation (NSF)); REU; Direct For Biological Sciences; Division Of Environmental Biology(National Science Foundation (NSF)NSF - Directorate for Biological Sciences (BIO))</t>
  </si>
  <si>
    <t>We thank the following persons for sampling and/or providing access to specimens: David Clague and Lonny Lundsten (Monterey Bay Aquarium Research Institute, Moss Landing, CA), Roger N. Clark (Insignis Biological Consulting, Eagle Mountain, UT), Prof. G. Duhamel and Noemie Vasset (MNHN, Paris, France), Annie Mercier and J.F. Hamel (Ocean Sciences Center, Memorial University, Newfoundland, Canada), Martha Nizinski (National Marine Fisheries Service, NOAA, Washington DC), Neil McDaniel (British Columbia, Canada), Robert J. Van Syoc and Christina Piotrowski (California Academy of Sciences, San Francisco, CA), Amber York (Woods Hole Oceanographic Institution, Woods Hole, MA). Collection of North Atlantic specimens was facilitated by J. Drewery (Marine Scotland-Science, Aberdeen, Scotland, AB11 9DB UK). Specimens provided by the National Institute of Water and Atmospheric Research (NIWA) Invertebrate Collection were collected from various cruises funded by the New Zealand Ministry for Primary Industries (Fisheries, MPI), Land Information New Zealand (LINZ), NIWA and New Zealand Department of Conservation; the Scientific Observer Program funded by the New Zealand MPI; the New Zealand International Polar Year-Census of Antarctic Marine Life with project governance provided by the MPI Science Team and the Ocean Survey 20/20 CAML Advisory Group (LINZ, MPI, Antarctica New Zealand, Ministry of Foreign Affairs and Trade and NIWA); New Zealand Foundation for Research, Science and Technology, and CSIRO's Division of Marine and Atmospheric Research. Michael W. Hart and Sam White provided help with the IMa2 analysis; Taylor M. Bass assisted in the laboratory. Funding was provided by NSF award DEB-1036358 to Foltz and Mah, as well as by two REU supplements to the above award.</t>
  </si>
  <si>
    <t>10.1007/s00227-013-2180-1</t>
  </si>
  <si>
    <t>131OL</t>
  </si>
  <si>
    <t>WOS:000318002900022</t>
  </si>
  <si>
    <t>Zhang, XG</t>
  </si>
  <si>
    <t>Zhang, Xue-Guang</t>
  </si>
  <si>
    <t>Further evidence for the accretion disc origination of the double-peaked broad Hα of 3C 390.3</t>
  </si>
  <si>
    <t>MONTHLY NOTICES OF THE ROYAL ASTRONOMICAL SOCIETY</t>
  </si>
  <si>
    <t>galaxies: active; galaxies: individual: 3C 390.3; galaxies: nuclei; quasars: emission lines; galaxies: Seyfert</t>
  </si>
  <si>
    <t>ACTIVE GALACTIC NUCLEI; EMISSION-LINES; VARIABILITY; REGION; GALAXIES; SYSTEM; SIZE; 3C-390.3; MASSES; STEPS</t>
  </si>
  <si>
    <t>In this Letter, under the widely accepted theoretical accretion disc model for the double-peaked emitter 3C 390.3, the extended disc-like broad-line region can be well split into 10 rings, and then the time lags between the lines from the rings and the continuum emission are estimated, based on the observed spectra around 1995. We can find one very strong correlation between the determined time lags (in units of light-day) and the flux-weighted radii (in units of R-G) of the rings, which is well consistent with the expected results through the theoretical accretion disc model. Moreover, through the strong correlation, the black hole masses of 3C 390.3 are independently estimated as similar to 10(9)M(circle dot), the same as the reported black hole masses in the literature. The consistencies provide further evidence to strongly support the accretion disc origination of the double-peaked broad Balmer lines of 3C 390.3.</t>
  </si>
  <si>
    <t>[Zhang, Xue-Guang] Chinese Acad Sci, Purple Mt Observ, Nanjing 210008, Jiangsu, Peoples R China; [Zhang, Xue-Guang] Chinese Ctr Antarctic Astron, Nanjing 210008, Jiangsu, Peoples R China</t>
  </si>
  <si>
    <t>Chinese Academy of Sciences; Nanjing Institute of Astronomical Optics &amp; Technology, NAOC, CAS; Purple Mountain Observatory, CAS</t>
  </si>
  <si>
    <t>Zhang, XG (corresponding author), Chinese Acad Sci, Purple Mt Observ, 2 Beijing XiLu, Nanjing 210008, Jiangsu, Peoples R China.</t>
  </si>
  <si>
    <t>xgzhang@pmo.ac.cn</t>
  </si>
  <si>
    <t>[NSFC-11003043]; [NSFC-11178003]</t>
  </si>
  <si>
    <t>X-GZ gratefully acknowledges the anonymous referee for giving us constructive comments and suggestions to greatly improve our paper. The author also gratefully acknowledges the financial support from the Chinese grants NSFC-11003043 and NSFC-11178003, and thanks the AGN Watch project (http://www.astronomy.ohio-state.edu/similar to agnwatch/) to make us conveniently collect the spectra of 3C 390.3.</t>
  </si>
  <si>
    <t>0035-8711</t>
  </si>
  <si>
    <t>1365-2966</t>
  </si>
  <si>
    <t>MON NOT R ASTRON SOC</t>
  </si>
  <si>
    <t>Mon. Not. Roy. Astron. Soc.</t>
  </si>
  <si>
    <t>L112</t>
  </si>
  <si>
    <t>L116</t>
  </si>
  <si>
    <t>10.1093/mnrasl/slt019</t>
  </si>
  <si>
    <t>136EE</t>
  </si>
  <si>
    <t>WOS:000318343600024</t>
  </si>
  <si>
    <t>van Ommen, T</t>
  </si>
  <si>
    <t>van Ommen, Tas</t>
  </si>
  <si>
    <t>CLIMATE CHANGE Antarctic response</t>
  </si>
  <si>
    <t>ICE; SURFACE</t>
  </si>
  <si>
    <t>[van Ommen, Tas] Australian Antarctic Div, Kingston, Tas 7050, Australia; [van Ommen, Tas] Univ Tasmania, Antarctic Climate &amp; Ecosyst Cooperat Res Ctr, Sandy Bay, Tas 7050, Australia</t>
  </si>
  <si>
    <t>Australian Antarctic Division; University of Tasmania; Antarctic Climate &amp; Ecosystems Cooperative Research Centre (ACE CRC)</t>
  </si>
  <si>
    <t>van Ommen, T (corresponding author), Australian Antarctic Div, Channel Highway, Kingston, Tas 7050, Australia.</t>
  </si>
  <si>
    <t>tas.van.ommen@aad.gov.au</t>
  </si>
  <si>
    <t>van Ommen, Tas/B-5020-2012</t>
  </si>
  <si>
    <t>van Ommen, Tas/0000-0002-2463-1718</t>
  </si>
  <si>
    <t>10.1038/ngeo1812</t>
  </si>
  <si>
    <t>134QA</t>
  </si>
  <si>
    <t>WOS:000318227000008</t>
  </si>
  <si>
    <t>Stauffer, GE; Rotella, JJ; Garrott, RA</t>
  </si>
  <si>
    <t>Stauffer, Glenn E.; Rotella, Jay J.; Garrott, Robert A.</t>
  </si>
  <si>
    <t>Variability in temporary emigration rates of individually marked female Weddell seals prior to first reproduction</t>
  </si>
  <si>
    <t>Capture-mark-recapture; Colonial breeding; Condition-dependent; Leptonychotes weddellii; Open robust design; Recruitment; Social learning; Trade-offs; Unobservable states</t>
  </si>
  <si>
    <t>AGE-SPECIFIC SURVIVAL; TERM FITNESS CONSEQUENCES; ANTARCTIC FUR SEALS; MCMURDO-SOUND; ROSS SEA; SITE FIDELITY; LEPTONYCHOTES-WEDDELLII; POPULATION-DYNAMICS; PUBLIC INFORMATION; HABITAT SELECTION</t>
  </si>
  <si>
    <t>In many species, temporary emigration (TE) is a phenomenon, often indicative of life-history characteristics such as dormancy, skipped reproduction, or partial migration, whereby certain individuals in a population are temporarily unobservable at a particular site. TE may be a flexible condition-dependent strategy that allows individuals to mitigate effects of adverse conditions. Consequently, TE rates ought to be highly variable, but sources of variations are poorly understood for most species. We used data from known-aged female Weddell seals (Leptonychotes weddellii) tagged in Erebus Bay, Antarctica, to investigate sources of variation in TE rates prior to reproduction and to evaluate possible implications for age-specific probability of first reproduction. TE rates were near 1 the year after birth, decreased to an average of 0.15 ( = 0.01) by age 8, and were similar thereafter. TE rates varied substantially from year-to-year and were lower for seals that attended reproductive colonies the previous year than for seals that did not attend (e.g., = 0.22). Recruitment rates were marginally greater for seals that did attend than for seals that did not attend colonies the previous year. For Weddell seals specifically, our results suggest that (1) motivation to attend colonies varied temporally, (2) as seals grew older they had increased motivation to attend even before reproductive maturity, and (3) seals appear to follow various attendance strategies. More broadly, our results support the idea of TE as a variable, condition-dependent strategy, and highlight the utility of TE models for providing population and life-history insights for diverse taxa.</t>
  </si>
  <si>
    <t>[Stauffer, Glenn E.; Rotella, Jay J.; Garrott, Robert A.] Montana State Univ, Dept Ecol, Bozeman, MT 59717 USA</t>
  </si>
  <si>
    <t>Montana State University System; Montana State University Bozeman</t>
  </si>
  <si>
    <t>Stauffer, GE (corresponding author), Montana State Univ, Dept Ecol, Bozeman, MT 59717 USA.</t>
  </si>
  <si>
    <t>gestauffer@gmail.com</t>
  </si>
  <si>
    <t>Rotella, Jay/0000-0001-7014-7524</t>
  </si>
  <si>
    <t>National Science Foundation, Office of Polar Programs [ANT-0635739]; Directorate For Geosciences; Office of Polar Programs (OPP) [1141326]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</si>
  <si>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t>
  </si>
  <si>
    <t>This work was supported by the National Science Foundation, Office of Polar Programs (grant no. ANT-0635739 to R. A. Garrott, J.J. Rotella, and D. B. Siniff, and previous grants to D. B. Siniff and J.W. Testa). Animal handling protocol was approved by Montana State University's Institutional Animal Care and Use Committee (Protocol #41-05) and complied with the Marine Mammal Permit Act of the USA and the multinational Antarctic Conservation Act. Raytheon Polar Services Corporation, Petroleum Helicopters International, and the New York National Guard provided logistical support for field work in Antarctica. We thank D. B. Siniff for numerous conversations about Weddell seal ecology and helpful advice throughout this work, W. L. Kendall for advice on analysis and critical review of previous manuscript drafts, and J.L. Laake for help with RMark coding. We appreciate the dozens of field assistants that supported this project through the years. Two anonymous reviewers provided helpful comments on an earlier manuscript draft.</t>
  </si>
  <si>
    <t>10.1007/s00442-012-2472-z</t>
  </si>
  <si>
    <t>127GU</t>
  </si>
  <si>
    <t>WOS:000317686800012</t>
  </si>
  <si>
    <t>Rose, JM; Fitzpatrick, E; Wang, AN; Gast, RJ; Caron, DA</t>
  </si>
  <si>
    <t>Rose, Julie M.; Fitzpatrick, Elizabeth; Wang, Annie; Gast, Rebecca J.; Caron, David A.</t>
  </si>
  <si>
    <t>Low temperature constrains growth rates but not short-term ingestion rates of Antarctic ciliates</t>
  </si>
  <si>
    <t>Antarctic ciliates; Growth rates; Ingestion rate; Ross Sea; Heterotrophic protist</t>
  </si>
  <si>
    <t>PARTICLE-SIZE SELECTION; ALGAL BLOOM FORMATION; ROSS SEA ANTARCTICA; ARCTIC-OCEAN; HETEROTROPHIC PROTISTS; METABOLIC THEORY; GRAZING IMPACT; SOUTHERN-OCEAN; MCMURDO SOUND; FOOD WEBS</t>
  </si>
  <si>
    <t>Low environmental temperature is a major factor affecting the feeding activities, growth rates, and growth efficiencies of metazooplankton, but these features are poorly characterized for most protistan species. Laboratory experiments were conducted to examine the growth and ingestion rates of cultured herbivorous Antarctic ciliates. Three ciliates fed several algal species individually at 0 A degrees C exhibited uniformly low growth rates (&lt; 0.26 day(-1)), but the algae varied substantially in their ability to support ciliate growth. Specific ingestion rate (prey biomass consumed per unit ciliate biomass per unit time) was strongly affected by ciliate physiological state (starved vs. actively growing). Starved cells ingested many more prey than cells in balanced growth during short-term (minutes-to-hours) experiment but did not grow faster, indicating temperature compensation of ingestion rate but not growth rate. Field experiments were also conducted in the Ross Sea, Antarctica, to characterize the feeding rates of ciliates in natural plankton assemblages. Specific ingestion rates of two dominant ciliates were an order of magnitude lower than rates reported for temperate ciliates, but estimated rates were strongly affected by prey abundance. Our data indicate that short-term ingestion rates of Antarctic ciliates were not constrained by low environmental temperature although overall growth rates were, indicating the need for caution when designing experiments to measure the ingestion rates of these species at low environmental temperature. We present evidence that artifacts arising from estimating ingestion in short-term experiments may lead to errors in estimating feeding impact and growth efficiencies that are particularly large for polar protists.</t>
  </si>
  <si>
    <t>[Rose, Julie M.; Wang, Annie; Caron, David A.] Univ So Calif, Dept Biol Sci, Los Angeles, CA 90089 USA; [Fitzpatrick, Elizabeth] Univ Calif San Diego, San Diego, CA 92103 USA; [Gast, Rebecca J.] Woods Hole Oceanog Inst, Dept Biol, Woods Hole, MA 02543 USA</t>
  </si>
  <si>
    <t>University of Southern California; University of California System; University of California San Diego; Woods Hole Oceanographic Institution</t>
  </si>
  <si>
    <t>Caron, DA (corresponding author), Univ So Calif, Dept Biol Sci, 3616 Trousdale Pkwy,AHF 301, Los Angeles, CA 90089 USA.</t>
  </si>
  <si>
    <t>dcaron@usc.edu</t>
  </si>
  <si>
    <t>Gast, Rebecca J/0000-0003-3875-3975; Rose, Julie/0000-0001-9796-9974</t>
  </si>
  <si>
    <t>National Science Foundation [OPP-9714299, OPP-0125437, OPP-0542456]</t>
  </si>
  <si>
    <t>The authors are grateful to Mark R. Dennett, Dawn M. Moran, Robert W. Sanders, and Peter D. Countway with assistance in the performance of the field work. This work was supported by National Science Foundation grants OPP-9714299, OPP-0125437, and OPP-0542456.</t>
  </si>
  <si>
    <t>10.1007/s00300-013-1291-y</t>
  </si>
  <si>
    <t>129RB</t>
  </si>
  <si>
    <t>WOS:000317858500003</t>
  </si>
  <si>
    <t>Magnoni, LJ; Scarlato, NA; Ojeda, FP; Wöhler, OC</t>
  </si>
  <si>
    <t>Magnoni, Leonardo J.; Scarlato, Norberto A.; Patricio Ojeda, F.; Woehler, Otto C.</t>
  </si>
  <si>
    <t>Gluconeogenic pathway does not display metabolic cold adaptation in liver of Antarctic notothenioid fish</t>
  </si>
  <si>
    <t>Gluconeogenesis; Glycerol; TAG mobilization; Antarctic notothenioid fish; Metabolic cold adaptation</t>
  </si>
  <si>
    <t>RAINBOW-TROUT; POLAR FISH; ANTIFREEZE GLYCOPROTEINS; PSYCHROPHILIC ENZYMES; LACTATE METABOLISM; OXYGEN-CONSUMPTION; SOUTH GEORGIA; HEPATOCYTES; TEMPERATURE; GLYCEROL</t>
  </si>
  <si>
    <t>Antarctic notothenioid fish display specializations related to cope with their chronically cold environment, such as high triacylglycerol (TAG) content in tissues. The metabolic fate of glycerol, a product of TAG mobilization, has not been studied in Antarctic fish. To assess the importance of glycerol as a substrate for gluconeogenesis and to determine whether this pathway is metabolically cold adapted (MCA), key hepatic enzyme activities were measured in Antarctic (Notothenia coriiceps, Gobionotothen gibberifrons, and Chionodraco rastrospinosus) and non-Antarctic (Dissostichus eleginoides, Patagonotothen ramsayi, and Eleginops maclovinus) notothenioid fish. Fructose 1,6-biphosphatase (FBP), phosphoenolpyruvate carboxykinase (PEPCK), and glycerol kinase (GK) activities were similar in both groups at common temperatures (1, 6, 11, or 21 A degrees C). In particular, thermal sensitivity for the reactions catalyzed by FBP and PEPCK was analogous between Antarctic and non-Antarctic species, reflected by similar values for Arrhenius energy of activation (E (a)) and Q(10). Additionally, hepatic glycerol, glucose, and glycogen contents together with plasma glycerol and glucose concentrations were similar for all of the species studied. Our results do not support the concept of MCA in hepatic gluconeogenesis and may indicate that the use of glycerol as a precursor for glucose synthesis by this pathway is of low physiological importance in Antarctic fish.</t>
  </si>
  <si>
    <t>[Magnoni, Leonardo J.] Univ Maine, Sch Marine Sci, Orono, ME 04469 USA; [Scarlato, Norberto A.; Woehler, Otto C.] Inst Nacl Invest &amp; Desarrollo Pesquero INIDEP, RA-7600 Mar Del Plata, Argentina; [Patricio Ojeda, F.] Pontificia Univ Catolica Chile, Fac Ciencias Biol, Dept Ecol, Santiago, Chile; [Woehler, Otto C.] Consejo Nacl Invest Cient &amp; Tecn, RA-1033 Buenos Aires, DF, Argentina</t>
  </si>
  <si>
    <t>University of Maine System; University of Maine Orono; National Fisheries Research &amp; Development Institute (INIDEP); Consejo Nacional de Investigaciones Cientificas y Tecnicas (CONICET); Pontificia Universidad Catolica de Chile; Consejo Nacional de Investigaciones Cientificas y Tecnicas (CONICET)</t>
  </si>
  <si>
    <t>Magnoni, LJ (corresponding author), Consejo Nacl Invest Cient &amp; Tecn, Inst Invest Biotecnol, Inst Tecnol Chascomus IIB INTECH, Av Intendente Marino Km 8,2,B7130IWA, Chascomus, Argentina.</t>
  </si>
  <si>
    <t>magnoni@intech.gov.ar</t>
  </si>
  <si>
    <t>Scarlato, Norberto/H-6827-2019; Magnoni, Leonardo Julián/A-6275-2011; Magnoni, Leonardo/GYU-9334-2022</t>
  </si>
  <si>
    <t>Scarlato, Norberto/0000-0002-9201-5466; Magnoni, Leonardo Julián/0000-0001-8449-6071;</t>
  </si>
  <si>
    <t>NSF [OPP 94-21657, 99-09055]; Fulbright scholarship</t>
  </si>
  <si>
    <t>NSF(National Science Foundation (NSF)); Fulbright scholarship</t>
  </si>
  <si>
    <t>This study could not have been undertaken without the support of the recently deceased Bruce D. Sidell (UMaine). We would like to thank him for supporting this study through NSF grants (OPP 94-21657 and 99-09055). We are grateful for comments provided by Craig Marshall, Helga Guderley, and an anonymous reviewer on the manuscript. L.J.M. was supported by a Fulbright scholarship. Thanks to the personnel at Las Cruces experimental station (C. P. U. Chile), R/V Oca Balda (INIDEP, Argentina), Palmer Station and ARSV LM Gould (NSF Antarctic Program, USA). Many thanks to F. Ogalde (C. P. U. Chile) and T. Grove (UMaine) for their assistance.</t>
  </si>
  <si>
    <t>10.1007/s00300-013-1292-x</t>
  </si>
  <si>
    <t>WOS:000317858500004</t>
  </si>
  <si>
    <t>Postma, M; Bester, MN; de Bruyn, PJN</t>
  </si>
  <si>
    <t>Postma, Martin; Bester, Marthan N.; de Bruyn, P. J. Nico</t>
  </si>
  <si>
    <t>Age-related reproductive variation in a wild marine mammal population</t>
  </si>
  <si>
    <t>Southern elephant seals; Mirounga leonina; Photogrammetry; Age-specific reproduction; Pup survival; Life history theory</t>
  </si>
  <si>
    <t>SOUTHERN ELEPHANT SEALS; MIROUNGA-LEONINA; CAPITAL BREEDER; MACQUARIE ISLAND; WEANING MASS; GROWTH; SURVIVAL; PUPS; DISPERSION; OCEAN</t>
  </si>
  <si>
    <t>Life history theory predicts a change in reproduction success with age as energy resources are limited and must be allocated effectively to maximize reproduction and survival. In this study, we use three reproductive performance measures, maternal expenditure, offspring weaning mass, and first-year survival, to investigate the role that maternal age plays in successful reproduction. Long-term uninterrupted life history data available for Marion Island's southern elephant seals and mass change estimates from photogrammetry data allow for assessment of age-related reproduction performance and trade-offs. Known-aged adult females were photographed for photogrammetric mass estimation (n = 29) and their pups weighed at weaning during the 2009 breeding season. Maternal age and proportional mass loss positively influenced pup weaning mass. In turn, first-year pup return rates (as a proxy for survival) were assessed through the intensive mark-recapture program. Pup survival increased with female age and weaning mass. Pups of young females aged 3-6 years have a lower first-year survival probability compared with pups of older and larger females.</t>
  </si>
  <si>
    <t>[Postma, Martin; Bester, Marthan N.; de Bruyn, P. J. Nico] Univ Pretoria, Mammal Res Inst, Dept Zool &amp; Entomol, ZA-0028 Hatfield, South Africa</t>
  </si>
  <si>
    <t>University of Pretoria</t>
  </si>
  <si>
    <t>Postma, M (corresponding author), Univ Pretoria, Mammal Res Inst, Dept Zool &amp; Entomol, Private Bag X20, ZA-0028 Hatfield, South Africa.</t>
  </si>
  <si>
    <t>mpostma@zoology.up.ac.za</t>
  </si>
  <si>
    <t>Bester, Marthán N/E-5387-2010; de Bruyn, P. J. Nico/E-4176-2010</t>
  </si>
  <si>
    <t>de Bruyn, P. J. Nico/0000-0002-9114-9569</t>
  </si>
  <si>
    <t>Department of Science and Technology</t>
  </si>
  <si>
    <t>Department of Science and Technology(Department of Science &amp; Technology (India))</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</si>
  <si>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 The Marion Island seal researchers of 2006, 2007, 2008, and 2009 in particular are thanked for their endless hours of data collection.</t>
  </si>
  <si>
    <t>10.1007/s00300-013-1298-4</t>
  </si>
  <si>
    <t>WOS:000317858500008</t>
  </si>
  <si>
    <t>Dilley, BJ; Davies, D; Connan, M; Cooper, J; de Villiers, M; Swart, L; Vandenabeele, S; Ropert-Coudert, Y; Ryan, PG</t>
  </si>
  <si>
    <t>Dilley, Ben J.; Davies, Delia; Connan, Maelle; Cooper, John; de Villiers, Marienne; Swart, Lieze; Vandenabeele, Sylvie; Ropert-Coudert, Yan; Ryan, Peter G.</t>
  </si>
  <si>
    <t>Giant petrels as predators of albatross chicks</t>
  </si>
  <si>
    <t>Breeding success; Chick predation; Prince Edward Islands; Diomedea exulans; Macronectes halli</t>
  </si>
  <si>
    <t>MACRONECTES; PENGUINS</t>
  </si>
  <si>
    <t>Giant petrels Macronectes spp. are not thought to be important predators of albatross chicks, although they are known to kill pre-fledging Thalassarche and Phoebetria albatrosses. We report the first records of predation of healthy great albatross Diomedea spp. chicks, killing wandering albatrosses D. exulans at night on sub-Antarctic Marion Island. Breeding success of this species has decreased markedly in the area where attacks occurred, suggesting that giant petrel predation events are a recent phenomenon. Mouse attacks on wandering albatross chicks may have contributed to the development of this hunting technique. We also report the first observations of giant petrel predation on pre-fledging grey-headed albatross T. chrysostoma chicks as well as additional records of sooty albatross P. fusca chicks being targeted. Only adult northern giant petrels M. halli have been confirmed to kill albatross chicks on Marion Island. Given the threatened status of wandering albatrosses, and the importance of Marion Island for this species, monitoring of their breeding success is necessary to assess whether the predation of chicks by giant petrels spreads around the island.</t>
  </si>
  <si>
    <t>[Dilley, Ben J.; Davies, Delia; Connan, Maelle; Ryan, Peter G.] Univ Cape Town, DST NRF Ctr Excellence, Percy FitzPatrick Inst Africa Ornithol, ZA-7701 Rondebosch, South Africa; [Connan, Maelle] Rhodes Univ, Dept Zool &amp; Entomol, ZA-6140 Grahamstown, South Africa; [Cooper, John] Univ Stellenbosch, DST NRF Ctr Excellence Invas Biol, Dept Bot &amp; Zool, ZA-7602 Matieland, South Africa; [de Villiers, Marienne] Univ Cape Town, Dept Zool, Anim Demog Unit, ZA-7701 Rondebosch, South Africa; [Swart, Lieze] Dept Environm Affairs, ZA-8012 Cape Town, South Africa; [Vandenabeele, Sylvie] Swansea Univ, Dept Biol Sci, Swansea Moving Anim Res Team, Swansea SA2 8PP, W Glam, Wales; [Ropert-Coudert, Yan] Univ Strasbourg, IPHC, F-67087 Strasbourg, France; [Ropert-Coudert, Yan] CNRS, UMR7178, F-67037 Strasbourg, France</t>
  </si>
  <si>
    <t>National Research Foundation - South Africa; University of Cape Town; Rhodes University; Stellenbosch University; National Research Foundation - South Africa; University of Cape Town; Department of Environment, Forestry &amp; Fisheries; Swansea University; Universites de Strasbourg Etablissements Associes; Universite de Strasbourg; Centre National de la Recherche Scientifique (CNRS); CNRS - National Institute of Nuclear and Particle Physics (IN2P3); Universites de Strasbourg Etablissements Associes; Universite de Strasbourg</t>
  </si>
  <si>
    <t>Ryan, PG (corresponding author), Univ Cape Town, DST NRF Ctr Excellence, Percy FitzPatrick Inst Africa Ornithol, ZA-7701 Rondebosch, South Africa.</t>
  </si>
  <si>
    <t>pryan31@gmail.com</t>
  </si>
  <si>
    <t>Connan, Maelle/A-8468-2008</t>
  </si>
  <si>
    <t>Vandenabeele, Sylvie/0000-0003-2963-3410; Connan, Maelle/0000-0002-1308-9118; Ryan, Peter/0000-0002-3356-2056</t>
  </si>
  <si>
    <t>National Research Foundation; South African National Antarctic Programme; University of Cape Town's Marine Research Institute</t>
  </si>
  <si>
    <t>We thank Bruce Dyer and Rob Crawford for the use of nest cameras. Our study was supported by the National Research Foundation and the South African National Antarctic Programme. MC acknowledges funding from the University of Cape Town's Marine Research Institute. The Department of Environmental Affairs provided logistical support.</t>
  </si>
  <si>
    <t>10.1007/s00300-013-1300-1</t>
  </si>
  <si>
    <t>WOS:000317858500011</t>
  </si>
  <si>
    <t>Li, LJ; Lin, PF; Yu, YQ; Wang, B; Zhou, TJ; Liu, L; Liu, JP; Bao, Q; Xu, SM; Huang, WY; Xia, K; Pu, Y; Dong, L; Shen, S; Liu, YM; Hu, N; Liu, MM; Sun, WQ; Shi, XJ; Zheng, WP; Wu, B; Song, MR; Liu, HL; Zhang, XH; Wu, GX; Xue, W; Huang, XM; Yang, GW; Song, ZY; Qiao, FL</t>
  </si>
  <si>
    <t>Li Lijuan; Lin Pengfei; Yu Yongqiang; Wang Bin; Zhou Tianjun; Liu Li; Liu Jiping; Bao Qing; Xu Shiming; Huang Wenyu; Xia Kun; Pu Ye; Dong Li; Shen Si; Liu Yimin; Hu Ning; Liu Mimi; Sun Wenqi; Shi Xiangjun; Zheng Weipeng; Wu Bo; Song Mirong; Liu Hailong; Zhang Xuehong; Wu Guoxiong; Xue Wei; Huang Xiaomeng; Yang Guangwen; Song Zhenya; Qiao Fangli</t>
  </si>
  <si>
    <t>The flexible global ocean-atmosphere-land system model, Grid-point Version 2: FGOALS-g2</t>
  </si>
  <si>
    <t>ADVANCES IN ATMOSPHERIC SCIENCES</t>
  </si>
  <si>
    <t>FGOALS-g2; climatological mean state; climate variability; 20th century climate; monsoon</t>
  </si>
  <si>
    <t>SEA-SURFACE TEMPERATURE; TROPICAL PACIFIC; SEASONAL CYCLE; PART I; CIRCULATION; SIMULATIONS; VARIABILITY; SENSITIVITY; OSCILLATION; ICE</t>
  </si>
  <si>
    <t>This study mainly introduces the development of the Flexible Global Ocean-Atmosphere-Land System Model: Grid-point Version 2 (FGOALS-g2) and the preliminary evaluations of its performances based on results from the pre-industrial control run and four members of historical runs according to the fifth phase of the Coupled Model Intercomparison Project (CMIP5) experiment design. The results suggest that many obvious improvements have been achieved by the FGOALS-g2 compared with the previous version,FGOALS-g1, including its climatological mean states, climate variability, and 20th century surface temperature evolution. For example,FGOALS-g2 better simulates the frequency of tropical land precipitation, East Asian Monsoon precipitation and its seasonal cycle, MJO and ENSO, which are closely related to the updated cumulus parameterization scheme, as well as the alleviation of uncertainties in some key parameters in shallow and deep convection schemes, cloud fraction, cloud macro/microphysical processes and the boundary layer scheme in its atmospheric model. The annual cycle of sea surface temperature along the equator in the Pacific is significantly improved in the new version. The sea ice salinity simulation is one of the unique characteristics of FGOALS-g2, although it is somehow inconsistent with empirical observations in the Antarctic.</t>
  </si>
  <si>
    <t>[Li Lijuan; Lin Pengfei; Yu Yongqiang; Wang Bin; Zhou Tianjun; Liu Jiping; Bao Qing; Pu Ye; Dong Li; Shen Si; Liu Yimin; Hu Ning; Liu Mimi; Sun Wenqi; Zheng Weipeng; Wu Bo; Song Mirong; Liu Hailong; Zhang Xuehong; Wu Guoxiong] Chinese Acad Sci, Inst Atmospher Phys, State Key Lab Numer Modeling Atmospher Sci &amp; Geop, Beijing 100029, Peoples R China; [Wang Bin; Liu Li; Xu Shiming; Huang Wenyu; Xia Kun; Xue Wei; Huang Xiaomeng; Yang Guangwen] Tsinghua Univ, Ctr Earth Syst Sci, Minist Educ, Key Lab Earth Syst Modeling, Beijing 100084, Peoples R China; [Song Zhenya; Qiao Fangli] State Ocean Adm, Inst Oceanog 1, Qingdao 266061, Peoples R China; [Shi Xiangjun] Hebei Meteorol Adm, Climate Ctr, Shijiazhuang 050021, Peoples R China</t>
  </si>
  <si>
    <t>Chinese Academy of Sciences; Institute of Atmospheric Physics, CAS; Tsinghua University; First Institute of Oceanography, Ministry of Natural Resources</t>
  </si>
  <si>
    <t>Wang, B (corresponding author), Chinese Acad Sci, Inst Atmospher Phys, State Key Lab Numer Modeling Atmospher Sci &amp; Geop, Beijing 100029, Peoples R China.</t>
  </si>
  <si>
    <t>wab@lasg.iap.ac.cn</t>
  </si>
  <si>
    <t>li, jiawei/HOA-5023-2023; Song, Zhenya/AAC-2044-2019; Wang, Bin/D-9724-2012; Bao, Qing/A-7765-2012; Yan, Jun/IXD-7801-2023; Liu, Yi/HTN-4916-2023; Liu, Hailong/C-9566-2013; Song, Zhenya/F-9819-2013; Liu, Kun/JAX-5396-2023; Wu, Bo/C-8644-2009; Wang, Bin/P-9121-2014; Huang, Wenyu/J-4257-2019; ZHENG, Weipeng/B-8265-2013; Yu, Yongqiang/K-7808-2012; Lin, Pengfei/AAJ-5379-2020; Li, Lijuan/C-3428-2015; huang, wenyu/HTQ-5747-2023; liu, chen/ISV-2093-2023; ZHENG, Weipeng/O-7492-2019; ZHOU, Tianjun/C-3195-2012</t>
  </si>
  <si>
    <t>Song, Zhenya/0000-0002-8098-5529; Liu, Hailong/0000-0002-8780-0398; Song, Zhenya/0000-0002-8098-5529; Huang, Wenyu/0000-0001-9722-5502; ZHENG, Weipeng/0000-0003-1968-197X; Yu, Yongqiang/0000-0001-8596-3583; Lin, Pengfei/0000-0003-2361-0066; Li, Lijuan/0000-0001-8814-5738; ZHENG, Weipeng/0000-0003-1968-197X; ZHOU, Tianjun/0000-0002-5829-7279; shi, xiangjun/0000-0002-3260-9676; Sun, Wenqi/0000-0002-8857-2008</t>
  </si>
  <si>
    <t>National 863 Project [2010AA012304]; 973 Project [2010CB951904]; China Meteorological Administration R&amp;D Special Fund for Public Welfare (meteorology) [GYHY201006014]; National Natural Science Foundation of China [40923002, 41005053]</t>
  </si>
  <si>
    <t>National 863 Project(National High Technology Research and Development Program of China); 973 Project(National Basic Research Program of China); China Meteorological Administration R&amp;D Special Fund for Public Welfare (meteorology); National Natural Science Foundation of China(National Natural Science Foundation of China (NSFC))</t>
  </si>
  <si>
    <t>This work was supported by the National 863 Project (Grant No. 2010AA012304), the 973 Project (Grant No. 2010CB951904), the China Meteorological Administration R&amp;D Special Fund for Public Welfare (meteorology) (Grant No. GYHY201006014), and the National Natural Science Foundation of China (Grant Nos. 40923002 and 41005053).</t>
  </si>
  <si>
    <t>0256-1530</t>
  </si>
  <si>
    <t>1861-9533</t>
  </si>
  <si>
    <t>ADV ATMOS SCI</t>
  </si>
  <si>
    <t>Adv. Atmos. Sci.</t>
  </si>
  <si>
    <t>10.1007/s00376-012-2140-6</t>
  </si>
  <si>
    <t>128OQ</t>
  </si>
  <si>
    <t>WOS:000317779000002</t>
  </si>
  <si>
    <t>Xu, SM; Song, MR; Liu, JP; Wang, B; Li, LJ; Huang, WY; Liu, L; Xia, K; Xue, W; Pu, Y; Dong, L; Shen, S; Hu, N; Liu, MM; Sun, WQ</t>
  </si>
  <si>
    <t>Xu Shiming; Song Mirong; Liu Jiping; Wang Bin; Li Lijuan; Huang Wenyu; Liu Li; Xia Kun; Xue Wei; Pu Ye; Dong Li; Shen Si; Hu Ning; Liu Mimi; Sun Wenqi</t>
  </si>
  <si>
    <t>Simulation of sea ice in FGOALS-g2: Climatology and late 20th century changes</t>
  </si>
  <si>
    <t>FGOALS-g2; CICE4-LASG; sea ice; seasonal change; variability</t>
  </si>
  <si>
    <t>OCEAN TURBULENCE; BARENTS SEA; PART I; MODEL; HEAT; VARIABILITY; CIRCULATION; SENSITIVITY; TRANSPORT; MOMENTUM</t>
  </si>
  <si>
    <t>Sea ice is an important component in the Earth's climate system. Coupled climate system models are indispensable tools for the study of sea ice, its internal processes, interaction with other components, and projection of future changes. This paper evaluates the simulation of sea ice by the Flexible Global Ocean-Atmosphere-Land System model Grid-point Version 2 (FGOALS-g2), in the fifth phase of the Coupled Model Inter-comparison Project (CMIP5), with a focus on historical experiments and late 20th century simulation. Through analysis, we find that FGOALS-g2 produces reasonable Arctic and Antarctic sea ice climatology and variability. Sea ice spatial distribution and seasonal change characteristics are well captured. The decrease of Arctic sea ice extent in the late 20th century is reproduced in simulations, although the decrease trend is lower compared with observations. Simulated Antarctic sea ice shows a reasonable distribution and seasonal cycle with high accordance to the amplitude of winter-summer changes. Large improvement is achieved as compared with FGOALS-g1.0 in CMIP3. Diagnosis of atmospheric and oceanic forcing on sea ice reveals several shortcomings and major aspects to improve upon in the future: (1) ocean model improvements to remove the artificial island at the North Pole; (2) higher resolution of the atmosphere model for better simulation of important features such as, among others, the Icelandic Low and westerly wind over the Southern Ocean; and (3) ocean model improvements to accurately receive freshwater input from land, and higher resolution for resolving major water channels in the Canadian Arctic Archipelago.</t>
  </si>
  <si>
    <t>[Xu Shiming; Wang Bin; Huang Wenyu; Liu Li; Xia Kun; Xue Wei] Tsinghua Univ, Ctr Earth Syst Sci, Minist Educ, Key Lab Earth Syst Modeling, Beijing 100084, Peoples R China; [Song Mirong; Liu Jiping; Wang Bin; Li Lijuan; Pu Ye; Dong Li; Shen Si; Hu Ning; Liu Mimi; Sun Wenqi] Chinese Acad Sci, Inst Atmospher Phys, State Key Lab Numer Modeling Atmospher Sci &amp; Geop, Beijing 100029, Peoples R China</t>
  </si>
  <si>
    <t>Tsinghua University; Chinese Academy of Sciences; Institute of Atmospheric Physics, CAS</t>
  </si>
  <si>
    <t>Li, Lijuan/C-3428-2015; Wang, Bin/D-9724-2012; huang, wenyu/HTQ-5747-2023; Huang, Wenyu/J-4257-2019; Wang, Bin/P-9121-2014; li, jiawei/HOA-5023-2023</t>
  </si>
  <si>
    <t>Li, Lijuan/0000-0001-8814-5738; Huang, Wenyu/0000-0001-9722-5502; Sun, Wenqi/0000-0002-8857-2008</t>
  </si>
  <si>
    <t>National High-tech RD Program (863) [2010AA012304]; National Basic Research Program (973) [2011CB309704]; National Natural Science Foundation of China [51190101]</t>
  </si>
  <si>
    <t>National High-tech RD Program (863)(National High Technology Research and Development Program of China); National Basic Research Program (973)(National Basic Research Program of China); National Natural Science Foundation of China(National Natural Science Foundation of China (NSFC))</t>
  </si>
  <si>
    <t>The authors would like to thank the anonymous reviewers for their effort and valuable comments, which helped improve the original manuscript immensely. This project was partially supported by the National High-tech R&amp;D Program (863) (Grant No. 2010AA012304), the National Basic Research Program (973) (Grant No. 2011CB309704), and the National Natural Science Foundation of China (Grant No. 51190101).</t>
  </si>
  <si>
    <t>10.1007/s00376-013-2158-4</t>
  </si>
  <si>
    <t>WOS:000317779000009</t>
  </si>
  <si>
    <t>Zhang, J; Li, L; Zhou, TJ; Xin, XG</t>
  </si>
  <si>
    <t>Zhang Jie; Li, Laurent; Zhou Tianjun; Xin Xiaoge</t>
  </si>
  <si>
    <t>Variation of surface temperature during the last millennium in a simulation with the FGOALS-gl climate system model</t>
  </si>
  <si>
    <t>last millennium; external forcing; surface temperature; cloud radiative forcing; climate system model</t>
  </si>
  <si>
    <t>GENERAL-CIRCULATION MODEL; PAST MILLENNIUM; 20TH-CENTURY TEMPERATURE; TROPICAL PACIFIC; FORCED RESPONSE; ICE-AGE; SOLAR; FORCINGS; TELECONNECTIONS; RECONSTRUCTIONS</t>
  </si>
  <si>
    <t>A reasonable past millennial climate simulation relies heavily on the specified external forcings, including both natural and anthropogenic forcing agents. In this paper, we examine the surface temperature responses to specified external forcing agents in a millennium-scale transient climate simulation with the fast version of LASG IAP Flexible Global Ocean-Atmosphere-Land System model (FGOALS-gl) developed in the State Key Laboratory of Numerical Modeling for Atmospheric Sciences and Geophysical Fluid Dynamics, Institute of Atmospheric Physics (LASG/IAP). The model presents a reasonable performance in comparison with reconstructions of surface temperature. Differentiated from significant changes in the 20th century at the global scale, changes during the natural-forcing-dominant period are mainly manifested in the Northern Hemisphere. Seasonally, modeled significant changes are more pronounced during the wintertime at higher latitudes. This may be a manifestation of polar amplification associated with sea-ice-temperature positive feedback. The climate responses to total external forcings can explain about half of the climate variance during the whole millennium period, especially at decadal timescales. Surface temperature in the Antarctic shows heterogeneous and insignificant changes during the preindustrial period and the climate response to external forcings is undetectable due to the strong internal variability. The model response to specified external forcings is modulated by cloud radiative forcing (CRF). The CRF acts against the fluctuations of external forcings. Effects of clouds are manifested in shortwave radiation by changes in cloud water during the natural-forcing-dominant period, but mainly in longwave radiation by a decrease in cloud amount in the anthropogenic-forcing-dominant period.</t>
  </si>
  <si>
    <t>[Zhang Jie; Zhou Tianjun] Chinese Acad Sci, Inst Atmospher Phys, State Key Lab Numer Modeling Atmospher Sci &amp; Geop, Beijing 100029, Peoples R China; [Zhang Jie; Li, Laurent] Univ Paris 06, CNRS, Lab Meteorol Dynam, F-75252 Paris 05, France; [Zhang Jie; Li, Laurent; Xin Xiaoge] China Meteorol Adm, Natl Climate Ctr, Beijing 100081, Peoples R China</t>
  </si>
  <si>
    <t>Chinese Academy of Sciences; Institute of Atmospheric Physics, CAS; Sorbonne Universite; Centre National de la Recherche Scientifique (CNRS); China Meteorological Administration</t>
  </si>
  <si>
    <t>Zhang, J (corresponding author), Chinese Acad Sci, Inst Atmospher Phys, State Key Lab Numer Modeling Atmospher Sci &amp; Geop, Beijing 100029, Peoples R China.</t>
  </si>
  <si>
    <t>jiezhang@cma.gov.cn</t>
  </si>
  <si>
    <t>ZHOU, Tianjun/C-3195-2012; Li, Laurent/X-3278-2019</t>
  </si>
  <si>
    <t>ZHOU, Tianjun/0000-0002-5829-7279; Li, Laurent/0000-0002-3855-3976</t>
  </si>
  <si>
    <t>Major State Basic Research Development Program of China (973 Program) [2010CB951903]; National Natural Science Foundation of China [40890054, 41205043, 41105054]</t>
  </si>
  <si>
    <t>Major State Basic Research Development Program of China (973 Program)(National Basic Research Program of China); National Natural Science Foundation of China(National Natural Science Foundation of China (NSFC))</t>
  </si>
  <si>
    <t>This work was supported by the Major State Basic Research Development Program of China (973 Program) under Grant No. 2010CB951903, and the National Natural Science Foundation of China under Grant Nos. 40890054, 41205043, and 41105054.</t>
  </si>
  <si>
    <t>10.1007/s00376-013-2178-0</t>
  </si>
  <si>
    <t>WOS:000317779000012</t>
  </si>
  <si>
    <t>Lin, PF; Yu, YQ; Liu, HL</t>
  </si>
  <si>
    <t>Lin Pengfei; Yu Yongqiang; Liu Hailong</t>
  </si>
  <si>
    <t>Oceanic climatology in the coupled model FGOALS-g2: Improvements and biases</t>
  </si>
  <si>
    <t>FGOALS-g2; oceanic climatology; temperature; salinity; ocean circulation</t>
  </si>
  <si>
    <t>GLOBAL OCEAN; SEASONAL CYCLE; TROPICAL PACIFIC; MEAN STATE; SURFACE-TEMPERATURE; CIRCULATION; SENSITIVITY; HEAT; VARIABILITY; TRANSPORT</t>
  </si>
  <si>
    <t>The present study examines simulated oceanic climatology in the Flexible Global Ocean-Atmosphere-Land System model, Grid-point Version 2 (FGOALS-g2) forced by historical external forcing data. The oceanic temperatures and circulations in FGOALS-g2 were found to be comparable to those observed, and substantially improved compared to those simulated by the previous version, FGOALS-g1.0. Compared with simulations by FGOALS-g1.0, the shallow mixed layer depths were better captured in the eastern Atlantic and Pacific Ocean in FGOALS-g2. In the high latitudes of the Northern Hemisphere, the cold biases of SST were about 1A degrees C-5A degrees C smaller in FGOALS-g2. The associated sea ice distributions and their seasonal cycles were more realistic in FGOALS-g2. The pattern of Atlantic Meridional Overturning Circulation (AMOC) was better simulated in FGOALS-g2, although its magnitude was larger than that found in observed data. The simulated Antarctic Circumpolar Current (ACC) transport was about 140 Sv through the Drake Passage, which is close to that observed. Moreover, Antarctic Intermediate Water (AAIW) was better captured in FGOALS-g2. However, large SST cold biases (&gt; 3A degrees C) were still found to exist around major western boundary currents and in the Barents Sea, which can be explained by excessively strong oceanic cold advection and unresolved processes owing to the coarse resolution. In the Indo-Pacific warm pool, the cold biases were partly related to the excessive loss of heat from the ocean. Along the eastern coast in the Atlantic and Pacific Oceans, the warm biases were due to overestimation of shortwave radiation. In the Indian Ocean and Southern Ocean, the surface fresh biases were mainly due to the biases of precipitation. In the tropical Pacific Ocean, the surface fresh biases (&gt; 2 psu) were mainly caused by excessive precipitation and oceanic advection. In the Indo-Pacific Ocean, fresh biases were also found to dominate in the upper 1000 m, except in the northeastern Indian Ocean. There were warm and salty biases (3A degrees C-4A degrees C and 1-2 psu) from the surface to the bottom in the Labrador Sea, which might be due to large amounts of heat transport and excessive evaporation, respectively. For vertical structures, the maximal biases of temperature and salinity were found to be located at depths of &gt; 600 m in the Arctic Ocean, and their values exceeded 4A degrees C and 2 psu, respectively.</t>
  </si>
  <si>
    <t>[Lin Pengfei; Yu Yongqiang; Liu Hailong] Chinese Acad Sci, Inst Atmospher Phys, State Key Lab Numer Modelling Atmospher Sci &amp; Geo, Beijing 100029, Peoples R China</t>
  </si>
  <si>
    <t>Chinese Academy of Sciences; Institute of Atmospheric Physics, CAS</t>
  </si>
  <si>
    <t>Lin, PF (corresponding author), Chinese Acad Sci, Inst Atmospher Phys, State Key Lab Numer Modelling Atmospher Sci &amp; Geo, Beijing 100029, Peoples R China.</t>
  </si>
  <si>
    <t>linpf@mail.iap.ac.cn</t>
  </si>
  <si>
    <t>Yu, Yongqiang/K-7808-2012; Lin, Pengfei/AAJ-5379-2020; Liu, Hailong/C-9566-2013</t>
  </si>
  <si>
    <t>Yu, Yongqiang/0000-0001-8596-3583; Lin, Pengfei/0000-0003-2361-0066; Liu, Hailong/0000-0002-8780-0398</t>
  </si>
  <si>
    <t>Chinese Academy of Sciences [XDA05110302]; National Key Program for Developing Basic Sciences [2010CB950502]; National High-tech R&amp;D Program of China [2010AA012303]; National Natural Science Foundation of China [40906012, 41023002]</t>
  </si>
  <si>
    <t>Chinese Academy of Sciences(Chinese Academy of Sciences); National Key Program for Developing Basic Sciences; National High-tech R&amp;D Program of China(National High Technology Research and Development Program of China); National Natural Science Foundation of China(National Natural Science Foundation of China (NSFC))</t>
  </si>
  <si>
    <t>The authors wish to thank the two anonymous reviewers for their valuable and constructive comments, which helped to improve the paper. We also acknowledge support provided by the LASG model development group. In particular, we would like to thank Prof. ZHANG Xuehong for his constructive comments, Drs HUANG Wenyu, SONG Zhenya, LI Lijuan, SONG Mirong, HE Jie and SONG Yi for their help in various matters. This work was supported by the 'Strategic Priority Research Program - Climate Change: Carbon Budget and Related Issues' of the Chinese Academy of Sciences (Grant No. XDA05110302), the National Key Program for Developing Basic Sciences (Grant No. 2010CB950502), the National High-tech R&amp;D Program of China (2010AA012303), and the National Natural Science Foundation of China (Grant Nos. 40906012 and 41023002).</t>
  </si>
  <si>
    <t>10.1007/s00376-012-2137-1</t>
  </si>
  <si>
    <t>WOS:000317779000022</t>
  </si>
  <si>
    <t>Schillaci, A; Battistelli, E; D' Alessandro, G; de Bernardis, P; Masi, S</t>
  </si>
  <si>
    <t>Schillaci, A.; Battistelli, E.; D' Alessandro, G.; de Bernardis, P.; Masi, S.</t>
  </si>
  <si>
    <t>On the emissivity of wire-grid polarizers for astronomical observations at mm-wavelengths</t>
  </si>
  <si>
    <t>INFRARED PHYSICS &amp; TECHNOLOGY</t>
  </si>
  <si>
    <t>Polarizers; Interferometers; Cosmic Microwave Background</t>
  </si>
  <si>
    <t>CMB POLARIZATION; MILLIMETER; SPECTRUM</t>
  </si>
  <si>
    <t>We have measured, using a custom setup, the emissivity of metallic wire-grids, suitable for polarimeters and interferometers at mm and far infrared wavelengths. We find that the effective emissivity of these devices is of the order of a few %, depending on fabrication technology and aging. We discuss their use in astronomical instruments, with special attention to Martin-Puplett Interferometers in low-background applications, like astronomical observations of the Cosmic Microwave Background. (C) 2013 Elsevier B.V. All rights reserved.</t>
  </si>
  <si>
    <t>[Schillaci, A.; Battistelli, E.; D' Alessandro, G.; de Bernardis, P.; Masi, S.] Univ Roma La Sapienza, Dipartimento Fis, I-00185 Rome, Italy</t>
  </si>
  <si>
    <t>Sapienza University Rome</t>
  </si>
  <si>
    <t>de Bernardis, P (corresponding author), Univ Roma La Sapienza, Dipartimento Fis, Ple A Moro 2, I-00185 Rome, Italy.</t>
  </si>
  <si>
    <t>paolo.debernardis@roma1.infn.it</t>
  </si>
  <si>
    <t>Dalessandro, Giuseppe/AAN-4438-2020</t>
  </si>
  <si>
    <t>Dalessandro, Giuseppe/0000-0001-8717-0843; Schillaci, Alessandro/0000-0002-0512-1042; de Bernardis, Paolo/0000-0001-6547-6446; D'Alessandro, Giuseppe/0000-0002-2580-043X; Masi, Silvia/0000-0001-5105-1439</t>
  </si>
  <si>
    <t>ASI (Agenzia Spaziale Italiana); PNRA (Italian National Antarctic Research Program)</t>
  </si>
  <si>
    <t>ASI (Agenzia Spaziale Italiana)(Agenzia Spaziale Italiana (ASI)); PNRA (Italian National Antarctic Research Program)</t>
  </si>
  <si>
    <t>This work has been supported by ASI (Agenzia Spaziale Italiana) Grants OLIMPO, BOOMERanG and Millimetron, and by PNRA (Italian National Antarctic Research Program) Grant BRAIN. We warmly acknowledge Mr. Giorgio Amico for carefully machining many parts of the instrument.</t>
  </si>
  <si>
    <t>1350-4495</t>
  </si>
  <si>
    <t>1879-0275</t>
  </si>
  <si>
    <t>INFRARED PHYS TECHN</t>
  </si>
  <si>
    <t>Infrared Phys. Technol.</t>
  </si>
  <si>
    <t>10.1016/j.infrared.2013.01.009</t>
  </si>
  <si>
    <t>Instruments &amp; Instrumentation; Optics; Physics, Applied</t>
  </si>
  <si>
    <t>Instruments &amp; Instrumentation; Optics; Physics</t>
  </si>
  <si>
    <t>133JP</t>
  </si>
  <si>
    <t>WOS:000318135000011</t>
  </si>
  <si>
    <t>Bendik, NF; Gluesenkamp, AG</t>
  </si>
  <si>
    <t>Bendik, N. F.; Gluesenkamp, A. G.</t>
  </si>
  <si>
    <t>Body length shrinkage in an endangered amphibian is associated with drought</t>
  </si>
  <si>
    <t>JOURNAL OF ZOOLOGY</t>
  </si>
  <si>
    <t>body length; shrinkage; growth; drought; Eurycea tonkawae</t>
  </si>
  <si>
    <t>LONG-TERM STARVATION; EUPHAUSIA-SUPERBA; MEASUREMENT ERROR; ANTARCTIC KRILL; CLIMATE-CHANGE; POPULATION; SALAMANDER; BONE; CONSERVATION; MECHANISM</t>
  </si>
  <si>
    <t>Shrinkage in body length, followed by growth, has rarely been documented in vertebrates and has been associated with stressful energetic and environmental conditions. Here, we document reversible shrinkage in an amphibian for the first time. Jollyville Plateau salamanders Eurycea tonkawae are neotenic (attain maturity while retaining an aquatic larval form) and inhabit springs and caves of a dissected aquifer in Travis County, TX, USA. We conducted mark-recapture surveys on a spring-dwelling population before and after an exceptional drought in 2008. Use of unique marks and digital photographs of individuals provided precise information on salamander growth rates during and after a period in which salamanders retreated to underground refugia to avoid desiccation during the drought. Tail width decreased significantly during the drought indicating a reduction in energy stores, a consequence of stressful environmental conditions. Unexpectedly, body length shrinkage also occurred during the drought and was followed by positive growth when spring flow resumed. Body length shrinkage could be an adaptation to coping with long periods of low food availability although its long-term effects are unknown. Given the influence of body size on many ecological and physiological characteristics of organisms, plasticity in body size may have important consequences that go undetected by researchers if shrinkage is ignored.</t>
  </si>
  <si>
    <t>[Bendik, N. F.] City Austin, Watershed Protect Dept, Austin, TX 78704 USA; [Gluesenkamp, A. G.] Texas Parks &amp; Wildlife Dept, Austin, TX 78744 USA</t>
  </si>
  <si>
    <t>Bendik, NF (corresponding author), City Austin, Watershed Protect Dept, Suite 1100,505 Barton Springs Rd, Austin, TX 78704 USA.</t>
  </si>
  <si>
    <t>nathan.bendik@austintexas.gov</t>
  </si>
  <si>
    <t>Bendik, Nathan/HTR-5054-2023</t>
  </si>
  <si>
    <t>Bendik, Nathan/0000-0001-8897-1722</t>
  </si>
  <si>
    <t>City of Austin Water Utility; Watershed Protection Department</t>
  </si>
  <si>
    <t>Lisa O'Donnell provided field assistance and assisted with experimental design; Mark Sanders, Liza Colucci, Blake Sissel and many others provided field assistance; Rob Clayton designed the VIE database; the Texas Parks and Wildlife Department, the City of Austin Balcones Canyonlands Preserve and Watershed Protection Department provided resources to conduct the study; Travis LaDuc and the Texas Natural History Collections at The University of Texas at Austin provided access to specimens. We thank Jesse Meik, Ron Bonett, Hans Hofmann, Paul Chippindale, Jeff Streicher, Tim Halliday and one anonymous reviewer for helpful suggestions on the manuscript. Funding was provided by the City of Austin Water Utility and Watershed Protection Department. Research was conducted under Texas Parks and Wildlife Scientific Permit SPR-1005-1515.</t>
  </si>
  <si>
    <t>0952-8369</t>
  </si>
  <si>
    <t>1469-7998</t>
  </si>
  <si>
    <t>J ZOOL</t>
  </si>
  <si>
    <t>J. Zool.</t>
  </si>
  <si>
    <t>10.1111/jzo.12009</t>
  </si>
  <si>
    <t>134US</t>
  </si>
  <si>
    <t>WOS:000318241300005</t>
  </si>
  <si>
    <t>Chu, KK; Xiao, QN; Liu, CS</t>
  </si>
  <si>
    <t>Chu, Kekuan; Xiao, Qingnong; Liu, Chengsi</t>
  </si>
  <si>
    <t>Experiments of the WRF three-/four-dimensional variational (3/4DVAR) data assimilation in the forecasting of Antarctic cyclones</t>
  </si>
  <si>
    <t>PREDICTION; MODEL; SIMULATION</t>
  </si>
  <si>
    <t>The three-/four-dimensional variational data assimilation systems (3/4DVAR) of the Weather Research and Forecasting (WRF) model were explored in the forecasting of two Antarctic synoptic cyclones, which had large influence on the Ross Sea/Ross Ice Shelf region in October 2007. A suite of variational data assimilation experiments, including regular 3DVAR, high-resolution 3DVAR, and 4DVAR experiments, were designed to evaluate their performances in weather analysis and forecasting in Antarctica. In general, both 4DVAR and high-resolution 3DVAR experiments showed better forecasting skill than regular 3DVAR experiments. High-resolution 3DVAR experiments were the most efficient in reducing the analysis errors of surface winds and temperature, and had the best performance during the first 24 h of forecasting. However, during the following forecast period, 4DVAR experiments showed either better or about comparable performance to high-resolution 3DVAR experiments. These results indicate that increasing the spatial resolution during 3DVAR is an economical approach to improving the weather analysis and forecasting over Antarctica. At the same time, the 4DVAR approach had a longer impact on forecasting than the high-resolution 3DVAR approach. Understandably, both of the variational assimilation approaches are promising techniques toward improving the regional analysis and forecasting over Antarctica.</t>
  </si>
  <si>
    <t>[Chu, Kekuan; Xiao, Qingnong; Liu, Chengsi] Univ S Florida, Coll Marine Sci, St Petersburg, FL 33701 USA; [Chu, Kekuan] Nanjing Univ, Key Lab Mesoscale Severe Weather MOE, Nanjing 210093, Jiangsu, Peoples R China; [Chu, Kekuan] Nanjing Univ, Sch Atmospher Sci, Nanjing 210093, Jiangsu, Peoples R China</t>
  </si>
  <si>
    <t>State University System of Florida; University of South Florida; Nanjing University; Nanjing University</t>
  </si>
  <si>
    <t>Chu, KK (corresponding author), Nanjing Univ, Key Lab Mesoscale Severe Weather MOE, Nanjing 210093, Jiangsu, Peoples R China.</t>
  </si>
  <si>
    <t>kkchu@nju.edu.cn</t>
  </si>
  <si>
    <t>National Science Foundation/Office of Polar Programs [ANT-839068]; Fundamental Research Funds for the Central Universities [1126020703]</t>
  </si>
  <si>
    <t>National Science Foundation/Office of Polar Programs(National Science Foundation (NSF)); Fundamental Research Funds for the Central Universities(Fundamental Research Funds for the Central Universities)</t>
  </si>
  <si>
    <t>This research was supported by the National Science Foundation/Office of Polar Programs under grant ANT-839068. The first author was also partially supported by the Fundamental Research Funds for the Central Universities under grant 1126020703. We thank Xiaoyan Zhang and Xin Zhang (NCAR/MMM) for their assistance with the WRF 4DVAR data assimilation systems and Dr. Qigang Wu for the discussion of and improvements made to this manuscript. The authors also thank Pan Xiao and Dr. Yi Zhang for their efforts in improving the writing of this manuscript. Meanwhile, the authors are also very grateful for the precious comments from the two anonymous reviewers and the editor.</t>
  </si>
  <si>
    <t>1436-5065</t>
  </si>
  <si>
    <t>10.1007/s00703-013-0243-y</t>
  </si>
  <si>
    <t>135RY</t>
  </si>
  <si>
    <t>WOS:000318307400003</t>
  </si>
  <si>
    <t>Diaz, JI; Fusaro, B; Longarzo, L; Coria, NR; Vidal, V; Jerez, S; Ortiz, J; Barbosa, A</t>
  </si>
  <si>
    <t>Ines Diaz, Julia; Fusaro, Bruno; Longarzo, Lucrecia; Ruben Coria, Nestor; Vidal, Virginia; Jerez, Silvia; Ortiz, Juana; Barbosa, Andres</t>
  </si>
  <si>
    <t>Gastrointestinal helminths of Gentoo penguins (Pygoscelis papua) from Stranger Point, 25 de Mayo/King George Island, Antarctica</t>
  </si>
  <si>
    <t>PARASITOLOGY RESEARCH</t>
  </si>
  <si>
    <t>ECOLOGY; DISEASES</t>
  </si>
  <si>
    <t>The aim of this work is to contribute to the knowledge of gastrointestinal parasites of the Gentoo penguin (Pygoscelis papua) from 25 de Mayo/King George Island (South Shetlands, Antarctica). Gastrointestinal tracts of 37 fresh dead individuals (21 chicks, 10 juveniles, and 6 adults) were collected from December 2006 to February 2012 and examined for macroparasites. Four adult parasite species were found: one Cestoda species (Parorchites zederi), two Nematoda species (Stegophorus macronectes and Tetrameres wetzeli), and one Acanthocephalan (Corynosoma shackletoni). Two species of immature acanthocephalans, Corynosoma hamanni and Corynosoma bullosum, were found in a single host. This is the first record of Tetrameres wetzeli in Gentoo penguins. The low parasite richness observed could be related to the stenophagic and pelagic diet of this host species which feeds almost exclusively on krill.</t>
  </si>
  <si>
    <t>[Ines Diaz, Julia; Fusaro, Bruno; Longarzo, Lucrecia] UNLP, CONICET, Ctr Estudios Parasitol &amp; Vectores CCT La Plata, RA-1900 La Plata, Buenos Aires, Argentina; [Ruben Coria, Nestor] DNA, Inst Antartico Argentino, Dept Biol Predadores Tope, Buenos Aires, DF, Argentina; [Vidal, Virginia; Ortiz, Juana] Univ Murcia, Fac Vet, Dept Sanidad Anim Parasitol, E-30100 Murcia, Spain; [Jerez, Silvia] Univ Murcia, Fac Vet, Area Toxicol, E-30100 Murcia, Spain; [Barbosa, Andres] Museo Nacl Ciencias Nat CSIC, Dept Ecol Evolut, Madrid 28006, Spain</t>
  </si>
  <si>
    <t>National University of La Plata; Consejo Nacional de Investigaciones Cientificas y Tecnicas (CONICET); Instituto Antartico Argentino; University of Murcia; University of Murcia; Consejo Superior de Investigaciones Cientificas (CSIC); CSIC - Museo Nacional de Ciencias Naturales (MNCN)</t>
  </si>
  <si>
    <t>Diaz, JI (corresponding author), UNLP, CONICET, Ctr Estudios Parasitol &amp; Vectores CCT La Plata, Calle 2 584, RA-1900 La Plata, Buenos Aires, Argentina.</t>
  </si>
  <si>
    <t>jidiaz@cepave.edu.ar</t>
  </si>
  <si>
    <t>Barbosa, Andrés/C-3208-2008; JEREZ, SILVIA/Q-8876-2016; Ortiz, Juana/AAA-4874-2019</t>
  </si>
  <si>
    <t>Barbosa, Andrés/0000-0001-8434-3649; Ortiz, Juana/0000-0002-0889-2985</t>
  </si>
  <si>
    <t>Direccion Nacional del Antartico; Spanish Ministry of Science and Innovation; European Regional Development Fund [CGL2004-01348, POL2006-05175, CGL2007-60369]; ANPCyT [PICT309]; UNLP [N628]; Spanish Council of Scientific Research [JAEPre08-01053]</t>
  </si>
  <si>
    <t>Direccion Nacional del Antartico; Spanish Ministry of Science and Innovation(Spanish Government); European Regional Development Fund(European Union (EU)); ANPCyT(ANPCyT); UNLP(National University of La Plata); Spanish Council of Scientific Research</t>
  </si>
  <si>
    <t>We very much appreciate the hospitality and logistic support of the Argentinean Antarctic Base Carlini. We especially thank the Argentinean transports and the Spanish Polar Ship Las Palmas which provided us transport to the Antarctic Base. We also thank the logistic support provided by the Instituto Antartico Argentino and the Maritime Technology Unit (CSIC). We thank Dr. John Mike Kinsella for English revision and the critical reading of the manuscript. Financial support was given by the Direccion Nacional del Antartico, the Spanish Ministry of Science and Innovation, and European Regional Development Fund (projects CGL2004-01348, POL2006-05175, and CGL2007-60369). Permission to work in the Antarctic study area and for penguin handling was given by Direccion Nacional del Antartico and the Spanish Polar Committee. JID is partially supported by PICT309 (ANPCyT) and N628 (UNLP). VV was supported by a PhD grant from the Spanish Council of Scientific Research (JAEPre08-01053). This is a contribution to the International Polar Year project 172 BirdHealth and to PIN-GUCLIM project.</t>
  </si>
  <si>
    <t>0932-0113</t>
  </si>
  <si>
    <t>1432-1955</t>
  </si>
  <si>
    <t>PARASITOL RES</t>
  </si>
  <si>
    <t>Parasitol. Res.</t>
  </si>
  <si>
    <t>10.1007/s00436-013-3341-3</t>
  </si>
  <si>
    <t>127EH</t>
  </si>
  <si>
    <t>WOS:000317678700007</t>
  </si>
  <si>
    <t>Preu, B; Hernández-Molina, FJ; Violante, R; Piola, AR; Paterlini, CM; Schwenk, T; Voigt, I; Krastel, S; Spiess, V</t>
  </si>
  <si>
    <t>Preu, Benedict; Javier Hernandez-Molina, F.; Violante, Roberto; Piola, Alberto R.; Marcelo Paterlini, C.; Schwenk, Tilmann; Voigt, Ines; Krastel, Sebastian; Spiess, Volkhard</t>
  </si>
  <si>
    <t>Morphosedimentary and hydrographic features of the northern Argentine margin: The interplay between erosive, depositional and gravitational processes and its conceptual implications</t>
  </si>
  <si>
    <t>Contourite drift; Contourite terraces; Water mass interfaces; Erosive surface; Brazil-Malvinas Confluence</t>
  </si>
  <si>
    <t>FAEROE-SHETLAND CHANNEL; SOUTH-ATLANTIC OCEAN; LA PLATA RIVER; DEEP-WATER; CONTINENTAL-SLOPE; NEPHELOID LAYERS; INTERNAL WAVES; CIRCULATION; SEA; BASIN</t>
  </si>
  <si>
    <t>Bottom currents and their margin-shaping character became a central aspect in the research field of sediment dynamics and paleoceanography during the last decades due to their potential to form large contourite depositional systems (CDS), consisting of both erosive and depositional features. A major CDS at the northern Argentine continental margin was studied off the Rio de la Plata River by means of seismo- and hydro-acoustic methods including conventional and high-resolution seismic, parametric echosounder and single and swath bathymetry. Additionally, hydrographic data were considered allowing jointly interpretation of morphosedimentary features and the oceanographic framework, which is dominated by the presence of the dynamic and highly variable Brazil-Malvinas Confluence. We focus on three regional contouritic terraces identified on the slope in the vicinity of the Mar del Plata Canyon. The shallowest one, the La Plata Terrace (similar to 500 m), is located at the Brazil Current/Antarctic Intermediate Water interface characterized by its deep and distinct thermocline. In similar to 1200 m water depth the Ewing Terrace correlates with the Antarctic Intermediate Water/Upper Circumpolar Deep Water interface. At the foot of the slope in similar to 3500 m the Necochea Terrace marks the transition between Lower Circumpolar Deep Water and Antarctic Bottom Water during glacial times. Based on these correlations, a comprehensive conceptual model is proposed, in which the onset and evolution of contourite terraces is controlled by short- and long-term variations of water mass interfaces. We suggest that the terrace genesis is strongly connected to the turbulent current pattern typical for water mass interfaces. Furthermore, the erosive processes necessary for terrace formation are probably enhanced due to internal waves, which are generated along strong density gradients typical for water mass interfaces. The terraces widen through time due to locally focused, partly helical currents along the steep landward slopes and more tabular conditions seaward along the terrace surface. Considering this scheme of contourite terrace development, lateral variations of the morphosedimentary features off northern Argentina can be used to derive the evolution of the Brazil-Malvinas Confluence on geological time scales. We propose that the Brazil-Malvinas Confluence in modern times is located close to its southernmost position in the Quaternary, while its center was shifted northward during cold periods. (C) 2013 Elsevier Ltd. All rights reserved.</t>
  </si>
  <si>
    <t>[Preu, Benedict; Schwenk, Tilmann; Voigt, Ines; Spiess, Volkhard] Univ Bremen, MARUM Ctr Marine Environm Sci, Bremen, Germany; [Preu, Benedict; Schwenk, Tilmann; Voigt, Ines; Spiess, Volkhard] Univ Bremen, Fac Geosci, Bremen, Germany; [Javier Hernandez-Molina, F.] Univ Vigo, Fac Ciencias Mar, Vigo 36310, Spain; [Violante, Roberto] SHN, Secc Geol Marina, Buenos Aires, DF, Argentina; [Piola, Alberto R.] SHN, Secc Dinam Ocean, Buenos Aires, DF, Argentina; [Piola, Alberto R.] Univ Buenos Aires, Buenos Aires, DF, Argentina; [Piola, Alberto R.] Consejo Nacl Invest Cient &amp; Tecn, Inst Franco Argentino Estudios Clima &amp; Sus Impact, RA-1033 Buenos Aires, DF, Argentina; [Marcelo Paterlini, C.] SHN, Secc Geofis Marina, Buenos Aires, DF, Argentina; [Krastel, Sebastian] GEOMAR Helmholtz Ctr Ocean Res Kiel, Kiel, Germany</t>
  </si>
  <si>
    <t>University of Bremen; University of Bremen; Universidade de Vigo; University of Buenos Aires; Consejo Nacional de Investigaciones Cientificas y Tecnicas (CONICET); Helmholtz Association; GEOMAR Helmholtz Center for Ocean Research Kiel</t>
  </si>
  <si>
    <t>Preu, B (corresponding author), Univ Bremen, MARUM Ctr Marine Environm Sci, Bremen, Germany.</t>
  </si>
  <si>
    <t>bpreu@uni-bremen.de; fjhernan@uvigo.es; violante@hidro.gov.ar; apiola@hidro.gov.ar; mpaterlini@hidro.gov.ar; tschwenk@uni-bremen.de; ivoigt@uni-bremen.de; skrastel@ifm-geomar.de; vspiess@uni-bremen.de</t>
  </si>
  <si>
    <t>Piola, Alberto/HZI-5475-2023; Spiess, Volkhard/E-4376-2010; Schwenk, Tilmann/AGD-5168-2022; Krastel, Sebastian/C-2001-2017; Piola, Alberto/O-2280-2013</t>
  </si>
  <si>
    <t>Spiess, Volkhard/0000-0001-5019-5844; Schwenk, Tilmann/0000-0002-9916-0340; Krastel, Sebastian/0000-0002-5899-9748; Piola, Alberto/0000-0002-5003-8926</t>
  </si>
  <si>
    <t>DFG-Research Center/Cluster of Excellence The Ocean in the Earth System; Bremen International Graduate School for Marine Sciences (GLOMAR); German Research Foundation (DFG) within Excellence Initiative by the German federal government; German Research Foundation (DFG) within Excellence Initiative by the German state government; Inter-American Institute for Global Change Research (IAI) [CRN 2076]; US National Science Foundation [GEO-0452325]; CONTOURIBER [CTM 2008-06399-004/MAR]; MOWER [CTM 2012-39599-C03]; Argentine Ministry of Science and Technology [PICT 2010-0953]; IGCP [619]; Directorate For Geosciences [1138881] Funding Source: National Science Foundation</t>
  </si>
  <si>
    <t>DFG-Research Center/Cluster of Excellence The Ocean in the Earth System(German Research Foundation (DFG)); Bremen International Graduate School for Marine Sciences (GLOMAR); German Research Foundation (DFG) within Excellence Initiative by the German federal government(German Research Foundation (DFG)); German Research Foundation (DFG) within Excellence Initiative by the German state government(German Research Foundation (DFG)); Inter-American Institute for Global Change Research (IAI); US National Science Foundation(National Science Foundation (NSF)); CONTOURIBER; MOWER; Argentine Ministry of Science and Technology; IGCP; Directorate For Geosciences(National Science Foundation (NSF)NSF - Directorate for Geosciences (GEO))</t>
  </si>
  <si>
    <t>The study was funded through DFG-Research Center/Cluster of Excellence The Ocean in the Earth System and was supported by the Bremen International Graduate School for Marine Sciences (GLOMAR) that is funded by the German Research Foundation (DFG) within the frame of the Excellence Initiative by the German federal and state governments to promote science and research at German universities.; The study is related to the CONTOURIBER project (CTM 2008-06399-004/MAR) and MOWER projects (CTM 2012-39599-C03). Further this study is associated to the PICT 2010-0953 project from the Argentine Ministry of Science and Technology and the IGCP project 619 (Contourites: geological record of ocean-driven paleoclimate, accomplice of submarine landslides and reservoir of marine geo-resources). Additional support was given by the Inter-American Institute for Global Change Research (IAI) CRN 2076 which is supported by the US National Science Foundation (Grant GEO-0452325).</t>
  </si>
  <si>
    <t>10.1016/j.dsr.2012.12.013</t>
  </si>
  <si>
    <t>130BX</t>
  </si>
  <si>
    <t>WOS:000317888800013</t>
  </si>
  <si>
    <t>Losada, IJ; Reguero, BG; Méndez, FJ; Castanedo, S; Abascal, AJ; Mínguez, R</t>
  </si>
  <si>
    <t>Losada, I. J.; Reguero, B. G.; Mendez, F. J.; Castanedo, S.; Abascal, A. J.; Minguez, R.</t>
  </si>
  <si>
    <t>Long-term changes in sea-level components in Latin America and the Caribbean</t>
  </si>
  <si>
    <t>GLOBAL AND PLANETARY CHANGE</t>
  </si>
  <si>
    <t>inter-annual variability; Latin America and the Caribbean; sea-level components; sea-level rise; storm surge; non-stationary extremes</t>
  </si>
  <si>
    <t>CLIMATE-CHANGE; TROPICAL PACIFIC; STORM SURGES; SOUTH-PACIFIC; RISE; OCEAN; IMPACTS; REANALYSIS; EXTREMES; CYCLONES</t>
  </si>
  <si>
    <t>When considering the threat of rising sea-levels, one must take into account not only the changes in the Mean Sea-Level, but also storm surges and changes in extreme events which may also have a bearing on coastal problems. In this study, we combine different components of the total sea-level (astronomical tide, monthly mean sea-level and storm surges) to explain changes detected in the region of Latin America and the Caribbean. Methods based on non-stationary extreme value analysis were applied to storm surge and total sea elevations monthly maxima for the last six decades, while long-term trends in Mean Sea-level were computed from both local regression and a trend-EOF technique. In addition, the relative importance of each factor contributing to the total sea-level is explored by means of defining each statistical distribution. The analysis demonstrates that concerns should be focused on the different components of sea-level in the various areas of the region. For example, changes in the storm surge levels are a key stressor in the Rio de la Plata area, while the increase in the extreme total sea-levels in the tropical region and the influence of inter-annual variability on its western coast are the prominent factors. Results show that a clear correspondence between Mean Sea-Level and the Nino3 climate index can be found through a simple regression model, explaining more than 65% of the variance for a representative location on the Peruvian coast. (C) 2013 Elsevier B.V. All rights reserved.</t>
  </si>
  <si>
    <t>[Losada, I. J.; Reguero, B. G.; Mendez, F. J.; Castanedo, S.; Abascal, A. J.; Minguez, R.] Univ Cantabria, Environm Hydraul Inst IH Cantabria, Santander 39011, Spain</t>
  </si>
  <si>
    <t>Universidad de Cantabria; IHCantabria - Instituto de Hidraulica Ambiental de la Universidad de Cantabria</t>
  </si>
  <si>
    <t>Losada, IJ (corresponding author), Univ Cantabria, IH Cantabria, Environm Hydraul Inst, C Isabel Torres 15,Parque Cient &amp; Tecnol Cantabri, Santander 39011, Spain.</t>
  </si>
  <si>
    <t>losadai@unican.es</t>
  </si>
  <si>
    <t>Abascal, Ana J./O-3916-2019; Mínguez, Roberto/B-8134-2015; Reguero, Borja/L-8621-2014; Losada, Inigo/F-9001-2012</t>
  </si>
  <si>
    <t>Abascal, Ana J./0000-0002-4994-8498; Mínguez, Roberto/0000-0001-7180-3845; Reguero, Borja/0000-0001-5526-7157; Losada, Inigo/0000-0002-9651-9709; Mendez, Fernando/0000-0002-5005-1100</t>
  </si>
  <si>
    <t>University of Cantabria; Spanish Ministry of Economy [CSD2007-00067, CTM201015009]; Economical Commission for Latin America and the Caribbean (ECLAC) from the United Nations (UN); Spanish Agency on Climate Change (OECC); Spanish Ministry of Agriculture, Food and Environment [CSD2007-00067, CTM201015009]</t>
  </si>
  <si>
    <t>University of Cantabria; Spanish Ministry of Economy(Spanish Government); Economical Commission for Latin America and the Caribbean (ECLAC) from the United Nations (UN); Spanish Agency on Climate Change (OECC); Spanish Ministry of Agriculture, Food and Environment(Spanish Government)</t>
  </si>
  <si>
    <t>The authors wish to acknowledge the NOAA - National Weather Service and the British Antarctic Survey for providing data on climate indices. The altimeter data were produced and distributed by AVISO (http://www.aviso.ocanobs.com/). B.G. Reguero is indebted to the University of Cantabria for funding. This work was partly funded by projects 'GRACCIE' (CSD2007-00067, Programa Consolider-Ingenio 2010) and 'IMAR21' (CTM201015009) from the Spanish Ministries of Economy and Agriculture, Food and Environment.; This work was part of the Regional study on the effects of Climate Change in the coast of Latin America and the Caribbean supported by the Economical Commission for Latin America and the Caribbean (ECLAC) from the United Nations (UN) and the Spanish Agency on Climate Change (OECC).</t>
  </si>
  <si>
    <t>0921-8181</t>
  </si>
  <si>
    <t>1872-6364</t>
  </si>
  <si>
    <t>GLOBAL PLANET CHANGE</t>
  </si>
  <si>
    <t>Glob. Planet. Change</t>
  </si>
  <si>
    <t>10.1016/j.gloplacha.2013.02.006</t>
  </si>
  <si>
    <t>129WP</t>
  </si>
  <si>
    <t>WOS:000317875000004</t>
  </si>
  <si>
    <t>Miller, DGM; Slicer, NM; Hanich, Q</t>
  </si>
  <si>
    <t>Miller, Denzil G. M.; Slicer, Natasha M.; Hanich, Quentin</t>
  </si>
  <si>
    <t>Monitoring, control and surveillance of protected areas and specially managed areas in the marine domain</t>
  </si>
  <si>
    <t>MARINE POLICY</t>
  </si>
  <si>
    <t>Marine protected areas; Monitoring control and surveillance (MCS); Fisheries management; Ecosystem management; Biodiversity protection; CCAMLR</t>
  </si>
  <si>
    <t>NONCOMPLIANCE</t>
  </si>
  <si>
    <t>A checklist is provided for monitoring, control and surveillance (MCS) actions to be applied in the areal-based management of marine fisheries and attached biodiversity conservation needs. The application of MCS to underpin compliance enforcement in marine protected and specially managed areas is seen as important in addressing such needs. Spatial, temporal, management and practical considerations are identified as,important implementing considerations for effective MCS-based compliance enforcement. Most notably, human activity impact mitigation appears to possess the greatest potential to reduce potentially-harmful and cumulative long-term effects across all relevant spatial-temporal ranges considered. Equally, selection of suitable MCS approaches requires careful consideration of spatial and/or temporal constraints, as well as regulatory requirements. Express reference is therefore made to conservation measures adopted by the Commission of the Conservation of Antarctic Marine Living Resources (CCAMLR) as examples of where specific, areal-based, precautionary, ecosystem-directed and operational MCS measures have been applied. It is concluded that customary MCS measures are suitable for both fisheries management and biodiversity conservation in protected, or specially managed, areas. The importance of cost-benefit considerations, management feedback and information review is also discussed in the context of minimising protected-area MCS costs. (C) 2012 Elsevier Ltd. All rights reserved.</t>
  </si>
  <si>
    <t>[Miller, Denzil G. M.; Hanich, Quentin] Univ Wollongong, ANCORS, Wollongong, NSW 2522, Australia</t>
  </si>
  <si>
    <t>University of Wollongong</t>
  </si>
  <si>
    <t>Hanich, Q (corresponding author), Univ Wollongong, ANCORS, Wollongong, NSW 2522, Australia.</t>
  </si>
  <si>
    <t>denzilgmiller@gmail.com; natasha.slicer@gmail.com; hanich@uow.edu.au</t>
  </si>
  <si>
    <t>Hanich, Quentin/IUN-2548-2023</t>
  </si>
  <si>
    <t>Hanich, Quentin/0000-0001-9402-6233</t>
  </si>
  <si>
    <t>0308-597X</t>
  </si>
  <si>
    <t>1872-9460</t>
  </si>
  <si>
    <t>MAR POLICY</t>
  </si>
  <si>
    <t>Mar. Pol.</t>
  </si>
  <si>
    <t>10.1016/j.marpol.2012.10.004</t>
  </si>
  <si>
    <t>Environmental Studies; International Relations</t>
  </si>
  <si>
    <t>Environmental Sciences &amp; Ecology; International Relations</t>
  </si>
  <si>
    <t>124ID</t>
  </si>
  <si>
    <t>WOS:000317456100008</t>
  </si>
  <si>
    <t>Pereira, F; Kerkar, S; Krishnan, KP</t>
  </si>
  <si>
    <t>Pereira, Flory; Kerkar, Savita; Krishnan, K. P.</t>
  </si>
  <si>
    <t>Bacterial response to dynamic metal concentrations in the surface sediments of a solar saltern (Goa, India)</t>
  </si>
  <si>
    <t>Solar saltern; Sediment; Metals; Bacteria</t>
  </si>
  <si>
    <t>HEAVY-METALS; MANDOVI ESTUARY; WEST-COAST; POLLUTION; RIVER; TRACE; ELEMENTS; COPPER; SOILS; LEAD</t>
  </si>
  <si>
    <t>The Ribandar solar saltern, situated adjacent to the Mandovi estuary is influenced by the barge transport of ferromanganese ore to the Mormugao harbour (Arabian Sea). The current study focuses on the distribution of metals and related heterotrophic bacterial populations in the surface sediments (0-10 cm) of the Ribandar salterns (Goa, India) during the salt-making (January to May) and non salt-making seasons (August and November). The concentrations of heavy metals in the sediments ranged from 17.2 +/- 2.8 to 26.3 +/- 6.7 % Fe; 0.6 +/- 0.2 to 0.9 +/- 0.2 % Mn; 27.6 +/- 7.3 to 51 +/- 8.3 ppm Ni; 28.4 +/- 8.9 to 35.2 +/- 10.6 ppm Co; 44 +/- 21.6 to 62.8 +/- 23.6 ppm Zn; 0.1 +/- 0.01 ppm Cd and 1.7 +/- 0.1 to 2.6 +/- 0.7 ppm Pb and were much higher than those reported at the same site in a previous study by Kerkar (2004). Hg concentrations were below detection limits. In general, computation of geoaccumulation index revealed the sediments as 'uncontaminated to moderately contaminated' with Fe, Mn, Ni, Co, Pb and Zn during the salt-making season. The abundance of metal-tolerant bacteria was comparatively restricted to the salt-making season and was higher than the non salt-making season. Fe-, Mn-, Ni-, Co- and Pb- (200 ppm) tolerant bacteria were retrieved and restricted to the surface sediments (0-5 cm), Cd and Fe being the two most regulatory elements governing bacterial populations in the non salt-making season. However, during the salt-making season, the concentration of Zn was found to be pivotal in regulating the counts of Fe-, Mn- and Ni-tolerant bacteria. In general, the strength of correlation of metals and microbes was higher in the non salt-making season as compared to the salt-making season. This would probably indicate metal-induced limitations in microbial populations in the non salt-making season and the absence of this effect during the salt-making season. In this study, we test the hypothesis that solar salterns behave as ecological sinks with a potential to transform native bacterial populations to metal-resistant strains, in relation to the dynamic changes in the surrounding metal concentrations.</t>
  </si>
  <si>
    <t>[Pereira, Flory; Kerkar, Savita] Goa Univ, Dept Biotechnol, Taleigao Plateau, Goa, India; [Krishnan, K. P.] Natl Ctr Antarctic &amp; Ocean Res, Vasco Da Gama, Goa, India</t>
  </si>
  <si>
    <t>Goa University; Ministry of Earth Sciences (MoES) - India; National Centre for Polar and Ocean Research (NCPOR)</t>
  </si>
  <si>
    <t>Kerkar, S (corresponding author), Goa Univ, Dept Biotechnol, Taleigao Plateau, Goa, India.</t>
  </si>
  <si>
    <t>drsavitakerkar@gmail.com</t>
  </si>
  <si>
    <t>P, Krishnan K/ABF-8783-2020</t>
  </si>
  <si>
    <t>, K. P. Krishnan/0000-0003-1101-657X; Pereira, Flory/0000-0002-3355-4830</t>
  </si>
  <si>
    <t>1573-2959</t>
  </si>
  <si>
    <t>10.1007/s10661-012-2814-7</t>
  </si>
  <si>
    <t>117QP</t>
  </si>
  <si>
    <t>WOS:000316968500003</t>
  </si>
  <si>
    <t>Molina-Montenegro, MA; Ricote-Martínez, N; Muñoz-Ramírez, C; Gómez-González, S; Torres-Díaz, C; Salgado-Luarte, C; Gianoli, E</t>
  </si>
  <si>
    <t>Molina-Montenegro, Marco A.; Ricote-Martinez, Natalia; Munoz-Ramirez, Carlos; Gomez-Gonzalez, Susana; Torres-Diaz, Cristian; Salgado-Luarte, Cristian; Gianoli, Ernesto</t>
  </si>
  <si>
    <t>Positive interactions between the lichen Usnea antarctica (Parmeliaceae) and the native flora in Maritime Antarctica</t>
  </si>
  <si>
    <t>JOURNAL OF VEGETATION SCIENCE</t>
  </si>
  <si>
    <t>Antarctica; Deschampsia antarctica; Facilitation; Global warming; Lichens; Mosses; Nurse effect</t>
  </si>
  <si>
    <t>COLOBANTHUS-QUITENSIS; DESCHAMPSIA-ANTARCTICA; PLANT INTERACTIONS; VASCULAR PLANTS; CUSHION PLANTS; GLOBAL CHANGE; NURSE PLANTS; ICE-SHEET; FACILITATION; ALPINE</t>
  </si>
  <si>
    <t>Questions Is the macrolichen Usnea antarctica a nurse' species to Antarctic flora? Are positive plantplant interactions more frequent than negative interactions in Antarctic ecosystems? Are microclimatic modifications by cushions of U.antarctica responsible for the nurse effect? Location Two sites in Antarctica: King George Island, South Shetland (62 degrees 11S, 58 degrees 56W; 62 degrees 11S, 58 degrees 59W). Methods We evaluated the association of plant species with U.antarctica cushions by recording species growing in equivalent areas within and outside U.antarctica cushions. Additionally, we performed transplant experiments with Deschampsia antarctica individuals to assess if U.antarctica cushions enhance plant survival. In both study sites we monitored temperature, moisture and nutrient status of soil outside and within the cushions to provide insights into potential mechanisms underlying possible interactions between U.antarctica and other plant species. Results Eight out of 13 species were positively associated with cushions of the widespread lichen U.antarctica, while only one species (U.aurantiaco-atra) showed a negative association with U.antarctica. Survival of Deschampsia was enhanced when growing associated with U.antarctica cushions. Our results indicate that cushions ameliorated the extreme conditions of Antarctic islands through increased temperature and soil moisture, decreased radiation and evaporative water loss and increased nutrient availability. Conclusions The nurse effect of U.antarctica is verified. Cushions of this macrolichen may be a key component in structuring the Antarctic landscape and maintaining local species richness, and their presence might influence range expansion of other species.</t>
  </si>
  <si>
    <t>[Molina-Montenegro, Marco A.] Univ Catolica Norte, Fac Ciencias Mar, CEAZA, Larrondo 1281, Coquimbo, Chile; [Ricote-Martinez, Natalia] Pontificia Univ Catolica Chile, Dept Ecol, Santiago, Chile; [Munoz-Ramirez, Carlos] Univ Concepcion, Dept Zool, Concepcion, Chile; [Gomez-Gonzalez, Susana; Torres-Diaz, Cristian] Univ Bio Bio, Dept Ciencias Basicas, Chillan, Chile; [Salgado-Luarte, Cristian; Gianoli, Ernesto] Univ La Serena, Dept Biol, La Serena, Chile; [Gianoli, Ernesto] Univ Concepcion, Dept Bot, Concepcion, Chile; [Gianoli, Ernesto] Pontificia Univ Catolica Chile, Ctr Adv Studies Ecol &amp; Biodivers, Santiago, Chile</t>
  </si>
  <si>
    <t>Universidad Catolica del Norte; Pontificia Universidad Catolica de Chile; Universidad de Concepcion; Universidad del Bio-Bio; Universidad de La Serena; Universidad de Concepcion; Pontificia Universidad Catolica de Chile</t>
  </si>
  <si>
    <t>Molina-Montenegro, MA (corresponding author), Univ Catolica Norte, Fac Ciencias Mar, CEAZA, Larrondo 1281, Coquimbo, Chile.</t>
  </si>
  <si>
    <t>marco.molina@ceaza.cl; natyricote@gmail.com; carlos.munoz@udec.cl; sgomez@ubiobio.cl; crtorres@ubiobio.cl; crisalga@gmail.com; egianoli@userena.cl</t>
  </si>
  <si>
    <t>GOMEZ-GONZALEZ, SUSANA/J-7637-2018; Ricote, Natalia/IWD-8505-2023; Gómez-González, Susana/AAL-2631-2021; Muñoz-Ramirez, Carlos/F-8969-2012; Gianoli, Ernesto/A-7984-2015</t>
  </si>
  <si>
    <t>GOMEZ-GONZALEZ, SUSANA/0000-0002-3779-8701; Gómez-González, Susana/0000-0002-3779-8701; Muñoz-Ramirez, Carlos/0000-0003-1348-5476; Ricote, Natalia/0000-0003-3378-6102; Molina-Montenegro, Marco/0000-0001-6801-8942; Gianoli, Ernesto/0000-0003-4246-8640; Torres Diaz, Cristian/0000-0002-5741-5288</t>
  </si>
  <si>
    <t>Chilean Antarctic Institute (INACH) [T-14-08]</t>
  </si>
  <si>
    <t>Chilean Antarctic Institute (INACH)</t>
  </si>
  <si>
    <t>We are grateful to Fernando Carrasco-Urra for assistance in the field. We acknowledge the financial and logistic support of the Chilean Antarctic Institute (INACH project T-14-08).</t>
  </si>
  <si>
    <t>1100-9233</t>
  </si>
  <si>
    <t>1654-1103</t>
  </si>
  <si>
    <t>J VEG SCI</t>
  </si>
  <si>
    <t>J. Veg. Sci.</t>
  </si>
  <si>
    <t>10.1111/j.1654-1103.2012.01480.x</t>
  </si>
  <si>
    <t>Plant Sciences; Ecology; Forestry</t>
  </si>
  <si>
    <t>Plant Sciences; Environmental Sciences &amp; Ecology; Forestry</t>
  </si>
  <si>
    <t>118IF</t>
  </si>
  <si>
    <t>WOS:000317018300007</t>
  </si>
  <si>
    <t>Bagniewska, JM; Hart, T; Harrington, LA; Macdonald, DW</t>
  </si>
  <si>
    <t>Bagniewska, Joanna M.; Hart, Tom; Harrington, Lauren A.; Macdonald, David W.</t>
  </si>
  <si>
    <t>Hidden Markov analysis describes dive patterns in semiaquatic animals</t>
  </si>
  <si>
    <t>BEHAVIORAL ECOLOGY</t>
  </si>
  <si>
    <t>American mink; foraging strategy; hidden Markov model; mustelid; shallow diving; small bodied; time-depth recorder</t>
  </si>
  <si>
    <t>MINK MUSTELA-VISON; PENGUINS APTENODYTES-PATAGONICUS; FLIGHT SEARCH PATTERNS; ANTARCTIC FUR SEALS; NORTH-AMERICAN MINK; DIVING BEHAVIOR; POSITIONAL ENTROPY; MOVEMENT PATTERNS; FORAGING BEHAVIOR; LEVY</t>
  </si>
  <si>
    <t>Existing methods of dive analysis, developed for fully aquatic animals, tend to focus on frequency of behaviors rather than transitions between them. They, therefore, do not account for the variability of behavior of semiaquatic animals, and the switching between terrestrial and aquatic environments. This is the first study to use hidden Markov models (HMM) to divide dives of a semiaquatic animal into clusters and thus identify the environmental predictors of transition between behavioral modes. We used 18 existing data sets of the dives of 14 American mink (Neovison vison) fitted with time-depth recorders in lowland England. Using HMM, we identified 3 behavioral states (1, temporal cluster of dives; 2, more loosely aggregated diving within aquatic activity; and 3, terminal dive of a cluster or a single, isolated dive). Based on the higher than expected proportion of dives in State 1, we conclude that mink tend to dive in clusters. We found no relationship between temperature and the proportion of dives in each state or between temperature and the rate of transition between states, meaning that in our study area, mink are apparently not adopting different diving strategies at different temperatures. Transition analysis between states has shown that there is no correlation between ambient temperature and the likelihood of mink switching from one state to another, that is, changing foraging modes. The variables provided good discrimination and grouped into consistent states well, indicating promise for further application of HMM and other state transition analyses in studies of semiaquatic animals.</t>
  </si>
  <si>
    <t>[Bagniewska, Joanna M.; Harrington, Lauren A.; Macdonald, David W.] Univ Oxford, Recanati Kaplan Ctr, Dept Zool, Wildlife Conservat Res Unit, Tubney OX13 5QL, Oxon, England; [Hart, Tom] Univ Oxford, Dept Zool, Oxford OX1 3PS, England</t>
  </si>
  <si>
    <t>University of Oxford; University of Oxford</t>
  </si>
  <si>
    <t>Bagniewska, JM (corresponding author), Univ Oxford, Recanati Kaplan Ctr, Dept Zool, Wildlife Conservat Res Unit, Tubney House,Abingdon Rd, Tubney OX13 5QL, Oxon, England.</t>
  </si>
  <si>
    <t>joanna.bagniewska@zoo.ox.ac.uk</t>
  </si>
  <si>
    <t>Bagniewska, Joanna Maria/P-6260-2014; Bagniewska, Joanna/ABC-7427-2020</t>
  </si>
  <si>
    <t>Bagniewska, Joanna Maria/0000-0001-8512-2215; Bagniewska, Joanna/0000-0001-8512-2215</t>
  </si>
  <si>
    <t>Fundacja Crescendum Est-Polonia</t>
  </si>
  <si>
    <t>This work was supported by Fundacja Crescendum Est-Polonia through a scholarship for J.M.B.</t>
  </si>
  <si>
    <t>OXFORD UNIV PRESS INC</t>
  </si>
  <si>
    <t>CARY</t>
  </si>
  <si>
    <t>JOURNALS DEPT, 2001 EVANS RD, CARY, NC 27513 USA</t>
  </si>
  <si>
    <t>1045-2249</t>
  </si>
  <si>
    <t>1465-7279</t>
  </si>
  <si>
    <t>BEHAV ECOL</t>
  </si>
  <si>
    <t>Behav. Ecol.</t>
  </si>
  <si>
    <t>10.1093/beheco/ars217</t>
  </si>
  <si>
    <t>Behavioral Sciences; Biology; Ecology; Zoology</t>
  </si>
  <si>
    <t>Behavioral Sciences; Life Sciences &amp; Biomedicine - Other Topics; Environmental Sciences &amp; Ecology; Zoology</t>
  </si>
  <si>
    <t>122LR</t>
  </si>
  <si>
    <t>WOS:000317320100015</t>
  </si>
  <si>
    <t>Huang, XC; Sun, YL; Salim, AA; Chen, ZS; Capon, RJ</t>
  </si>
  <si>
    <t>Huang, Xiao-cong; Sun, Yue-Li; Salim, Angela A.; Chen, Zhe-Sheng; Capon, Robert J.</t>
  </si>
  <si>
    <t>Parguerenes: Marine red alga bromoditerpenes as inhibitors of P-glycoprotein (ABCB1) in multidrug resistant human cancer cells</t>
  </si>
  <si>
    <t>BIOCHEMICAL PHARMACOLOGY</t>
  </si>
  <si>
    <t>Parguerene; P-glycoprotein; Multidrug resistance; ABC transporter; Inhibitor</t>
  </si>
  <si>
    <t>DIFFERENTIAL IMMUNOREACTIVITY; CYCLOSPORINE-A; ASSAY; CYTOTOXICITY; DAUNORUBICIN; VINCRISTINE; MODULATOR; VERAPAMIL; PSC-833</t>
  </si>
  <si>
    <t>High intrinsic or acquired expression of membrane spanning, adenosine triphosphate binding cassette (ABC) transporter proteins, such as P-glycoprotein (P-gp), in cancers represents a major impediment to chemotherapy, with accelerated drug efflux leading to multi-drug resistance (MDR). Although ABC transporter inhibitors offer the prospect of reversing the MDR phenotype, no inhibitors have advanced to the clinic. We employed a range of intracellular fluorescence and radio-ligand accumulation and efflux assays, together with cytotoxicity and MDR reversal assays, as well as flow cytometry, fluorescence microscopy and radioimmunoprecipitation, to discover and evaluate new P-gp inhibitors from a unique library of southern Australian and Antarctic marine natural products. This study successfully characterized two rare bromoditerpenes, parguerenes I and II, sourced from a southern Australian collection of the red alga Laurencia filiformis, as P-gp inhibitors. We determined that the parguerenes were non-cytotoxic, dose-dependent inhibitors of P-gp mediated drug efflux, that modify the extracellular antibody binding epitope of P-gp in a manner that differs markedly from that of the known inhibitors verapamil and cyclosporine A. We confirmed that parguerenes were capable of reversing P-gp mediated vinblastine, doxorubicin and paclitaxel MDR, that inhibitory properties span both P-gp and multidrug resistant protein 1 (MRP1), but do not extend to breast cancer resistance protein (BCRP), and that parguerene II is superior (more potent) to verapamil. Our investigations validate the proposition that marine natural products can deliver new ABC transporter inhibitor scaffolds, with structure characteristics fundamentally different from existing inhibitor classes. (C) 2013 Elsevier Inc. All rights reserved.</t>
  </si>
  <si>
    <t>[Huang, Xiao-cong; Salim, Angela A.; Capon, Robert J.] Univ Queensland, Inst Mol Biosci, Div Chem &amp; Struct Biol, Brisbane, Qld 4072, Australia; [Sun, Yue-Li; Chen, Zhe-Sheng] St Johns Univ, Coll Pharm &amp; Hlth Sci, Dept Pharmaceut Sci, Jamaica, NY 11439 USA; [Sun, Yue-Li] Sun Yat Sen Univ, Ctr Canc, State Key Lab Oncol South China, Guangzhou 510060, Guangdong, Peoples R China</t>
  </si>
  <si>
    <t>University of Queensland; Saint John's University; State Key Lab Oncology South China; Sun Yat Sen University</t>
  </si>
  <si>
    <t>Capon, RJ (corresponding author), Univ Queensland, Inst Mol Biosci, Div Chem &amp; Struct Biol, Brisbane, Qld 4072, Australia.</t>
  </si>
  <si>
    <t>Chenz@stjohns.edu; r.capon@uq.edu.au</t>
  </si>
  <si>
    <t>sun, chen/JCP-0396-2023; Capon, Robert/G-9238-2012; Salim, Angela/J-4884-2014</t>
  </si>
  <si>
    <t>Capon, Robert/0000-0002-8341-7754; Salim, Angela/0000-0002-8177-5689; Chen, Zhe-Sheng/0000-0002-8289-097X</t>
  </si>
  <si>
    <t>University of Queensland; Institute for Molecular Bioscience</t>
  </si>
  <si>
    <t>University of Queensland(University of Queensland); Institute for Molecular Bioscience</t>
  </si>
  <si>
    <t>We thank Susan E. Bates and Robert W. Robey (NCE, NIH, Bethesda, MD) for providing FTC, HEK293/pcDNA3.1, HEK293/ABCB1, SW620 and SW620 Ad300, Mary Debawy (USyd) for providing CCRF-CEM and CEM/VLB100, and Johan Allen (USyd) and Piet Borst (NCI, Amsterdam, Netherlands) for providing 2008 and 2008/MRP. X.-C. Huang acknowledges the provision of International Postgraduate Scholarship from The University of Queensland. This work was partially funded by The Institute for Molecular Bioscience and The University of Queensland.</t>
  </si>
  <si>
    <t>0006-2952</t>
  </si>
  <si>
    <t>1873-2968</t>
  </si>
  <si>
    <t>BIOCHEM PHARMACOL</t>
  </si>
  <si>
    <t>Biochem. Pharmacol.</t>
  </si>
  <si>
    <t>MAY 1</t>
  </si>
  <si>
    <t>10.1016/j.bcp.2013.02.005</t>
  </si>
  <si>
    <t>122LZ</t>
  </si>
  <si>
    <t>WOS:000317320900006</t>
  </si>
  <si>
    <t>Jana, PK; Saha, I; Sarkar, D</t>
  </si>
  <si>
    <t>Jana, P. K.; Saha, I.; Sarkar, D.</t>
  </si>
  <si>
    <t>Effect of ozone decline on night airglow intensity of Na 5893 Å at Nagpur (23°N, 72.5°E), India and Halley Bay (76°S, 27°W)</t>
  </si>
  <si>
    <t>INDIAN JOURNAL OF PHYSICS</t>
  </si>
  <si>
    <t>Ozone depletion; Airglow emission; Excitation mechanism; Intensity</t>
  </si>
  <si>
    <t>TOTAL COLUMN OZONE; LI 6708 ANGSTROM; SEASONAL-VARIATION; EMISSION; DEPLETION; CALCUTTA; KOLKATA; TREND</t>
  </si>
  <si>
    <t>A critical analysis has been made on the long-term yearly and seasonal variation of ozone concentration at Nagpur (23(o)N, 72.5(o)E), India and Halley Bay (76(o)S, 27(o)W), a British Antarctic Survey Station. The effect of O-3 depletion on night airglow emission of Na 5893 line at Nagpur and Halley Bay has been studied. Calculations based on chemical kinetics show that the airglow intensity of Na 5893 line has also been affected due to the depletion of O-3 concentration. The yearly variations and seasonal variations of intensity of Na 5893 line for the above two stations have been shown and compared. It has been observed that the rate of decrease of intensity of Na 5893 line is comparatively more at Halley Bay due to dramatic decrease of Antarctic O-3 concentration than that at Nagpur.</t>
  </si>
  <si>
    <t>[Jana, P. K.] Inst Educ PG Women, Dept Chem, Hooghly 712138, W Bengal, India; [Saha, I.] Metia High Sch HS, Dept Chem, Parganas 743437, W Bengal, India; [Sarkar, D.] Howrah Zilla Sch, Dept Chem, Howrah 711101, W Bengal, India</t>
  </si>
  <si>
    <t>Jana, PK (corresponding author), Inst Educ PG Women, Dept Chem, Hooghly 712138, W Bengal, India.</t>
  </si>
  <si>
    <t>pkjjngl@yahoo.co.in</t>
  </si>
  <si>
    <t>INDIAN ASSOC CULTIVATION SCIENCE</t>
  </si>
  <si>
    <t>KOLKATA</t>
  </si>
  <si>
    <t>INDIAN J PHYSICS, JADAVPUR, KOLKATA 700 032, INDIA</t>
  </si>
  <si>
    <t>0973-1458</t>
  </si>
  <si>
    <t>0974-9845</t>
  </si>
  <si>
    <t>INDIAN J PHYS</t>
  </si>
  <si>
    <t>Indian J. Phys.</t>
  </si>
  <si>
    <t>10.1007/s12648-012-0244-6</t>
  </si>
  <si>
    <t>122FR</t>
  </si>
  <si>
    <t>WOS:000317304100001</t>
  </si>
  <si>
    <t>Dadic, R; Mott, R; Lehning, M; Carenzo, M; Anderson, B; Mackintosh, A</t>
  </si>
  <si>
    <t>Dadic, Ruzica; Mott, Rebecca; Lehning, Michael; Carenzo, Marco; Anderson, Brian; Mackintosh, Andrew</t>
  </si>
  <si>
    <t>Sensitivity of turbulent fluxes to wind speed over snow surfaces in different climatic settings</t>
  </si>
  <si>
    <t>Turbulent uxes sensitivity; Energy balance; Wind speed; Snow and Ice; Glacier mass balance</t>
  </si>
  <si>
    <t>ATMOSPHERIC BOUNDARY-LAYER; COVER ENERGY-BALANCE; PROFILE RELATIONSHIPS; STRONG STABILITY; TRANSPORT MODEL; ROCKY-MOUNTAINS; BLOWING-SNOW; MASS-BALANCE; HEAT; TEMPERATURE</t>
  </si>
  <si>
    <t>Local wind speed variations influence the energy and mass fluxes over snow through snow accumulation, sublimation of drifting and blowing snow, or variations in turbulent fluxes over static snow and ice surfaces. We use idealized model experiments to analyze the sensitivity of turbulent fluxes over static snow surfaces to variations in wind speed under different climatic conditions. We find that the sensitivity (change in the turbulent flux per change of unit wind speed) increases with increasing air temperature and relative humidity. The sensitivity of turbulent fluxes to wind speed is highest when the stability parameter zeta = 1, which occurs at wind speeds typical for glacierized catchments (3-5 m s(-1)), and exponentially decreases either side of that range. That peak insensitivity is caused by atmospheric stability corrections in the model, and occurs independently of the flux-profile relationships we tested. Our results quantify the significant effect of local wind speed variations on turbulent fluxes over snow and ice and can be used to estimate potential model uncertainties indifferent climates, especially for the typical assumption in distributed hydrological models that the wind speed is spatially constant. (c) 2012 Elsevier Ltd. All rights reserved.</t>
  </si>
  <si>
    <t>[Dadic, Ruzica; Anderson, Brian; Mackintosh, Andrew] Victoria Univ Wellington, Antarctic Res Ctr, Wellington, New Zealand; [Mott, Rebecca; Lehning, Michael] SLF, WSL Inst Snow &amp; Avalanche Res, CH-7260 Davos, Switzerland; [Lehning, Michael] Ecole Polytech Fed Lausanne, Sch Architecture Civil &amp; Environm Engn, CH-1015 Lausanne, Switzerland; [Carenzo, Marco] ETH, Inst Environm Engn, Zurich, Switzerland</t>
  </si>
  <si>
    <t>Victoria University Wellington; Swiss Federal Institutes of Technology Domain; Swiss Federal Institute for Forest, Snow &amp; Landscape Research; Swiss Federal Institutes of Technology Domain; Ecole Polytechnique Federale de Lausanne; Swiss Federal Institutes of Technology Domain; ETH Zurich</t>
  </si>
  <si>
    <t>Dadic, R (corresponding author), Victoria Univ Wellington, Antarctic Res Ctr, POB 600, Wellington, New Zealand.</t>
  </si>
  <si>
    <t>ruzica.dadic@vuw.ac.nz</t>
  </si>
  <si>
    <t>Dadic, Ruzica/O-4458-2019; Lehning, Michael/AFS-9462-2022; Mott, Rebecca/T-6907-2017</t>
  </si>
  <si>
    <t>Lehning, Michael/0000-0002-8442-0875; Dadic, Ruzica/0000-0003-1303-1896; Mackintosh, Andrew/0000-0002-6430-4711; Mott, Rebecca/0000-0002-6389-7703</t>
  </si>
  <si>
    <t>Swiss National Science Foundation; Center for Environment and Sustainability CCES (SwissEx)</t>
  </si>
  <si>
    <t>Swiss National Science Foundation(Swiss National Science Foundation (SNSF)); Center for Environment and Sustainability CCES (SwissEx)</t>
  </si>
  <si>
    <t>We thank Javier G. Corripio for providing the energy balance model SnowDEM and for his help with the model and Paolo Burlando for providing the framework for research on the Haut Glacier d'Arolla. This manuscript was improved through numerous discussions with Huw Horgan and by the constructive comments of two anonymous reviewers. Funding for this research has been provided by the Swiss National Science Foundation (R. Dadic, R. Mott) and the Center for Environment and Sustainability CCES (SwissEx: R. Mott).</t>
  </si>
  <si>
    <t>10.1016/j.advwatres.2012.06.010</t>
  </si>
  <si>
    <t>WOS:000318605000016</t>
  </si>
  <si>
    <t>Jung, J; Seo, H; Lee, SH; Jeon, CO; Park, W</t>
  </si>
  <si>
    <t>Jung, Jaejoon; Seo, Hyoju; Lee, Se Hee; Jeon, Che Ok; Park, Woojun</t>
  </si>
  <si>
    <t>The effect of toxic malachite green on the bacterial community in Antarctic soil and the physiology of malachite green-degrading Pseudomonas sp MGO</t>
  </si>
  <si>
    <t>Microbial community; Toxicity; Biodegradation; Decolorization; Superoxide dismutase</t>
  </si>
  <si>
    <t>INDIGENOUS MICROORGANISMS; CRYSTAL VIOLET; SP NOV.; BIODEGRADATION; TRIPHENYLMETHANE; DECOLORIZATION; GENE; DYES; AZO; DEGRADATION</t>
  </si>
  <si>
    <t>The effects of malachite green (MG) on the bacterial community in Antarctic soil were assessed. Culture-independent community analysis using 16S rRNA gene pyrosequencing showed that, in the presence of MG, the relative abundance of Pseudomonas dramatically increased from 2.2 % to 36.6 % (16.6-fold), and Pseudomonas became the predominant genus. The reduction in bacterial biodiversity was demonstrated by diversity indices and rarefaction curves. MG-degrading Pseudomonas sp. MGO was isolated from Antarctic soil. MG tolerance and decolorization activity were confirmed by growth, spectrophotometric, high-performance liquid chromatography, and thin-layer chromatography analyses in high MG concentrations. Our data showed that the decolorization process occurred via biodegradation, while biosorption also occurred after some time during the fed-batch decolorization process. Significant inductions in laccase, nicotinamide adenine dinucleotide-2,6 dichlorophenol indophenol reductase, and MG reductase activities suggested their involvement in the decolorization process. We also showed that the high tolerance of strain MGO to toxic MG might be mediated by upregulation of oxidative stress defense systems such as superoxide dismutase and protease. Collectively, these results demonstrated the response of the Antarctic soil bacterial community to MG and provided insight into the molecular mechanism of MG-tolerant Pseudomonas strains isolated from Antarctic soil.</t>
  </si>
  <si>
    <t>[Jung, Jaejoon; Seo, Hyoju; Park, Woojun] Korea Univ, Dept Environm Sci &amp; Ecol Engn, Seoul 136713, South Korea; [Lee, Se Hee; Jeon, Che Ok] Chung Ang Univ, Dept Life Sci, Seoul 156756, South Korea</t>
  </si>
  <si>
    <t>Korea University; Chung Ang University</t>
  </si>
  <si>
    <t>Park, W (corresponding author), Korea Univ, Dept Environm Sci &amp; Ecol Engn, Seoul 136713, South Korea.</t>
  </si>
  <si>
    <t>wpark@korea.ac.kr</t>
  </si>
  <si>
    <t>MEST/NRF program [2012-005277]; LG Yonam Foundation, Seoul, South Korea</t>
  </si>
  <si>
    <t>MEST/NRF program(National Research Foundation of KoreaMinistry of Education, Science &amp; Technology (MEST), Republic of Korea); LG Yonam Foundation, Seoul, South Korea</t>
  </si>
  <si>
    <t>This work was supported by a grant (2012-005277) from the MEST/NRF program. Dr. W. Park was supported by the LG Yonam Foundation, Seoul, South Korea.</t>
  </si>
  <si>
    <t>10.1007/s00253-012-4669-9</t>
  </si>
  <si>
    <t>141HQ</t>
  </si>
  <si>
    <t>WOS:000318716700026</t>
  </si>
  <si>
    <t>Atkinson, DM; Treitz, P</t>
  </si>
  <si>
    <t>Atkinson, David M.; Treitz, Paul</t>
  </si>
  <si>
    <t>Modeling Biophysical Variables across an Arctic Latitudinal Gradient Using High Spatial Resolution Remote Sensing Data David M. Atkinson and Paul Treitz</t>
  </si>
  <si>
    <t>TUNDRA VEGETATION; NITROGEN-FIXATION; CLIMATE-CHANGE; CO2 EXCHANGE; SATELLITE IMAGERY; FUNCTIONAL TYPES; NORTHERN ALASKA; CARBON; COVER; NDVI</t>
  </si>
  <si>
    <t>Biophysical variables have both direct and indirect effects on the uptake and release of carbon dioxide (CO2) within tundra ecosystems. Arctic landscape shows high levels of spatial heterogeneity. High spatial-resolution remote sensing data has the ability to capture the fine-grain spectral response of various biophysical variables at the landscape scale. To accurately model CO2 flux patterns using remote sensing data we first need to model the relationships between biophysical variables and their spectral response. In this study we model percent vegetation cover (PVC), aboveground biomass (AGB), and soil moisture using high spatial-resolution (IKONOS 4 m) normalized difference vegetation index (NDVI) values. At two non-overlapping Arctic landscape sites statistically robust landscape-scale sampling procedures were used to characterize the biophysical variables. NDVI values were extracted from IKONOS data, and linear bivariate regression models were calibrated and validated using a k-fold cross-validation technique. PVC and percent soil moisture produced the strongest and most consistent results (r(2) &gt;= .84 and .73, respectively). Analysis of covariance tested the use of common models for each site. The models were not coincidental combining data from various sites should be done with caution but illustrated parallelism in that NDVI responds to each biophysical variable equally, regardless of site.</t>
  </si>
  <si>
    <t>[Atkinson, David M.] Ryerson Univ, Dept Geog, Toronto, ON M5B 2K3, Canada; [Treitz, Paul] Queens Univ, Dept Geog, Kingston, ON K7L 3N6, Canada</t>
  </si>
  <si>
    <t>Toronto Metropolitan University; Queens University - Canada</t>
  </si>
  <si>
    <t>Atkinson, DM (corresponding author), Ryerson Univ, Dept Geog, Toronto, ON M5B 2K3, Canada.</t>
  </si>
  <si>
    <t>datkinson@ryerson.ca</t>
  </si>
  <si>
    <t>Treitz, Paul/AFM-0165-2022</t>
  </si>
  <si>
    <t>Treitz, Paul/0000-0003-2109-9671</t>
  </si>
  <si>
    <t>Arctic Net; International Polar Year (IPY); Northern Science Training Program (NSTP); NSERC; Queen's University</t>
  </si>
  <si>
    <t>Arctic Net; International Polar Year (IPY); Northern Science Training Program (NSTP); NSERC(Natural Sciences and Engineering Research Council of Canada (NSERC)); Queen's University</t>
  </si>
  <si>
    <t>The authors would like to gratefully acknowledge financial support from Arctic Net, International Polar Year (IPY), Northern Science Training Program (NSTP), NSERC and Queen's University. Logistical support provided by the Polar Continental Shelf Project (PCSP) was instrumental in supporting this research at two distant study areas. The authors would like to thank the Drs. Scott Lamoureux and Melissa Lafreniere for the support of this research at Sanagak Lake and the Cape Bounty Arctic Watershed Observatory. The principal author would like to thank field assistants Jake Wall, Freyja Forsyth, and Shan ley Thompson for their sampling assistance in the field.</t>
  </si>
  <si>
    <t>10.1657/1938-4246-45.2.161</t>
  </si>
  <si>
    <t>WOS:000329533100001</t>
  </si>
  <si>
    <t>Carilla, J; Grau, HR; Paolini, L; Morales, M</t>
  </si>
  <si>
    <t>Carilla, Julieta; Ricardo Grau, H.; Paolini, Leonardo; Morales, Mariano</t>
  </si>
  <si>
    <t>Lake Fluctuations, Plant Productivity, and Long-Term Variability in High-Elevation Tropical Andean Ecosystems</t>
  </si>
  <si>
    <t>CLIMATE-CHANGE; SOUTHERN-OSCILLATION; SURFACE TEMPERATURES; PRECIPITATION; VEGETATION; NDVI; 20TH-CENTURY; CIRCULATION; CHACALTAYA; ALTIPLANO</t>
  </si>
  <si>
    <t>Environmental trends and ecosystems' ranges of variability are little known in tropical very high elevation Andean ecosystems (above 4400 m a.s.l.). We combined satellite image analyses and dendrochronological methods with instrumental records at lower elevation to assess changes in lake size and indices of plant productivity of subtropical high-elevation ecosystems in northern Argentina and southern Bolivia. Between 1985 and 2009, interannual lake fluctuations assessed with Landsat images were positively correlated with interannual variations in regional precipitation and de Martonne's aridity index, showing a decreasing trend in moisture availability during the period. Changes in lake size were positively correlated with radial growth of Polylepis tarapacana, and with MODIS-derived phenological parameters of enhanced vegetation index (EVI; an index of vegetation greenness) between 2001 and 2010. This indicates that water balance has a significant effect on ecosystem functioning, which is related to regional scale atmospheric circulation. A long-term tree ring chronology (starting in 1750) showed that tree growth during recent decades was lower than the last 180 years, and were comparable to growth patterns that occurred between 1775 and 1825. These results suggest that if recent climatic trends continue, long-term ranges of variability in ecosystem functioning could be exceeded.</t>
  </si>
  <si>
    <t>[Carilla, Julieta; Ricardo Grau, H.; Paolini, Leonardo] Univ Nacl Tucuman, Inst Ecol Reg, RA-4107 Yerba Buena, Tucuman, Argentina; [Morales, Mariano] Inst Argentino Nivol Glaciol &amp; Ciencias Ambiental, RA-5500 Mendoza, Argentina; [Carilla, Julieta; Ricardo Grau, H.; Paolini, Leonardo; Morales, Mariano] Consejo Nacl Invest Cient &amp; Tecn, RA-1033 Buenos Aires, DF, Argentina</t>
  </si>
  <si>
    <t>Universidad Nacional de Tucuman; Consejo Nacional de Investigaciones Cientificas y Tecnicas (CONICET)</t>
  </si>
  <si>
    <t>Carilla, J (corresponding author), Univ Nacl Tucuman, Inst Ecol Reg, CC 34, RA-4107 Yerba Buena, Tucuman, Argentina.</t>
  </si>
  <si>
    <t>julietacarilla@gmail.com</t>
  </si>
  <si>
    <t>Carilla, Julieta/KFS-6353-2024</t>
  </si>
  <si>
    <t>Carilla, Julieta/0000-0002-7034-4154; Paolini, Leonardo/0000-0001-8556-2712</t>
  </si>
  <si>
    <t>National Geographic Society [8681-09]; Argentine Research Council [CONICET-PIP 0968]; Argentinean Agency for Promotion of Science [PICT 07-246]; Directorate For Geosciences [1138881] Funding Source: National Science Foundation</t>
  </si>
  <si>
    <t>National Geographic Society(National Geographic Society); Argentine Research Council; Argentinean Agency for Promotion of Science; Directorate For Geosciences(National Science Foundation (NSF)NSF - Directorate for Geosciences (GEO))</t>
  </si>
  <si>
    <t>This study was funded by grants from the National Geographic Society (Research and Exploration grant 8681-09), Argentine Research Council (CONICET-PIP 0968), and the Argentinean Agency for Promotion of Science (PICT 07-246). Alberto Ripalta, Ezequiel Araoz, and Elvira Casagranda helped with field data collection, and Patricia Asesor helped with sample processing.</t>
  </si>
  <si>
    <t>10.1657/1938-4246-45.2.179</t>
  </si>
  <si>
    <t>WOS:000329533100002</t>
  </si>
  <si>
    <t>Raynolds, MK; Walker, DA; Verbyla, D; Munger, CA</t>
  </si>
  <si>
    <t>Raynolds, Martha K.; Walker, Donald A.; Verbyla, David; Munger, Corinne A.</t>
  </si>
  <si>
    <t>Patterns of Change within a Tundra Landscape: 22-year Landsat NDVI Trends in an Area of the Northern Foothills of the Brooks Range, Alaska</t>
  </si>
  <si>
    <t>PLANT-COMMUNITIES; CLIMATE-CHANGE; VEGETATION; HETEROGENEITY; AMPLIFICATION; TEMPERATURE; EXPANSION; CANADA</t>
  </si>
  <si>
    <t>NDVI (Normalized Difference Vegetation Index) calculated from coarse-resolution sensors has shown strong increases since the 1980s on Alaska's North Slope. Finer-resolution satellite data and ground studies are needed to understand the changes in the vegetation that are causing these increases. Analysis of an 823 km(2) area using a Landsat NDVI time series showed that the homogeneous greening at coarser scales was very heterogeneous at 30-m pixel resolution, with a strong influence due to glacial history. Small scattered patches of pixels with significant increases in NDVI occurred throughout the younger, late Pleistocene glacial deposits. On older, mid-Pleistocene deposits, increases occurred in few, larger patches of mostly tussock-sedge, dwarf-shrub, moss tundra, possibly a result of release of nutrients from thawing of ice-rich permafrost. Five percent of pixels had significant linear increases in NDVI from 1985 to 2007 (n = 6, p &lt; 0.05), while 0.4% showed significant decreases, in small patches whose causes were evident when sampled on the ground. Trends in NDVI varied by glacial history, elevation, slope, and the resulting vegetation conditions. This heterogeneity in response to climate change can be expected throughout much of the Arctic, where complex glacial histories determine existing soil and vegetation characteristics.</t>
  </si>
  <si>
    <t>[Raynolds, Martha K.; Walker, Donald A.] Univ Alaska Fairbanks, Inst Arctic Biol, Fairbanks, AK 99775 USA; [Raynolds, Martha K.; Walker, Donald A.] Univ Alaska Fairbanks, Dept Biol &amp; Wildlife, Fairbanks, AK 99775 USA; [Verbyla, David] Univ Alaska Fairbanks, Sch Nat Resources &amp; Agr Sci, Fairbanks, AK 99775 USA; [Munger, Corinne A.] Tuolumne Cty Resource Conservat Dist, Sonora, CA 95370 USA</t>
  </si>
  <si>
    <t>University of Alaska System; University of Alaska Fairbanks; University of Alaska System; University of Alaska Fairbanks; University of Alaska System; University of Alaska Fairbanks</t>
  </si>
  <si>
    <t>Raynolds, MK (corresponding author), Univ Alaska Fairbanks, Inst Arctic Biol, POB 757000, Fairbanks, AK 99775 USA.</t>
  </si>
  <si>
    <t>mkraynolds@alaska.edu</t>
  </si>
  <si>
    <t>Walker, Donald/0000-0001-9581-7811</t>
  </si>
  <si>
    <t>NSF [OPP-0120736, ARC-0531180, ARC-0902175]</t>
  </si>
  <si>
    <t>NSF(National Science Foundation (NSF))</t>
  </si>
  <si>
    <t>This work is an extension of a University of Alaska M.S. project by Corrine Munger. Thanks to Sam Dashevsky for help with field data collection. Thanks to Ken Tape and two anonymous reviewers for their comments on the manuscript. The research was funded by NSF grants for studying the Greening of the Arctic and Seasonality: NSF grants OPP-0120736, ARC-0531180, and ARC-0902175.</t>
  </si>
  <si>
    <t>10.1657/1938-4246-45.2.249</t>
  </si>
  <si>
    <t>WOS:000329533100009</t>
  </si>
  <si>
    <t>Stoy, PC; Williams, M; Evans, JG; Prieto-Blanco, A; Disney, M; Hill, TC; Ward, HC; Wade, TJ; Street, LE</t>
  </si>
  <si>
    <t>Stoy, Paul C.; Williams, Mathew; Evans, Jonathan G.; Prieto-Blanco, Ana; Disney, Mathias; Hill, Timothy C.; Ward, Helen C.; Wade, Thomas J.; Street, Lorna E.</t>
  </si>
  <si>
    <t>Upscaling Tundra CO2 Exchange from Chamber to Eddy Covariance Tower</t>
  </si>
  <si>
    <t>LEAF-AREA INDEX; CARBON-EXCHANGE; ATMOSPHERE EXCHANGE; FLUX MEASUREMENTS; SONIC ANEMOMETER; GAS-EXCHANGE; NET CARBON; ECOSYSTEM; VEGETATION; MODEL</t>
  </si>
  <si>
    <t>Extrapolating biosphere-atmosphere CO2 flux observations to larger scales in space, part of the so-called upscaling problem, is a central challenge for surface-atmosphere exchange research. Upscaling CO2 flux in tundra is complicated by the pronounced spatial variability of vegetation cover. We demonstrate that a simple model based on chamber observations with a pan-Arctic parameterization accurately describes up to 75% of the observed temporal variability of eddy covariance measured net ecosystem exchange (NEE) during the growing season in an Abisko, Sweden, subarctic tundra ecosystem, and differed from NEE observations by less than 4% for the month of June. These results contrast with previous studies that found a 60% discrepancy between upscaled chamber and eddy covariance NEE sums. Sampling an aircraft-measured normalized difference vegetation index (NDVI) map for leaf area index (L) estimates using a dynamic flux footprint model explained less of the variability of NEE across the late June to mid-September period, but resulted in a lower root mean squared error and better replicated large flux events. Findings suggest that ecosystem structure via L is a critical input for modeling CO2 flux in tundra during the growing season. Future research should focus on quantifying microclimate, namely photosynthetically active radiation and air temperature, as well as ecosystem structure via L, to accurately model growing season tundra CO2 flux at chamber and plot scales.</t>
  </si>
  <si>
    <t>[Stoy, Paul C.] Montana State Univ, Dept Land Resources &amp; Environm Sci, Bozeman, MT 59717 USA; [Williams, Mathew; Wade, Thomas J.] Univ Edinburgh, Sch Geosci, Edinburgh EH9 3JN, Midlothian, Scotland; [Evans, Jonathan G.; Ward, Helen C.] Ctr Ecol &amp; Hydrol, Wallingford OX10 8BB, Oxon, England; [Prieto-Blanco, Ana; Disney, Mathias] UCL, Dept Geog, London WC1E 6BT, England; [Hill, Timothy C.] Univ St Andrews, Sch Geog &amp; Geosci, St Andrews KY16 9AL, Fife, Scotland; [Ward, Helen C.] Kings Coll London, Dept Geog, London WC2R 2LS, England; [Street, Lorna E.] Bangor Univ, Sch Biol Sci, Bangor LL57 2UW, Gwynedd, Wales</t>
  </si>
  <si>
    <t>Montana State University System; Montana State University Bozeman; University of Edinburgh; UK Centre for Ecology &amp; Hydrology (UKCEH); University of London; University College London; University of St Andrews; University of London; King's College London; Bangor University</t>
  </si>
  <si>
    <t>Stoy, PC (corresponding author), Montana State Univ, Dept Land Resources &amp; Environm Sci, Bozeman, MT 59717 USA.</t>
  </si>
  <si>
    <t>paul.stoy@montana.edu</t>
  </si>
  <si>
    <t>Stoy, Paul/D-3709-2011; Williams, Mathew/G-6140-2016; Disney, Mathias I/C-1889-2008</t>
  </si>
  <si>
    <t>Stoy, Paul/0000-0002-6053-6232; Williams, Mathew/0000-0001-6117-5208; Disney, Mathias/0000-0002-2407-4026; Street, Lorna E/0000-0001-9570-7479; Ward, Helen/0000-0001-8881-185X</t>
  </si>
  <si>
    <t>U.S. National Science Foundation [OPP-0096523, OPP-0352897, DEB-0087046, DEB-00895825]; University of Edinburgh; Natural Environment Research Council (NERC) [NE/D005922/1]; NERC Field Spectroscopy Facility [FSF]; Marie Curie European Incoming International Fellowship [237348]; National Science Foundation [1021095]; Montana State University; NERC [NE/R016518/1, earth010003, nceo020005, NE/K000292/1, NE/D005922/1] Funding Source: UKRI; Natural Environment Research Council [nceo020005, ceh010023, NE/K000292/1, NE/R016518/1, NE/D005922/1, earth010003] Funding Source: researchfish; Direct For Biological Sciences; Division Of Environmental Biology [1021095] Funding Source: National Science Foundation</t>
  </si>
  <si>
    <t>U.S. National Science Foundation(National Science Foundation (NSF)); University of Edinburgh; Natural Environment Research Council (NERC)(UK Research &amp; Innovation (UKRI)Natural Environment Research Council (NERC)); NERC Field Spectroscopy Facility [FSF]; Marie Curie European Incoming International Fellowship(European Union (EU)); National Science Foundation(National Science Foundation (NSF)); Montana State University; NERC(UK Research &amp; Innovation (UKRI)Natural Environment Research Council (NERC)); Natural Environment Research Council(UK Research &amp; Innovation (UKRI)Natural Environment Research Council (NERC)); Direct For Biological Sciences; Division Of Environmental Biology(National Science Foundation (NSF)NSF - Directorate for Biological Sciences (BIO))</t>
  </si>
  <si>
    <t>We acknowledge funding from the U.S. National Science Foundation (grant numbers OPP-0096523, OPP-0352897, DEB-0087046, and DEB-00895825), University of Edinburgh, and Natural Environment Research Council (NERC) (award NE/D005922/1 for the ABACUS consortium; award 03/17 for the NERC ARSF flight that carried the ATM sensor; and support from the NERC Field Spectroscopy Facility [FSF] for the ASD instrument). Stoy acknowledges funding from the Marie Curie European Incoming International Fellowship (project number 237348, TSURF), the National Science Foundation (Scaling Ecosystem Function: Novel Approaches from MaxEnt and Multiresolution, DBI #1021095), and Montana State University. We thank Brian Huntley for use of the Trimble dGPS, Dario Papale for providing the flux despiking algorithm, Markus Reichstein and MPI-Jena for research support, Poppy Potter for G-GEOS flight assistance, Terry Callaghan for general support, and Annika Kristofferson at Abisko Scientific Research Station for the provision of meteorological data.</t>
  </si>
  <si>
    <t>10.1657/1938-4246-45.2.275</t>
  </si>
  <si>
    <t>WOS:000329533100011</t>
  </si>
  <si>
    <t>Lee, JE; Le Roux, PC; Meiklejohn, KI; Chown, SL</t>
  </si>
  <si>
    <t>Lee, Jennifer E.; Le Roux, Peter C.; Meiklejohn, K. Ian; Chown, Steven L.</t>
  </si>
  <si>
    <t>Species distribution modelling in low-interaction environments: Insights from a terrestrial Antarctic system</t>
  </si>
  <si>
    <t>AUSTRAL ECOLOGY</t>
  </si>
  <si>
    <t>Antarctic; arthropod; biodiversity; soil moisture; species distribution model</t>
  </si>
  <si>
    <t>CLIMATE-CHANGE; VICTORIA LAND; SOIL ARTHROPODS; COMMUNITY; IMPACTS; BIODIVERSITY; DIVERSITY; PATTERNS; MOISTURE; ECOSYSTEMS</t>
  </si>
  <si>
    <t>It is widely acknowledged that in the terrestrial Antarctic, interspecific interactions are typically unimportant in determining species distributions and community structure. Therefore, correlative models should prove useful for predicting current and future spatial variation in species abundance patterns. However, this idea has not been formally tested, and the utility of such models, which have shown value for understanding the distribution of diversity elsewhere, for investigating biodiversity patterns in Antarctica remains unclear. Here we make a start at such tests by using generalized linear and simultaneous autoregressive models to demonstrate that simple environmental variables and information about the spatial structure of the environment can explain more than 90% of the variation in the abundance of Maudheimia wilsoni (Oribatida; Maudheimiidae), a representative of one of the most significant groups of Antarctic terrestrial arthropods, the mites. We show that a single environmental variable, maximum soil moisture content, can account for as much as 80% of the variance in the abundance of the mite, and that linear models with only a few environmental and spatial terms can be used to forecast the species abundance at the landscape scale. Given ongoing calls for better understanding of the distribution of Antarctic diversity and its likely future change, this initial test indicates that such modelling procedures, and more sophisticated versions thereof, hold much promise for the region and should be tested for other taxa with different life forms and habitat requirements.</t>
  </si>
  <si>
    <t>[Lee, Jennifer E.; Le Roux, Peter C.; Chown, Steven L.] Univ Stellenbosch, Dept Bot &amp; Zool, Ctr Invas Biol, ZA-7602 Matieland, South Africa; [Lee, Jennifer E.] British Antarctic Survey, Nat Environm Res Council, Cambridge CB3 0ET, England; [Meiklejohn, K. Ian] Rhodes Univ, Dept Geog, ZA-6140 Grahamstown, South Africa</t>
  </si>
  <si>
    <t>Stellenbosch University; UK Research &amp; Innovation (UKRI); Natural Environment Research Council (NERC); NERC British Antarctic Survey; Rhodes University</t>
  </si>
  <si>
    <t>Lee, JE (corresponding author), Univ Stellenbosch, Dept Bot &amp; Zool, Ctr Invas Biol, Private Bag X1, ZA-7602 Matieland, South Africa.</t>
  </si>
  <si>
    <t>jlee@sun.ac.za</t>
  </si>
  <si>
    <t>le Roux, Peter Christiaan/E-7784-2011; Meiklejohn, Ian/F-3183-2012; Chown, Steven/ABD-7646-2021; Chown, Steven/H-3347-2011</t>
  </si>
  <si>
    <t>le Roux, Peter Christiaan/0000-0002-7941-7444; Meiklejohn, Ian/0000-0001-8890-2938; Chown, Steven/0000-0001-6069-5105</t>
  </si>
  <si>
    <t>British Antarctic Survey; SANAP [SNA200704200003, SNA2005061300001]; Natural Environment Research Council [bas0100025] Funding Source: researchfish; NERC [bas0100025] Funding Source: UKRI</t>
  </si>
  <si>
    <t>British Antarctic Survey; SANAP; Natural Environment Research Council(UK Research &amp; Innovation (UKRI)Natural Environment Research Council (NERC)); NERC(UK Research &amp; Innovation (UKRI)Natural Environment Research Council (NERC))</t>
  </si>
  <si>
    <t>Bernard Coetzee provided useful comments on a previous version of this manuscript and Louise Coetzee provides taxonomic advice. The South African National Antarctic Programme and Norwegian Polar Institute are thanked for logistic support during fieldwork. This work was supported partly by the British Antarctic Survey and partly by SANAP grants SNA200704200003 and SNA2005061300001.</t>
  </si>
  <si>
    <t>1442-9985</t>
  </si>
  <si>
    <t>1442-9993</t>
  </si>
  <si>
    <t>AUSTRAL ECOL</t>
  </si>
  <si>
    <t>Austral Ecol.</t>
  </si>
  <si>
    <t>10.1111/j.1442-9993.2012.02401.x</t>
  </si>
  <si>
    <t>134CV</t>
  </si>
  <si>
    <t>WOS:000318188200005</t>
  </si>
  <si>
    <t>Christian, C; Ainley, D; Bailey, M; Dayton, P; Hocevar, J; LeVine, M; Nikoloyuk, J; Nouvian, C; Velarde, E; Werner, R; Jacquet, J</t>
  </si>
  <si>
    <t>Christian, Claire; Ainley, David; Bailey, Megan; Dayton, Paul; Hocevar, John; LeVine, Michael; Nikoloyuk, Jordan; Nouvian, Claire; Velarde, Enriqueta; Werner, Rodolfo; Jacquet, Jennifer</t>
  </si>
  <si>
    <t>A review of formal objections to Marine Stewardship Council fisheries certifications</t>
  </si>
  <si>
    <t>Certification; Eco-label; Fisheries management; Marine Stewardship Council; Sustainable seafood</t>
  </si>
  <si>
    <t>PROELSS EVALUATION; LEGAL ASSESSMENT; FISH; SUSTAINABILITY; DISTURBANCE; FROESE; GULF</t>
  </si>
  <si>
    <t>The Marine Stewardship Council (MSC) was created as a conservation tool - intended to provide the best environmental choice in seafood to consumers and to create positive incentives that would improve the status and management of fisheries. During its 15 years, the MSC, which has an annual budget of close to US$20 million, has attached its logo to more than 170 fisheries. These certifications have not occurred without protest. Despite high costs and difficult procedures, conservation organizations and other groups have filed and paid for 19 formal objections to MSC fisheries certifications. Only one objection has been upheld such that the fishery was not certified. Here, we collate and summarize these objections and the major concerns as they relate to the MSC's three main principles: sustainability of the target fish stock, low impacts on the ecosystem, and effective, responsive management. An analysis of the formal objections indicates that the MSC's principles for sustainable fishing are too lenient and discretionary, and allow for overly generous interpretation by third-party certifiers and adjudicators, which means that the MSC label may be misleading both consumers and conservation funders. (C) 2013 Elsevier Ltd. All rights reserved.</t>
  </si>
  <si>
    <t>[Christian, Claire; Werner, Rodolfo] Antarctic &amp; Southern Ocean Coalit, Washington, DC 20009 USA; [Ainley, David] HT Harvey &amp; Associates, Los Gatos, CA 95032 USA; [Bailey, Megan] Wageningen Univ, NL-6700 KN Wageningen, Netherlands; [Dayton, Paul] Univ Calif San Diego, Scripps Inst Oceanog, La Jolla, CA 92093 USA; [Hocevar, John] Greenpeace USA, Washington, DC USA; [LeVine, Michael] Oceana, Juneau, AK 99801 USA; [Nikoloyuk, Jordan] Ecol Act Ctr, Halifax, NS B3K 4L3, Canada; [Nouvian, Claire] Bloom Assoc, F-75009 Paris, France; [Velarde, Enriqueta] Univ Veracruzana, Inst Ciencias Marinas &amp; Pesquerias, Boca Del Rio 94290, Veracruz, Mexico; [Jacquet, Jennifer] NYU, New York, NY 10003 USA</t>
  </si>
  <si>
    <t>Wageningen University &amp; Research; University of California System; University of California San Diego; Scripps Institution of Oceanography; Universidad Veracruzana; New York University</t>
  </si>
  <si>
    <t>Jacquet, J (corresponding author), NYU, 285 Mercer St, New York, NY 10003 USA.</t>
  </si>
  <si>
    <t>jacquet@nyu.edu</t>
  </si>
  <si>
    <t>Bailey, Megan/0000-0002-8645-3638; NOUVIAN, Claire/0000-0002-9614-3203</t>
  </si>
  <si>
    <t>Office of Polar Programs (OPP); Directorate For Geosciences [0944411] Funding Source: National Science Foundation</t>
  </si>
  <si>
    <t>10.1016/j.biocon.2013.01.002</t>
  </si>
  <si>
    <t>164NY</t>
  </si>
  <si>
    <t>WOS:000320418000002</t>
  </si>
  <si>
    <t>le Roux, PC; Ramaswiela, T; Kalwij, JM; Shaw, JD; Ryan, PG; Treasure, AM; McClelland, GTW; McGeoch, MA; Chown, SL</t>
  </si>
  <si>
    <t>le Roux, Peter C.; Ramaswiela, Tshililo; Kalwij, Jesse M.; Shaw, Justine D.; Ryan, Peter G.; Treasure, Anne M.; McClelland, Gregory T. W.; McGeoch, Melodie A.; Chown, Steven L.</t>
  </si>
  <si>
    <t>Human activities, propagule pressure and alien plants in the sub-Antarctic: Tests of generalities and evidence in support of management</t>
  </si>
  <si>
    <t>Antarctic; Environmental change; Invasive alien species; Propagule pressure; Residence time</t>
  </si>
  <si>
    <t>PRINCE EDWARD ISLANDS; MARION ISLAND; BIOLOGICAL INVASIONS; SPECIES INVASIONS; VASCULAR PLANTS; GLOBAL PATTERNS; HUMAN IMPACTS; BIODIVERSITY; COMMUNITIES; ECOSYSTEMS</t>
  </si>
  <si>
    <t>Despite concerns about the richness of plant invaders on islands, and their likely effects on local systems, impacts of these species seem to be small. However, this may be due to an absence of information on impacts, including changing species occupancy and forecast occupancy, rather than lack of impact per se. Here we use the plant invaders on the sub-Antarctic Prince Edward Islands (PEIs) and spatially explicit modeling of presence absence survey data to demonstrate that the geographic extent of many invasives is increasing and is forecast to lead to occupancy of &gt;60% of the islands' surface area by 2060, with ongoing climate change. In keeping with theory, proximity to human activity, neighboring populations (i.e. propagule pressure) and residence time, along with more minor contributors such as elevation, explain &gt;50% of the variation in the occupancy of each of the six main invasive species on the islands. Human disturbance and changing climates seem to have led to recent increases in the rate of range expansion. Our results suggest that impacts of island plant invaders may be more significant than previously estimated, largely owing to prior data deficiency. More specifically they also suggest that control plans for the PEI (and other Southern Ocean Islands, SOIS) should first target less widely distributed species, which are invasive elsewhere. They also indicate that for the other SOIS, and for Antarctica, surveillance and anticipatory control plans should be in place. (C) 2013 Elsevier Ltd. All rights reserved.</t>
  </si>
  <si>
    <t>[le Roux, Peter C.; Ramaswiela, Tshililo; Shaw, Justine D.; Treasure, Anne M.; McClelland, Gregory T. W.] Univ Stellenbosch, Dept Bot &amp; Zool, Ctr Invas Biol, Matieland, South Africa; [Kalwij, Jesse M.] Univ Tartu, Inst Ecol &amp; Earth Sci, EE-51005 Tartu, Estonia; [Ryan, Peter G.] Univ Cape Town, DST NRF Ctr Excellence, Percy Fitzpatrick Inst African Ornithol, ZA-7701 Rondebosch, South Africa; [McGeoch, Melodie A.; Chown, Steven L.] Monash Univ, Sch Biol Sci, Clayton, Vic 3800, Australia</t>
  </si>
  <si>
    <t>Stellenbosch University; University of Tartu; Tartu University Institute of Ecology &amp; Earth Sciences; University of Cape Town; National Research Foundation - South Africa; Monash University</t>
  </si>
  <si>
    <t>Chown, SL (corresponding author), Monash Univ, Sch Biol Sci, Clayton, Vic 3800, Australia.</t>
  </si>
  <si>
    <t>steven.chown@monash.edu</t>
  </si>
  <si>
    <t>Chown, Steven/ABD-7646-2021; Kalwij, Jesse/H-2571-2012; le Roux, Peter Christiaan/E-7784-2011; McGeoch, Melodie/F-8353-2011; Chown, Steven/H-3347-2011</t>
  </si>
  <si>
    <t>Kalwij, Jesse/0000-0002-8685-9603; le Roux, Peter Christiaan/0000-0002-7941-7444; McGeoch, Melodie/0000-0003-3388-2241; Treasure, Anne/0000-0002-8345-4811; Ryan, Peter/0000-0002-3356-2056; Shaw, Justine/0000-0002-9603-2271; Chown, Steven/0000-0001-6069-5105</t>
  </si>
  <si>
    <t>National Research Foundation of South Africa [SNA2007042400003, IRF2008071500012]; European Regional Development Fund (Centre of Excellence FIBIR)</t>
  </si>
  <si>
    <t>National Research Foundation of South Africa(National Research Foundation - South Africa); European Regional Development Fund (Centre of Excellence FIBIR)(European Union (EU))</t>
  </si>
  <si>
    <t>K.I. Meiklejohn provided the DEM for Marion Island. Adriaan Dreyer, Leshia Visagie, Rob Crawford, the complement of the FRV Africana, CHC helicopters, and the Department of Environment Affairs provided field support. Two reviewers provided helpful comments. This work was supported by National Research Foundation of South Africa Grants SNA2007042400003 and IRF2008071500012.JMK was supported by the European Regional Development Fund (Centre of Excellence FIBIR). ASTER GDEM is a product of METI and NASA.</t>
  </si>
  <si>
    <t>10.1016/j.biocon.2013.02.005</t>
  </si>
  <si>
    <t>WOS:000320418000003</t>
  </si>
  <si>
    <t>Séférian, R; Bopp, L; Gehlen, M; Orr, JC; Ethé, C; Cadule, P; Aumont, O; Mélia, DSY; Voldoire, A; Madec, G</t>
  </si>
  <si>
    <t>Seferian, Roland; Bopp, Laurent; Gehlen, Marion; Orr, James C.; Ethe, Christian; Cadule, Patricia; Aumont, Olivier; Salas y Melia, David; Voldoire, Aurore; Madec, Gurvan</t>
  </si>
  <si>
    <t>Skill assessment of three earth system models with common marine biogeochemistry</t>
  </si>
  <si>
    <t>Marine biogeochemistry; Skill assessment; Earth system model; Climate; Ocean dynamics</t>
  </si>
  <si>
    <t>GENERAL-CIRCULATION MODEL; SOUTHERN-OCEAN; EXPORT PRODUCTION; ECOSYSTEM MODEL; CARBON-CYCLE; SEA; TRANSPORT; DRIVEN; WATER; PRODUCTIVITY</t>
  </si>
  <si>
    <t>We have assessed the ability of a common ocean biogeochemical model, PISCES, to match relevant modern data fields across a range of ocean circulation fields from three distinct Earth system models: IPSL-CM4-LOOP, IPSL-CM5A-LR and CNRM-CM5.1. The first of these Earth system models has contributed to the IPCC 4th assessment report, while the latter two are contributing to the ongoing IPCC 5th assessment report. These models differ with respect to their atmospheric component, ocean subgrid-scale physics and resolution. The simulated vertical distribution of biogeochemical tracers suffer from biases in ocean circulation and a poor representation of the sinking fluxes of matter. Nevertheless, differences between upper and deep ocean model skills significantly point to changes in the underlying model representations of ocean circulation. IPSL-CM5A-LR and CNRM-CM5.1 poorly represent deep-ocean circulation compared to IPSL-CM4-LOOP degrading the vertical distribution of biogeochemical tracers. However, their representations of surface wind, wind stress, mixed-layer depth and geostrophic circulations (e.g., Antarctic Circumpolar Current) have been improved compared to IPSL-CM4-LOOP. These improvements result in a better representation of large-scale structure of biogeochemical fields in the upper ocean. In particular, a deepening of 20-40 m of the summer mixed-layer depth allows to capture the 0-0.5 mu gChl L-1 concentrations class of surface chlorophyll in the Southern Ocean. Further improvements in the representation of the ocean mixed-layer and deep-ocean ventilation are needed for the next generations of models development to better simulate marine biogeochemistry. In order to better constrain ocean dynamics, we suggest that biogeochemical or passive tracer modules should be used routinely for both model development and model intercomparisons.</t>
  </si>
  <si>
    <t>[Seferian, Roland; Bopp, Laurent; Gehlen, Marion; Orr, James C.; Ethe, Christian; Cadule, Patricia] IPSL, LSCE, F-91191 Paris, France; [Seferian, Roland; Salas y Melia, David; Voldoire, Aurore] CNRS, CNRM, GAME, Meteofrance, Toulouse, France; [Ethe, Christian; Madec, Gurvan] LOCEAN, IPSL, Paris, France; [Aumont, Olivier] CNRS, IRD, LPO, Plouzane, France; [Madec, Gurvan] NOC, Southampton, Hants, England</t>
  </si>
  <si>
    <t>Universite Paris Cite; CEA; Centre National de la Recherche Scientifique (CNRS); Universite Paris Saclay; Centre National de la Recherche Scientifique (CNRS); Meteo France; Museum National d'Histoire Naturelle (MNHN); Sorbonne Universite; Universite Paris Cite; Universite de Bretagne Occidentale; Centre National de la Recherche Scientifique (CNRS); Ifremer; Institut de Recherche pour le Developpement (IRD); NERC National Oceanography Centre</t>
  </si>
  <si>
    <t>Séférian, R (corresponding author), IPSL, LSCE, Batiment 712, F-91191 Paris, France.</t>
  </si>
  <si>
    <t>roland.seferian@lsce.ipsl.fr</t>
  </si>
  <si>
    <t>Orr, James C/C-5221-2009; bopp, laurent/ABF-5302-2020; madec, gurvan/E-7825-2010; Séférian, Roland/ABD-5465-2021; Aumont, Olivier/G-5207-2016</t>
  </si>
  <si>
    <t>bopp, laurent/0000-0003-4732-4953; madec, gurvan/0000-0002-6447-4198; Séférian, Roland/0000-0002-2571-2114; Aumont, Olivier/0000-0003-3954-506X; Orr, James/0000-0002-8707-7080; Gehlen, Marion/0000-0002-9688-0692</t>
  </si>
  <si>
    <t>GENCI (Grand Equipement National de Calcul Intensif) at CCRT (Centre de Calcul Recherche et Technologie) [016178]; Meteo-France/DSI supercomputing center; EU [211384]; European Community [264879]; Natural Environment Research Council [noc010010] Funding Source: researchfish; NERC [noc010010] Funding Source: UKRI</t>
  </si>
  <si>
    <t>GENCI (Grand Equipement National de Calcul Intensif) at CCRT (Centre de Calcul Recherche et Technologie); Meteo-France/DSI supercomputing center; EU(European Union (EU)); European Community; Natural Environment Research Council(UK Research &amp; Innovation (UKRI)Natural Environment Research Council (NERC)); NERC(UK Research &amp; Innovation (UKRI)Natural Environment Research Council (NERC))</t>
  </si>
  <si>
    <t>The authors thank the four anonymous reviewers for helpful comments on the manuscript as well as the Climate team at Meteo-France and IPSL. This work was supported by GENCI (Grand Equipement National de Calcul Intensif) at CCRT (Centre de Calcul Recherche et Technologie), allocation 016178, and Meteo-France/DSI supercomputing center. This work was supported through EU FP7 project CARBOCHANGE Changes in carbon uptake and emissions by oceans in a changing climate which received funding from the European Community's Seventh Framework Programme under grant agreement no. 264879 and also EU FP7 project EPOCA (European Project on OCean Acidification) under grant agreement no. 211384.</t>
  </si>
  <si>
    <t>9-10</t>
  </si>
  <si>
    <t>10.1007/s00382-012-1362-8</t>
  </si>
  <si>
    <t>135HH</t>
  </si>
  <si>
    <t>WOS:000318278700023</t>
  </si>
  <si>
    <t>Hunter, JR; Brown, MJI</t>
  </si>
  <si>
    <t>Hunter, J. R.; Brown, M. J. I.</t>
  </si>
  <si>
    <t>Discussion of Boretti, A., 'Is there any support in the long term tide gauge data to the claims that parts of Sydney will be swamped by rising sea levels?', Coastal Engineering, 64, 161-167, June 2012</t>
  </si>
  <si>
    <t>COASTAL ENGINEERING</t>
  </si>
  <si>
    <t>Sea-level rise; Climate change; Climate projection</t>
  </si>
  <si>
    <t>Boretti (2012) claims that sea-level records show insufficient acceleration to support the projections of sea-level rise that are used worldwide for planning and policy-making. Unfortunately, his claim is based more on flawed qualitative reasoning than on quantitative analysis. We replicate Boretti's methodology of fitting quadratic functions to tide-gauge observations from Fremantle and Sydney, in order to estimate the sea-level acceleration. However, we also evaluate the uncertainty in these estimates (a crucial step, omitted by Boretti), and thereby show that the observed accelerations are statistically consistent with the projections of the Fourth Assessment Report of the Intergovernmental Panel on Climate Change. Our finding is the same when we repeat this analysis using two data sets which have smaller uncertainties, one from satellite altimeters and the other from a sea-level reconstruction. We therefore conclude that Boretti's claim is without foundation. (C) 2013 Elsevier B.V. All rights reserved.</t>
  </si>
  <si>
    <t>[Hunter, J. R.] Antarctic Climate &amp; Ecosyst Cooperat Res Ctr, Hobart, Tas 7001, Australia; Monash Univ, Sch Phys, Clayton, Vic 3800, Australia</t>
  </si>
  <si>
    <t>Antarctic Climate &amp; Ecosystems Cooperative Research Centre (ACE CRC); Monash University</t>
  </si>
  <si>
    <t>Hunter, JR (corresponding author), Antarctic Climate &amp; Ecosyst Cooperat Res Ctr, Private Bag 80, Hobart, Tas 7001, Australia.</t>
  </si>
  <si>
    <t>jrh@johnroberthunter.org</t>
  </si>
  <si>
    <t>Brown, Michael J. I./B-1181-2015</t>
  </si>
  <si>
    <t>Brown, Michael J. I./0000-0002-1207-9137</t>
  </si>
  <si>
    <t>0378-3839</t>
  </si>
  <si>
    <t>1872-7379</t>
  </si>
  <si>
    <t>COAST ENG</t>
  </si>
  <si>
    <t>Coast. Eng.</t>
  </si>
  <si>
    <t>10.1016/j.coastaleng.2012.12.003</t>
  </si>
  <si>
    <t>Engineering, Civil; Engineering, Ocean</t>
  </si>
  <si>
    <t>112HL</t>
  </si>
  <si>
    <t>WOS:000316583200001</t>
  </si>
  <si>
    <t>Chi, L; Xu, SH; Xiao, ZZ; Lin, F; Ma, DY; Zhao, CY; Xiao, YS; Liu, QH; Li, J</t>
  </si>
  <si>
    <t>Chi, Liang; Xu, Shihong; Xiao, Zhizhong; Lin, Fan; Ma, Daoyuan; Zhao, Chunyan; Xiao, Yongshuang; Liu, Qinghua; Li, Jun</t>
  </si>
  <si>
    <t>Pepsinogen A and C genes in turbot (Scophthalmus maximus): Characterization and expression in early development</t>
  </si>
  <si>
    <t>Turbot (Scophthalmus maximus); Pepsinogen A; Pepsinogen C; Functional differences; Development</t>
  </si>
  <si>
    <t>ORANGE-SPOTTED GROUPER; DIGESTIVE ENZYMES; GASTRIC-MUCOSA; ANTARCTIC FISH; EVOLUTION; IDENTIFICATION; PURIFICATION; FLOUNDER; ONTOGENY; STOMACH</t>
  </si>
  <si>
    <t>We characterized the expression patterns of pepsinogen A (tPGA) and pepsinogen C (tPGC) in turbot (Scophthalmus maximus). Quantitative expression analysis showed that tPGC was preferentially expressed in early developmental stages, and that the tPGA mRNA expression level was higher in adult fish. Full-length cDNA constructs of tPGA and tPGC were 1307 bp (from which 377 amino acids were deduced); and 1430 bp (from which 385 amino acids were deduced), respectively. The deduced proteins of tPGA and tPGC possessed signal peptides of 17 amino acids and 20 amino acids respectively. The initial transcripts of tPGA and tPGC were detected at 22 days post hatching (dph), well after the formation of gastric glands (16 dph). This suggested that the morphologic development of gastric glands was not synchronous with their functional development. In addition, tPGA and tPGC mRNAs were also expressed in muscle and ovary at much lower levels than in stomach and esophagus. The distribution of tPGA and tPGC in the turbot was investigated using in-situ hybridization, and tPGA and tPGC were first detected in the esophagus and cardiac region of the stomach, and then throughout the stomach. (C) 2013 Elsevier Inc. All rights reserved.</t>
  </si>
  <si>
    <t>[Chi, Liang; Xu, Shihong; Xiao, Zhizhong; Lin, Fan; Ma, Daoyuan; Zhao, Chunyan; Xiao, Yongshuang; Liu, Qinghua; Li, Jun] Chinese Acad Sci, Inst Oceanol, Ctr Biotechnol R&amp;D, Qingdao 266071, Peoples R China; [Chi, Liang; Lin, Fan; Zhao, Chunyan] Univ Chinese Acad Sci, Beijing 100049, Peoples R China</t>
  </si>
  <si>
    <t>Chinese Academy of Sciences; Institute of Oceanology, CAS; Chinese Academy of Sciences; University of Chinese Academy of Sciences, CAS</t>
  </si>
  <si>
    <t>Liu, QH (corresponding author), Chinese Acad Sci, Inst Oceanol, Ctr Biotechnol R&amp;D, Qingdao 266071, Peoples R China.</t>
  </si>
  <si>
    <t>qinghualiu@qdio.ac.cn; junli@qdio.ac.cn</t>
  </si>
  <si>
    <t>zhao, chunyan/HLW-0471-2023; chi, liang/GYV-5175-2022; Xiao, Yongshuang/IZQ-4902-2023</t>
  </si>
  <si>
    <t>zhao, chunyan/0000-0002-4905-0952; chi, liang/0000-0001-6878-4268;</t>
  </si>
  <si>
    <t>Modern Agro-industry Technology Research System [nycytx-50]</t>
  </si>
  <si>
    <t>Modern Agro-industry Technology Research System</t>
  </si>
  <si>
    <t>This study was supported by Modern Agro-industry Technology Research System (nycytx-50).</t>
  </si>
  <si>
    <t>10.1016/j.cbpb.2013.03.002</t>
  </si>
  <si>
    <t>137UY</t>
  </si>
  <si>
    <t>WOS:000318464900008</t>
  </si>
  <si>
    <t>Weston, K; Jickells, TD; Carson, DS; Clarke, A; Meredith, MP; Brandon, MA; Wallace, MI; Ussher, SJ; Hendry, KR</t>
  </si>
  <si>
    <t>Weston, Keith; Jickells, Timothy D.; Carson, Damien S.; Clarke, Andrew; Meredith, Michael P.; Brandon, Mark A.; Wallace, Margaret I.; Ussher, Simon J.; Hendry, Katharine R.</t>
  </si>
  <si>
    <t>Primary production export flux in Marguerite Bay (Antarctic Peninsula): Linking upper water-column production to sediment trap flux</t>
  </si>
  <si>
    <t>Primary production; New production; Regenerated production; f ratio; Antarctic Peninsula; Southern Ocean</t>
  </si>
  <si>
    <t>WESTERN BRANSFIELD STRAIT; DOWNWARD PARTICLE FLUXES; SEA-ICE ZONE; ROSS SEA; CONTINENTAL-SHELF; ORGANIC-CARBON; UPPER OCEAN; INTERANNUAL VARIABILITY; PHYTOPLANKTON BLOOM; CLIMATE VARIABILITY</t>
  </si>
  <si>
    <t>A study was carried out to assess primary production and associated export flux in the coastal waters of the western Antarctic Peninsula at an oceanographic time-series site. New, i.e., exportable, primary production in the upper water-column was estimated in two ways; by nutrient deficit measurements, and by primary production rate measurements using separate C-14-labelled radioisotope and N-15-labelled stable isotope uptake incubations. The resulting average annual exportable primary production estimates at the time-series site from nutrient deficit and primary production rates were 13 and 16 mol C m(-2), respectively. Regenerated primary production was measured using N-15-labelled ammonium and urea uptake, and was low throughout the sampling period. The exportable primary production measurements were compared with sediment trap flux measurements from 2 locations; the time-series site and at a site 40 km away in deeper water. Results showed similar to 1% of the upper mixed layer exportable primary production was exported to traps at 200 m depth at the time-series site (total water column depth 520 m). The maximum particle flux rate to sediment traps at the deeper offshore site (total water column depth 820 m) was lower than the flux at the coastal time-series site. Flux of particulate organic carbon was similar throughout the spring-summer high flux period for both sites. Remineralisation of particulate organic matter predominantly occurred in the upper water-column (&lt; 200 m depth), with minimal remineralisation below 200 m, at both sites. This highly productive region on the Western Antarctic Peninsula is therefore best characterised as 'high recycling, low export'. (C) 2013 Elsevier Ltd. All rights reserved.</t>
  </si>
  <si>
    <t>[Weston, Keith; Jickells, Timothy D.] Univ E Anglia, Sch Environm Sci, Lab Global Marine &amp; Atmospher Chem, Norwich NR4 7TJ, Norfolk, England; [Weston, Keith] Ctr Environm Aquaculture &amp; Fisheries Sci, Lowestoft NR33 0HT, Suffolk, England; [Carson, Damien S.] Univ Edinburgh, Sch GeoSci, Edinburgh EH9 3JW, Midlothian, Scotland; [Clarke, Andrew; Meredith, Michael P.; Wallace, Margaret I.] British Antarctic Survey, NERC, Cambridge CB3 0ET, England; [Brandon, Mark A.; Wallace, Margaret I.] Open Univ, Milton Keynes MK7 6AA, Bucks, England; [Ussher, Simon J.] Univ Plymouth, Sch Geog Earth &amp; Environm Sci, Plymouth PL4 8AA, Devon, England; [Hendry, Katharine R.] Univ Oxford, Dept Earth Sci, Oxford OX1 3AN, England</t>
  </si>
  <si>
    <t>University of East Anglia; Centre for Environment Fisheries &amp; Aquaculture Science; University of Edinburgh; UK Research &amp; Innovation (UKRI); Natural Environment Research Council (NERC); NERC British Antarctic Survey; Open University - UK; University of Plymouth; University of Oxford</t>
  </si>
  <si>
    <t>Weston, K (corresponding author), Univ E Anglia, Sch Environm Sci, Lab Global Marine &amp; Atmospher Chem, Norwich NR4 7TJ, Norfolk, England.</t>
  </si>
  <si>
    <t>keith.weston@cefas.co.uk</t>
  </si>
  <si>
    <t>Brandon, Mark A/A-5804-2010; Hendry, Katharine/E-4793-2011</t>
  </si>
  <si>
    <t>Meredith, Michael/0000-0002-7342-7756; Ussher, Simon/0000-0001-6724-9212; Brandon, Mark/0000-0002-7779-0958; Weston, Keith/0000-0001-7573-0348; Hendry, Katharine/0000-0002-0790-5895</t>
  </si>
  <si>
    <t>NERC [AFI 4-13]; Natural Environment Research Council [NER/G/S/2002/00024, bas010011, bas0100028] Funding Source: researchfish; NERC [bas010011, bas0100028]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</si>
  <si>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</si>
  <si>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the officers and crew of the RRS James Clark Ross. Kimberly Wright for assisting with the particulate carbon analysis, Dr. Martin Miller for organising logistics, Dan Combden, Jon Wynar and Rob MacLaclan at UKORS for mooring deployments. We would also especially like to thank the Marine Assistants at Rothera station's Bonner Laboratory; Paul Mann, Helen Rossetti and Andy Miller. This work was funded by NERC grant AFI 4-13 'Biogeochemical particle flux study in Marguerite Bay, Antarctica Peninsula'.</t>
  </si>
  <si>
    <t>10.1016/j.dsr.2013.02.001</t>
  </si>
  <si>
    <t>WOS:000317888800005</t>
  </si>
  <si>
    <t>Jamieson, RE; Heywood, JL; Rogers, AD; Billett, DSM; Pearce, DA</t>
  </si>
  <si>
    <t>Jamieson, R. E.; Heywood, J. L.; Rogers, A. D.; Billett, D. S. M.; Pearce, D. A.</t>
  </si>
  <si>
    <t>Bacterial biodiversity in deep-sea sediments from two regions of contrasting surface water productivity near the Crozet Islands, Southern Ocean</t>
  </si>
  <si>
    <t>Bacteria; Deep sea; Sediment; Crozet; Carbon sequestration; Antarctic; Diversity</t>
  </si>
  <si>
    <t>GRADIENT GEL-ELECTROPHORESIS; FERTILIZED PHYTOPLANKTON BLOOM; MICROBIAL COMMUNITY STRUCTURE; CONTINENTAL-SHELF; MARINE-SEDIMENTS; ORGANIC-MATTER; SUBSEAFLOOR SEDIMENTS; VERTICAL-DISTRIBUTION; MOLECULAR ANALYSIS; DIVERSITY</t>
  </si>
  <si>
    <t>The relationship between surface-derived particulate organic matter (POM) and deep-sea sediment bacterial abundance, community structure and composition was investigated in two different sediment layers from two zones of contrasting surface water productivity in the southern Indian Ocean. Bacterial sediment communities from high chlorophyll (HC) and low chlorophyll (LC) sites were characterized and compared using direct counts, clone library construction, denaturing gradient gel electrophoresis (DGGE) and fluorescence in situ hybridization (FISH). Of the 1566 bacterial clones generated from the sediment communities, 1010 matched published 16S rDNA sequences at &gt;= 97% identity. A comparison of surface sediment clone libraries showed that at least one third of all identified operational taxonomic units (OTUs) were common to both HC and LC sites. DGGE community profiles were consistent (82% similar) and evenness of the major phylogenetic groups was 96% similar between surface sediment communities, where gamma- and alpha-Proteobacteria were dominant. Sediment communities shared similarly high biodiversity, while species richness was marginally higher at the LC site. Intra-site shifts in bacterial abundance and composition were observed with increasing sediment depth. Despite the differences in organic matter input between sites, the consistency observed between HC and LC sediment communities pointed to (1) the extent of remineralisation by mega and meio-fauna as a potential factor affecting the quantity and quality of POM available to sediment bacteria, (2) sampling during the early 'nutrient assimilation phase' of the bacterial response to freshly deposited POM or (3) that the action of bacteria in the water column could affect the quantity and quality of POM available to sediment bacteria. Although factors other than these may explain the observed similarities, this first comparison of such deep-sea sediment communities in relation to surface-derived productivity may be useful in further elucidating the role of sediment bacteria in carbon remineralisation in the deep-sea environment. (C) 2013 Elsevier Ltd. All rights reserved.</t>
  </si>
  <si>
    <t>[Jamieson, R. E.; Heywood, J. L.; Pearce, D. A.] British Antarctic Survey, Nat Environm Res Council, Cambridge CB3 OET, England; [Rogers, A. D.] Univ Oxford, Dept Zool, Oxford OX1 3PS, England; [Billett, D. S. M.] Univ Southampton, Natl Oceanog Ctr, Southampton SO14 3ZH, Hants, England</t>
  </si>
  <si>
    <t>UK Research &amp; Innovation (UKRI); Natural Environment Research Council (NERC); NERC British Antarctic Survey; University of Oxford; University of Southampton; NERC National Oceanography Centre</t>
  </si>
  <si>
    <t>Pearce, DA (corresponding author), British Antarctic Survey, Nat Environm Res Council, Madingley Rd, Cambridge CB3 OET, England.</t>
  </si>
  <si>
    <t>dpearce@bas.ac.uk</t>
  </si>
  <si>
    <t>Heywood, Jane/0000-0001-8292-7704; Pearce, David/0000-0001-5292-4596; Rogers, Alex David/0000-0002-4864-2980</t>
  </si>
  <si>
    <t>NERC [noc010009, bas0100025, bas010020, bas0100026] Funding Source: UKRI; Natural Environment Research Council [noc010009, bas0100026, bas010020, bas0100025] Funding Source: researchfish</t>
  </si>
  <si>
    <t>10.1016/j.dsr.2012.12.012</t>
  </si>
  <si>
    <t>WOS:000317888800006</t>
  </si>
  <si>
    <t>Bissett, A; Brown, MV; Siciliano, SD; Thrall, PH</t>
  </si>
  <si>
    <t>Bissett, Andrew; Brown, Mark V.; Siciliano, Steven D.; Thrall, Peter H.</t>
  </si>
  <si>
    <t>Microbial community responses to anthropogenically induced environmental change: towards a systems approach</t>
  </si>
  <si>
    <t>ECOLOGY LETTERS</t>
  </si>
  <si>
    <t>Ecological networks; microbial structure; function; nitrogen cycling; perturbation; resilience; soil; symbiont; systems biology</t>
  </si>
  <si>
    <t>DENITRIFICATION ACTIVITY; ANTARCTIC SOILS; RESILIENCE; NETWORK; RESISTANCE; DIVERSITY; TOXICITY; FEEDBACK; BACTERIA; IMPACT</t>
  </si>
  <si>
    <t>The soil environment is essential to many ecosystem services which are primarily mediated by microbial communities. Soil physical and chemical conditions are altered on local and global scales by anthropogenic activity and which threatens the provision of many soil services. Despite the importance of soil biota for ecosystem function, we have limited ability to predict and manage soil microbial community responses to change. To better understand causal relationships between microbial community structure and ecological function, we argue for a systems approach to prediction and management of microbial response to environmental change. This necessitates moving beyond concepts of resilience, resistance and redundancy that assume single optimum stable states, to ones that better reflect the dynamic and interactive nature of microbial systems. We consider the response of three soil groups (ammonia oxidisers, denitrifiers, symbionts) to anthropogenic perturbation to motivate our discussion. We also present a network re-analysis of a saltmarsh microbial community which illustrates how such approaches can reveal ecologically important connections between functional groups. More generally, we suggest the need for integrative studies which consider how environmental variables moderate interactions between functional groups, how this moderation affects biogeochemical processes and how these feedbacks ultimately drive ecosystem services provided by soil biota.</t>
  </si>
  <si>
    <t>[Bissett, Andrew; Thrall, Peter H.] CSIRO Plant Ind, Canberra, ACT 2601, Australia; [Brown, Mark V.] Univ New S Wales, Sch Biotechnol &amp; Biomol Sci, Sydney, NSW 2052, Australia; [Brown, Mark V.] Univ New S Wales, Ecol &amp; Evolut Res Ctr, Sydney, NSW 2052, Australia; [Siciliano, Steven D.] Univ Saskatchewan, Dept Soil Sci, Saskatoon, SK S7N 0W0, Canada</t>
  </si>
  <si>
    <t>Commonwealth Scientific &amp; Industrial Research Organisation (CSIRO); Plant Industry; University of New South Wales Sydney; University of New South Wales Sydney; University of Saskatchewan</t>
  </si>
  <si>
    <t>Bissett, A (corresponding author), CSIRO Plant Ind, POB 1600, Canberra, ACT 2601, Australia.</t>
  </si>
  <si>
    <t>Andrew.Bissett@csiro.au</t>
  </si>
  <si>
    <t>Siciliano, Steven D/G-3370-2011; Thrall, Peter/J-6672-2013; Bissett, Andrew/AFR-3887-2022</t>
  </si>
  <si>
    <t>Bissett, Andrew/0000-0001-7396-1484; Siciliano, Steven/0000-0002-8994-3341</t>
  </si>
  <si>
    <t>1461-023X</t>
  </si>
  <si>
    <t>1461-0248</t>
  </si>
  <si>
    <t>ECOL LETT</t>
  </si>
  <si>
    <t>Ecol. Lett.</t>
  </si>
  <si>
    <t>10.1111/ele.12109</t>
  </si>
  <si>
    <t>145HQ</t>
  </si>
  <si>
    <t>WOS:000319006400013</t>
  </si>
  <si>
    <t>Froy, H; Phillips, RA; Wood, AG; Nussey, DH; Lewis, S</t>
  </si>
  <si>
    <t>Froy, Hannah; Phillips, Richard A.; Wood, Andrew G.; Nussey, Daniel H.; Lewis, Sue</t>
  </si>
  <si>
    <t>Age-related variation in reproductive traits in the wandering albatross: evidence for terminal improvement following senescence</t>
  </si>
  <si>
    <t>Ageing; breeding experience; cost of reproduction; demographic variation; Diomedea exulans; life history theory; reproductive effort; seabird; terminal investment</t>
  </si>
  <si>
    <t>LONG-LIVED SEABIRD; BREEDING SUCCESS; SELECTIVE DISAPPEARANCE; IMMUNE CHALLENGE; LIFE-HISTORY; INVESTMENT; PERFORMANCE; COSTS; DYNAMICS; PATTERNS</t>
  </si>
  <si>
    <t>The processes driving age-related variation in demographic rates are central to understanding population and evolutionary ecology. An increasing number of studies in wild vertebrates find evidence for improvements in reproductive performance traits in early adulthood, followed by senescent declines in later life. However, life history theory predicts that reproductive investment should increase with age as future survival prospects diminish, and that raised reproductive investment may have associated survival costs. These non-mutually exclusive processes both predict an increase in breeding performance at the terminal breeding attempt. Here, we use a 30-year study of wandering albatrosses (Diomedea exulans) to disentangle the processes underpinning age-related variation in reproduction. Whilst highlighting the importance of breeding experience, we reveal senescent declines in performance are followed by a striking increase in breeding success and a key parental investment trait at the final breeding attempt.</t>
  </si>
  <si>
    <t>[Froy, Hannah; Nussey, Daniel H.; Lewis, Sue] Univ Edinburgh, Inst Evolutionary Biol, Edinburgh, Midlothian, Scotland; [Froy, Hannah; Phillips, Richard A.; Wood, Andrew G.] British Antarctic Survey, Cambridge CB3 0ET, England</t>
  </si>
  <si>
    <t>University of Edinburgh; UK Research &amp; Innovation (UKRI); Natural Environment Research Council (NERC); NERC British Antarctic Survey</t>
  </si>
  <si>
    <t>Froy, H (corresponding author), Univ Edinburgh, Inst Evolutionary Biol, Edinburgh, Midlothian, Scotland.</t>
  </si>
  <si>
    <t>hannah.froy@ed.ac.uk</t>
  </si>
  <si>
    <t>Nussey, Daniel H/F-4155-2010; Lewis, Sue/D-3380-2012</t>
  </si>
  <si>
    <t>Lewis, Sue/0000-0003-3511-2259; Froy, Hannah/0000-0003-2965-3526</t>
  </si>
  <si>
    <t>Biotechnology and Biological Sciences Research Council [BB/H021868/1] Funding Source: Medline; Biotechnology and Biological Sciences Research Council [BB/H021868/1] Funding Source: researchfish; Natural Environment Research Council [bas0100025, NE/E012906/1] Funding Source: researchfish; BBSRC [BB/H021868/1] Funding Source: UKRI; NERC [bas0100025, NE/E012906/1] Funding Source: UKRI</t>
  </si>
  <si>
    <t>Biotechnology and Biological Sciences Research Council(UK Research &amp; Innovation (UKRI)Biotechnology and Biological Sciences Research Council (BBSRC));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</si>
  <si>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10.1111/ele.12092</t>
  </si>
  <si>
    <t>132OA</t>
  </si>
  <si>
    <t>WOS:000318077200009</t>
  </si>
  <si>
    <t>Williams, TJ; Wilkins, D; Long, E; Evans, F; DeMaere, MZ; Raftery, MJ; Cavicchioli, R</t>
  </si>
  <si>
    <t>Williams, Timothy J.; Wilkins, David; Long, Emilie; Evans, Flavia; DeMaere, Mathew Z.; Raftery, Mark J.; Cavicchioli, Ricardo</t>
  </si>
  <si>
    <t>The role of planktonic Flavobacteria in processing algal organic matter in coastal East Antarctica revealed using metagenomics and metaproteomics</t>
  </si>
  <si>
    <t>ENVIRONMENTAL MICROBIOLOGY</t>
  </si>
  <si>
    <t>CYTOPHAGA-LIKE BACTERIA; SUMMER BACTERIOPLANKTON; MICROBIAL COMMUNITIES; POPULATION-DYNAMICS; ARCTIC-OCEAN; ACE LAKE; MARINE; DIVERSITY; GENOMICS; CELL</t>
  </si>
  <si>
    <t>Heterotrophic marine bacteria play key roles in remineralizing organic matter generated from primary production. However, far more is known about which groups are dominant than about the cellular processes they perform in order to become dominant. In the Southern Ocean, eukaryotic phytoplankton are the dominant primary producers. In this study we used metagenomics and metaproteomics to determine how the dominant bacterial and archaeal plankton processed bloom material. We examined the microbial community composition in 14 metagenomes and found that the relative abundance of Flavobacteria (dominated by Polaribacter) was positively correlated with chlorophyll a fluorescence, and the relative abundance of SAR11 was inversely correlated with both fluorescence and Flavobacteria abundance. By performing metaproteomics on the sample with the highest relative abundance of Flavobacteria (Newcomb Bay, East Antarctica) we defined how Flavobacteria attach to and degrade diverse complex organic material, how they make labile compounds available to Alphaproteobacteria (especially SAR11) and Gammaproteobacteria, and how these heterotrophic Proteobacteria target and utilize these nutrients. The presence of methylotrophic proteins for archaea and bacteria also indicated the importance of metabolic specialists. Overall, the study provides functional data for the microbial mechanisms of nutrient cycling at the surface of the coastal Southern Ocean.</t>
  </si>
  <si>
    <t>[Williams, Timothy J.; Wilkins, David; Long, Emilie; Evans, Flavia; DeMaere, Mathew Z.; Cavicchioli, Ricardo] Univ New S Wales, Sch Biotechnol &amp; Biomol Sci, Sydney, NSW 2052, Australia; [Raftery, Mark J.] Univ New S Wales, Bioanalyt Mass Spectrometry Facil, Sydney, NSW 2052, Australia; [Long, Emilie] Univ Paris 06, UFR 927, F-75532 Paris, France</t>
  </si>
  <si>
    <t>University of New South Wales Sydney; University of New South Wales Sydney; Sorbonne Universite</t>
  </si>
  <si>
    <t>Cavicchioli, R (corresponding author), Univ New S Wales, Sch Biotechnol &amp; Biomol Sci, Sydney, NSW 2052, Australia.</t>
  </si>
  <si>
    <t>r.cavicchioli@unsw.edu.au</t>
  </si>
  <si>
    <t>DeMaere, Matthew Zachariah/D-9002-2012; Cavicchioli, Ricardo/D-4341-2013</t>
  </si>
  <si>
    <t>DeMaere, Matthew Zachariah/0000-0002-7601-5108; Wilkins, David/0000-0002-3385-8981; Williams, Timothy/0000-0002-2738-3019; Cavicchioli, Ricardo/0000-0001-8989-6402; LONG, Emilie/0000-0003-0922-381X</t>
  </si>
  <si>
    <t>Australian Research Council; Australian Antarctic Division; J. Craig Venter Institute; Gordon and Betty Moore Foundation</t>
  </si>
  <si>
    <t>Australian Research Council(Australian Research Council); Australian Antarctic Division; J. Craig Venter Institute; Gordon and Betty Moore Foundation(Gordon and Betty Moore Foundation)</t>
  </si>
  <si>
    <t>This work was supported by the Australian Research Council and the Australian Antarctic Division.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 The authors acknowledge assistance during sample collection by Torsten Thomas and Jeffrey Hoffman, support from the J. Craig Venter Institute and the Gordon and Betty Moore Foundation, insightful discussions with Simon Wright, and assistance from David Smith and Henk Brolsma for generating the bathymetry image of the sampling site.</t>
  </si>
  <si>
    <t>1462-2912</t>
  </si>
  <si>
    <t>1462-2920</t>
  </si>
  <si>
    <t>ENVIRON MICROBIOL</t>
  </si>
  <si>
    <t>Environ. Microbiol.</t>
  </si>
  <si>
    <t>10.1111/1462-2920.12017</t>
  </si>
  <si>
    <t>132BD</t>
  </si>
  <si>
    <t>WOS:000318041800006</t>
  </si>
  <si>
    <t>Wilkins, D; Lauro, FM; Williams, TJ; Demaere, MZ; Brown, MV; Hoffman, JM; Andrews-Pfannkoch, C; Mcquaid, JB; Riddle, MJ; Rintoul, SR; Cavicchioli, R</t>
  </si>
  <si>
    <t>Wilkins, David; Lauro, Federico M.; Williams, Timothy J.; Demaere, Matthew Z.; Brown, Mark V.; Hoffman, Jeffrey M.; Andrews-Pfannkoch, Cynthia; Mcquaid, Jeffrey B.; Riddle, Martin J.; Rintoul, Stephen R.; Cavicchioli, Ricardo</t>
  </si>
  <si>
    <t>Biogeographic partitioning of Southern Ocean microorganisms revealed by metagenomics</t>
  </si>
  <si>
    <t>ANTARCTIC CIRCUMPOLAR CURRENT; FERTILIZED PHYTOPLANKTON BLOOM; LIVING BACTERIAL COMMUNITIES; GENOME SEQUENCE; SUMMER BACTERIOPLANKTON; ZOOPLANKTON COMMUNITY; SP NOV.; MARINE; SEA; ROSEOBACTER</t>
  </si>
  <si>
    <t>We performed a metagenomic survey (6.6Gbp of 454 sequence data) of Southern Ocean (SO) microorganisms during the austral summer of 20072008, examining the genomic signatures of communities across a latitudinal transect from Hobart (44 degrees S) to the Mertz Glacier, Antarctica (67 degrees S). Operational taxonomic units (OTUs) of the SAR11 and SAR116 clades and the cyanobacterial genera Prochlorococcus and Synechococcus were strongly overrepresented north of the Polar Front (PF). Conversely, OTUs of the Gammaproteobacterial Sulfur Oxidizer-EOSA-1 (GSO-EOSA-1) complex, the phyla Bacteroidetes and Verrucomicrobia and order Rhodobacterales were characteristic of waters south of the PF. Functions enriched south of the PF included a range of transporters, sulfur reduction and histidine degradation to glutamate, while branched-chain amino acid transport, nucleic acid biosynthesis and methionine salvage were overrepresented north of the PF. The taxonomic and functional characteristics suggested a shift of primary production from cyanobacteria in the north to eukaryotic phytoplankton in the south, and reflected the different trophic statuses of the two regions. The study provides a new level of understanding about SO microbial communities, describing the contrasting taxonomic and functional characteristics of microbial assemblages either side of the PF.</t>
  </si>
  <si>
    <t>[Wilkins, David; Lauro, Federico M.; Williams, Timothy J.; Demaere, Matthew Z.; Brown, Mark V.; Cavicchioli, Ricardo] Univ New S Wales, Sch Biotechnol &amp; Biomol Sci, Sydney, NSW 2052, Australia; [Brown, Mark V.] Univ New S Wales, Evolut &amp; Ecol Res Ctr, Sydney, NSW 2052, Australia; [Hoffman, Jeffrey M.; Andrews-Pfannkoch, Cynthia; Mcquaid, Jeffrey B.] J Craig Venter Inst, Rockville, MD 20850 USA; [Riddle, Martin J.] Australian Antarctic Div, Kingston, Tas 7050, Australia; [Rintoul, Stephen R.] CSIRO Marine &amp; Atmospher Res, Hobart, Tas 7001, Australia; [Rintoul, Stephen R.] Ctr Australian Weather &amp; Climate Res, Partnership Bur Meteorol, Hobart, Tas 7001, Australia; [Rintoul, Stephen R.] CSIRO, Hobart, Tas 7001, Australia; [Rintoul, Stephen R.] CSIRO Wealth Oceans Natl Res Flagship, Hobart, Tas 7001, Australia; [Rintoul, Stephen R.] Antarctic Climate &amp; Ecosyst Cooperat Res Ctr, Hobart, Tas 7001, Australia</t>
  </si>
  <si>
    <t>University of New South Wales Sydney; University of New South Wales Sydney; J. Craig Venter Institute; Australian Antarctic Division; Commonwealth Scientific &amp; Industrial Research Organisation (CSIRO); Commonwealth Scientific &amp; Industrial Research Organisation (CSIRO); Commonwealth Scientific &amp; Industrial Research Organisation (CSIRO); Commonwealth Scientific &amp; Industrial Research Organisation (CSIRO); Antarctic Climate &amp; Ecosystems Cooperative Research Centre (ACE CRC)</t>
  </si>
  <si>
    <t>DeMaere, Matthew Zachariah/D-9002-2012; Rintoul, Stephen R/A-1471-2012; Lauro, Federico/X-2420-2019; Cavicchioli, Ricardo/D-4341-2013</t>
  </si>
  <si>
    <t>DeMaere, Matthew Zachariah/0000-0002-7601-5108; Rintoul, Stephen R/0000-0002-7055-9876; Lauro, Federico/0000-0002-8373-1014; Williams, Timothy/0000-0002-2738-3019; McQuaid, Jeff/0000-0002-2646-9283; Cavicchioli, Ricardo/0000-0001-8989-6402; Wilkins, David/0000-0002-3385-8981</t>
  </si>
  <si>
    <t>Australian Research Council; Australian Antarctic Division; Gordon and Betty Moore Foundation</t>
  </si>
  <si>
    <t>Australian Research Council(Australian Research Council); Australian Antarctic Division; Gordon and Betty Moore Foundation(Gordon and Betty Moore Foundation)</t>
  </si>
  <si>
    <t>The authors acknowledge technical support for computing infrastructure and software development from Intersect, and in particular assistance from Joachim Mai, and acknowledge Matthew Lewis from the JCVI for his assistance with DNA sequencing. This work was supported by the Australian Research Council and the Australian Antarctic Division. Funding for sequencing was provided by the Gordon and Betty Moore Foundation to the JCVI.</t>
  </si>
  <si>
    <t>10.1111/1462-2920.12035</t>
  </si>
  <si>
    <t>WOS:000318041800007</t>
  </si>
  <si>
    <t>Jerez, S; Motas, M; Benzal, J; Diaz, J; Vidal, V; D'Amico, V; Barbosa, A</t>
  </si>
  <si>
    <t>Jerez, Silvia; Motas, Miguel; Benzal, Jesus; Diaz, Julia; Vidal, Virginia; D'Amico, Veronica; Barbosa, Andres</t>
  </si>
  <si>
    <t>Distribution of metals and trace elements in adult and juvenile penguins from the Antarctic Peninsula area</t>
  </si>
  <si>
    <t>ENVIRONMENTAL SCIENCE AND POLLUTION RESEARCH</t>
  </si>
  <si>
    <t>Metals; Trace elements; Pollution; Antarctic penguins; Antarctic Peninsula</t>
  </si>
  <si>
    <t>HEAVY-METALS; CADMIUM ACCUMULATION; DECEPTION-ISLAND; ENVIRONMENTAL CONTAMINANTS; MERCURY CONCENTRATIONS; REPRESENTATIVE FAUNA; MARINE ORGANISMS; FEATHERS; LEAD; SEDIMENTS</t>
  </si>
  <si>
    <t>The presence of metals in the Antarctic environment is principally a natural phenomenon caused by geochemical characteristics of the region, although some anthropogenic activities can increase these natural levels. Antarctic penguins present several of the characteristics of useful sentinels of pollution in Antarctica such as they are long-lived species situated at the top of food web. The concentrations of Al, Cr, Mn, Fe, Ni, Cu, Zn, As, Se, Cd, and Pb were determined by inductively coupled plasma-mass spectrometry in samples of liver, kidney, muscle, bone, feather, and stomach contents of gentoo, chinstrap, and Ad,lie penguin (12 adults, five juveniles) from carcasses of naturally dead individuals collected opportunistically in the Antarctic Peninsula area. The obtained results showed that accumulation and magnification of several elements can be occurring, so that Cd and Se reached levels potentially toxic in some specimens. The presence of human activities seems to be increasing the presence of toxic metals such as Mn, Cr, Ni, or Pb in penguins.</t>
  </si>
  <si>
    <t>[Jerez, Silvia; Motas, Miguel] Univ Murcia, Fac Vet, Area Toxicol, E-30100 Murcia, Spain; [Benzal, Jesus; Barbosa, Andres] CSIC, Estn Expt Zonas Aridas, Dept Ecol Func &amp; Evolut, La Canada De San Urbano 04120, Almeria, Spain; [Diaz, Julia] CCT La Plata CONICET UNLP, Ctr Estudios Parasitol &amp; Vectores, RA-1900 La Plata, Buenos Aires, Argentina; [Vidal, Virginia] Univ Murcia, Fac Vet, Dept Sanidad Anim, E-30100 Murcia, Spain; [D'Amico, Veronica] Ctr Nacl Patagon CENPAT CONICET, Puerto Madryn, Chubut, Argentina; [Barbosa, Andres] CSIC, Museo Nacl Ciencias Nat, Dept Ecol Evolut, E-28006 Madrid, Spain</t>
  </si>
  <si>
    <t>University of Murcia; Consejo Superior de Investigaciones Cientificas (CSIC); CSIC - Estacion Experimental de Zonas Aridas (EEZA); Consejo Nacional de Investigaciones Cientificas y Tecnicas (CONICET); National University of La Plata; University of Murcia; Centro Nacional Patagonico (CENPAT); Consejo Nacional de Investigaciones Cientificas y Tecnicas (CONICET); Consejo Superior de Investigaciones Cientificas (CSIC); CSIC - Museo Nacional de Ciencias Naturales (MNCN)</t>
  </si>
  <si>
    <t>Jerez, S (corresponding author), Univ Murcia, Fac Vet, Area Toxicol, Campus Espinardo, E-30100 Murcia, Spain.</t>
  </si>
  <si>
    <t>silviajerez@um.es</t>
  </si>
  <si>
    <t>Benzal, Jesús/T-4555-2017; Barbosa, Andrés/C-3208-2008; Motas, Miguel/L-3061-2014; JEREZ, SILVIA/Q-8876-2016</t>
  </si>
  <si>
    <t>Barbosa, Andrés/0000-0001-8434-3649; Motas Guzman, Miguel/0000-0002-2229-7779</t>
  </si>
  <si>
    <t>Spanish Ministry of Science and Innovation [CGL204-01348, POL2006-05175, CGL2007-60369]</t>
  </si>
  <si>
    <t>Spanish Ministry of Science and Innovation(Spanish Government)</t>
  </si>
  <si>
    <t>We thank the Spanish polar ship Las Palmas, the Spanish polar base Gabriel de Castilla, the Argentinean polar base Carlini, the Instituto Antartico Argentino and the Maritime Technology Unit (CSIC) for providing logistic support. We also thank the Scientific Instrumentation Service (University of Murcia) and the Technological Instrumentation Service (Technical University of Cartagena) for their analytical support. Permissions to work in the study area were given by the Spanish Polar Committee. This study has been funded by the Spanish Ministry of Science and Innovation CGL204-01348, POL2006-05175, and CGL2007-60369. This study is a contribution to the International Polar Year project 172 BirdHealth and to Pinguclim project. Finally, the authors gratefully acknowledge the feedback provided by anonymous referees.</t>
  </si>
  <si>
    <t>0944-1344</t>
  </si>
  <si>
    <t>1614-7499</t>
  </si>
  <si>
    <t>ENVIRON SCI POLLUT R</t>
  </si>
  <si>
    <t>Environ. Sci. Pollut. Res.</t>
  </si>
  <si>
    <t>10.1007/s11356-012-1235-z</t>
  </si>
  <si>
    <t>133XY</t>
  </si>
  <si>
    <t>WOS:000318175400059</t>
  </si>
  <si>
    <t>Mojib, N; Farhoomand, A; Andersen, DT; Bej, AK</t>
  </si>
  <si>
    <t>Mojib, Nazia; Farhoomand, Amin; Andersen, Dale T.; Bej, Asim K.</t>
  </si>
  <si>
    <t>UV and cold tolerance of a pigment-producing Antarctic Janthinobacterium sp Ant5-2</t>
  </si>
  <si>
    <t>Purple violet pigment (PVP); vioA; D37 value; Freeze-thaw; EPS; ALI assay; 2(5H)-furanone</t>
  </si>
  <si>
    <t>CHROMOBACTERIUM-VIOLACEUM; BACTERIA; ULTRAVIOLET; STARVATION; RESISTANCE; RADIATION; STRAIN; ENVIRONMENT; EXPRESSION; CHALLENGE</t>
  </si>
  <si>
    <t>In this paper, we describe the UV and cold tolerance of a purple violet pigment (PVP)-producing Antarctic bacterium, Janthinobacterium sp. Ant5-2 (PVP+) and compared its physiological adaptations with a pigmentless mutant strain (PVP-). A spontaneous deletion of vioA that codes for tryptophan monooxygenase, the first gene involved in the biosynthesis of PVP was found in PVP- strain. The PVP- culture exhibited significantly reduced survival during exponential and stationary growth phase following exposure to UVB (320 nm) and UVC (254 nm) (dose range: 0-300 J/mA(2)) when compared to wild-type (PVP+) cultures. In addition, upon biochemical inhibition of pigment synthesis by 2(5H)-furanone, wild-type PVP+ cultures exhibited approximately 50-fold growth reduction at a higher dose (300 J/mA(2)) of UV. Increased resistance to UV was observed upon inducing starvation state in both PVP+ and PVP- cultures. There was 80 % (SD = +/- 8) reduction in extrapolymeric substance (EPS) production in the PVP- cultures along with a compromised survival to freeze-thaw cycles when compared to the PVP+ cultures. Perhaps synthesis of PVP and EPS are among the key adaptive features that define the survival of this bacterium in Antarctic extreme conditions, especially during austral summer months.</t>
  </si>
  <si>
    <t>[Mojib, Nazia; Farhoomand, Amin; Bej, Asim K.] Univ Alabama Birmingham, Dept Biol, Birmingham, AL 35294 USA; [Andersen, Dale T.] SETI Inst, Carl Sagan Ctr Study Life Universe, Mountain View, CA 94043 USA</t>
  </si>
  <si>
    <t>Bej, AK (corresponding author), Univ Alabama Birmingham, Dept Biol, 1300 Univ Blvd,CH464, Birmingham, AL 35294 USA.</t>
  </si>
  <si>
    <t>abej@uab.edu</t>
  </si>
  <si>
    <t>Andersen, Dale T/B-4816-2013</t>
  </si>
  <si>
    <t>Andersen, Dale T/0000-0001-8827-1259; /0000-0003-3060-1088</t>
  </si>
  <si>
    <t>10.1007/s00792-013-0525-9</t>
  </si>
  <si>
    <t>WOS:000318169900002</t>
  </si>
  <si>
    <t>Wilkins, D; Yau, S; Williams, TJ; Allen, MA; Brown, MV; DeMaere, MZ; Lauro, FM; Cavicchioli, R</t>
  </si>
  <si>
    <t>Wilkins, David; Yau, Sheree; Williams, Timothy J.; Allen, Michelle A.; Brown, Mark V.; DeMaere, Matthew Z.; Lauro, Federico M.; Cavicchioli, Ricardo</t>
  </si>
  <si>
    <t>Key microbial drivers in Antarctic aquatic environments</t>
  </si>
  <si>
    <t>FEMS MICROBIOLOGY REVIEWS</t>
  </si>
  <si>
    <t>Antarctic lakes; Southern Ocean; Antarctic microorganisms; metagenomics; microbial diversity; microbial loop</t>
  </si>
  <si>
    <t>MCMURDO DRY VALLEYS; 16S RIBOSOMAL-RNA; BACTERIOPLANKTON COMMUNITY STRUCTURE; FERTILIZED PHYTOPLANKTON BLOOM; AMMONIA-OXIDIZING BACTERIA; SINGLE-CELL ACTIVITY; FROZEN LAKE FRYXELL; ANCIENT ALGAL MATS; FRESH-WATER LAKES; SEA-ICE</t>
  </si>
  <si>
    <t>Antarctica is arguably the world's most important continent for influencing the Earth's climate and ocean ecosystem function. The unique physico-chemical properties of the Southern Ocean enable high levels of microbial primary production to occur. This not only forms the base of a significant fraction of the global oceanic food web, but leads to the sequestration of anthropogenic CO2 and its transport to marine sediments, thereby removing it from the atmosphere; the Southern Ocean accounts for similar to 30% of global ocean uptake of CO2 despite representing similar to 10% of the total surface area of the global ocean. The Antarctic continent itself harbors some liquid water, including a remarkably diverse range of surface and subglacial lakes. Being one of the remaining natural frontiers, Antarctica delivers the paradox of needing to be protected from disturbance while requiring scientific endeavor to discover what is indigenous and learn how best to protect it. Moreover, like many natural environments on Earth, in Antarctica, microorganisms dominate the genetic pool and biomass of the colonizable niches and play the key roles in maintaining proper ecosystem function. This review puts into perspective insight that has been and can be gained about Antarctica's aquatic microbiota using molecular biology, and in particular, metagenomic approaches.</t>
  </si>
  <si>
    <t>[Wilkins, David; Yau, Sheree; Williams, Timothy J.; Allen, Michelle A.; Brown, Mark V.; DeMaere, Matthew Z.; Lauro, Federico M.; Cavicchioli, Ricardo] Univ New S Wales, Sch Biotechnol &amp; Biomol Sci, Sydney, NSW 2052, Australia; [Brown, Mark V.] Univ New S Wales, Evolut &amp; Ecol Res Ctr, Sydney, NSW 2052, Australia</t>
  </si>
  <si>
    <t>University of New South Wales Sydney; University of New South Wales Sydney</t>
  </si>
  <si>
    <t>Lauro, Federico/X-2420-2019; Yau, Sheree/AAX-9078-2021; DeMaere, Matthew Zachariah/D-9002-2012; Cavicchioli, Ricardo/D-4341-2013</t>
  </si>
  <si>
    <t>Lauro, Federico/0000-0002-8373-1014; Yau, Sheree/0000-0003-1878-132X; DeMaere, Matthew Zachariah/0000-0002-7601-5108; Allen, Michelle/0000-0002-8852-1454; Cavicchioli, Ricardo/0000-0001-8989-6402; Williams, Timothy/0000-0002-2738-3019; Wilkins, David/0000-0002-3385-8981</t>
  </si>
  <si>
    <t>Australian Research Council; Australian Antarctic Science Program</t>
  </si>
  <si>
    <t>Australian Research Council(Australian Research Council); Australian Antarctic Science Program</t>
  </si>
  <si>
    <t>This work was supported by the Australian Research Council and Australian Antarctic Science Program. We thank John Gibson for sharing with us his incredible knowledge and insight of Antarctica. In attempting to review literature relevant to this Review, it seems inevitable that we will have inadvertently missed research that could have otherwise been described - we apologize to authors if this has occurred.</t>
  </si>
  <si>
    <t>0168-6445</t>
  </si>
  <si>
    <t>1574-6976</t>
  </si>
  <si>
    <t>FEMS MICROBIOL REV</t>
  </si>
  <si>
    <t>Fems Microbiol. Rev.</t>
  </si>
  <si>
    <t>10.1111/1574-6976.12007</t>
  </si>
  <si>
    <t>123CB</t>
  </si>
  <si>
    <t>WOS:000317364700003</t>
  </si>
  <si>
    <t>Pandiyan, A; Ray, MK</t>
  </si>
  <si>
    <t>Pandiyan, Apuratha; Ray, Malay K.</t>
  </si>
  <si>
    <t>Draft Genome Sequence of the Antarctic Psychrophilic Bacterium Pseudomonas syringae Strain Lz4W</t>
  </si>
  <si>
    <t>GENOME ANNOUNCEMENTS</t>
  </si>
  <si>
    <t>The psychrophilic bacterium Pseudomonas syringae strain Lz4W was isolated from soil samples from Antarctica to decipher the mechanisms of low-temperature adaptation. We report here the 4.982-Mb draft genome sequence of P. syringae Lz4W. This sequence will provide insights into the genomic basis of the psychrophilicity of this bacterium.</t>
  </si>
  <si>
    <t>[Pandiyan, Apuratha; Ray, Malay K.] CSIR, Ctr Cellular &amp; Mol Biol, Hyderabad, India</t>
  </si>
  <si>
    <t>Ray, MK (corresponding author), CSIR, Ctr Cellular &amp; Mol Biol, Hyderabad, India.</t>
  </si>
  <si>
    <t>CSIR (Council of Scientific and Industrial Research) [BSC0121]; CSIR</t>
  </si>
  <si>
    <t>CSIR (Council of Scientific and Industrial Research)(Council of Scientific &amp; Industrial Research (CSIR) - India); CSIR(Council of Scientific &amp; Industrial Research (CSIR) - India)</t>
  </si>
  <si>
    <t>This work constitutes a part of the GENESIS (BSC0121) project grant of CSIR (Council of Scientific and Industrial Research) awarded to M.K.R. A.P. is supported by a junior research fellowship from CSIR.</t>
  </si>
  <si>
    <t>AMER SOC MICROBIOLOGY</t>
  </si>
  <si>
    <t>1752 N ST NW, WASHINGTON, DC 20036-2904 USA</t>
  </si>
  <si>
    <t>2169-8287</t>
  </si>
  <si>
    <t>Genom. Ann.</t>
  </si>
  <si>
    <t>e00377-13</t>
  </si>
  <si>
    <t>10.1128/genomeA.00377-13</t>
  </si>
  <si>
    <t>VI0ZX</t>
  </si>
  <si>
    <t>hybrid, Green Published</t>
  </si>
  <si>
    <t>WOS:000460195200124</t>
  </si>
  <si>
    <t>Passchier, S; Bohaty, SM; Jimenez-Espejo, FJ; Pross, J; Röhl, U; van de Flierdt, T; Escutia, C; Brinkhuis, H</t>
  </si>
  <si>
    <t>Passchier, S.; Bohaty, S. M.; Jimenez-Espejo, Francisco J.; Pross, J.; Roehl, U.; van de Flierdt, T.; Escutia, C.; Brinkhuis, H.</t>
  </si>
  <si>
    <t>Early Eocene to middle Miocene cooling and aridification of East Antarctica</t>
  </si>
  <si>
    <t>Antarctica; Cenozoic; greenhouse; icehouse; chemical index of alteration; Integrated Ocean Drilling Program</t>
  </si>
  <si>
    <t>CHEMICAL-WEATHERING RATES; VICTORIA LAND BASIN; CAPE-ROBERTS PROJECT; OLIGOCENE TRANSITION; CLAY-MINERALS; PRYDZ BAY; CLIMATE; TEMPERATURE; SEA; EOCENE/OLIGOCENE</t>
  </si>
  <si>
    <t>Few high-latitude terrestrial records document the timing and nature of the Cenozoic Greenhouse to Icehouse transition. Here we exploit the bulk geochemistry of marine siliciclastic sediments from drill cores on Antarctica's continental margin to extract a unique semiquantitative temperature and precipitation record for Eocene to mid-Miocene (similar to 54-13 Ma). Alkaline elements are strongly enriched in the detrital mineral fraction in fine-grained siliciclastic marine sediments and only occur as trace metals in the biogenic fraction. Hence, terrestrial climofunctions similar to the chemical index of alteration (CIA) can be applied to the alkaline major element geochemistry of marine sediments on continental margins in order to reconstruct changes in precipitation and temperature. We validate this approach by comparison with published paleotemperature and precipitation records derived from fossil wood, leaves, and pollen and find remarkable agreement, despite uncertainties in the calibrations of the different proxies. A long-term cooling on the order of &gt;= 8 degrees C is observed between the Early Eocene Climatic Optimum (similar to 54-52 Ma) and the middle Miocene (similar to 15-13 Ma) with the onset of transient cooling episodes in the middle Eocene at similar to 46-45 Ma. High-latitude stratigraphic records currently exhibit insufficient temporal resolution to reconstruct continental aridity and inferred ice-sheet development during the middle to late Eocene (similar to 45-37 Ma). However, we find an abrupt aridification of East Antarctica near the Eocene-Oligocene transition (similar to 34 Ma), which suggests that ice coverage influenced high-latitude atmospheric circulation patterns through albedo effects from the earliest Oligocene onward. Key Points Eocene-Miocene compilation of Antarctic chemical weathering records Results soil climofunctions are comparable to vegetation proxies Ca. 8 degree cooling and aridification</t>
  </si>
  <si>
    <t>[Passchier, S.] Montclair State Univ, Dept Earth &amp; Environm Studies, 1 Normal Ave, Montclair, NJ 07043 USA; [Bohaty, S. M.] Univ Southampton, Natl Oceanog Ctr, Southampton, Hants, England; [Jimenez-Espejo, Francisco J.; Escutia, C.] Inst Andaluz Ciencias Terra, Granada, Spain; [Jimenez-Espejo, Francisco J.] Japan Agcy Marine Earth Sci &amp; Technol, Inst Biogeosci, Yokosuka, Kanagawa 2370061, Japan; [Pross, J.] Goethe Univ Frankfurt, Paleoenvironm Dynam Grp, Inst Geosci, D-60054 Frankfurt, Germany; [Roehl, U.] Univ Bremen, MARUM Ctr Marine Environm Sci, D-28359 Bremen, Germany; [van de Flierdt, T.] Univ London Imperial Coll Sci Technol &amp; Med, Dept Earth Sci &amp; Engn, London, England; [Brinkhuis, H.] Univ Utrecht, Lab Palaeobot &amp; Palynol, Dept Earth Sci, Fac Geosci, Utrecht, Netherlands</t>
  </si>
  <si>
    <t>Montclair State University; University of Southampton; NERC National Oceanography Centre; Japan Agency for Marine-Earth Science &amp; Technology (JAMSTEC); Goethe University Frankfurt; University of Bremen; Imperial College London; Utrecht University</t>
  </si>
  <si>
    <t>Passchier, S (corresponding author), Montclair State Univ, Dept Earth &amp; Environm Studies, 1 Normal Ave, Montclair, NJ 07043 USA.</t>
  </si>
  <si>
    <t>passchiers@mail.montclair.edu</t>
  </si>
  <si>
    <t>Röhl, Ursula/G-5986-2011; Passchier, Sandra/B-1993-2008; Brinkhuis, Henk/IUO-8165-2023; Passchier, Sandra/AAQ-2243-2021; Passchier, Sandra/GYU-2381-2022; Jimenez-Espejo, Francisco J/F-4486-2016; Jimenez-Espejo, Francisco J./AAR-2318-2020; Escutia, Carlota/B-8614-2015</t>
  </si>
  <si>
    <t>Röhl, Ursula/0000-0001-9469-7053; Passchier, Sandra/0000-0001-7204-7025; Brinkhuis, Henk/0000-0003-0253-6610; Passchier, Sandra/0000-0001-7204-7025; Jimenez-Espejo, Francisco J/0000-0002-0335-8580; Escutia, Carlota/0000-0002-4932-8619</t>
  </si>
  <si>
    <t>Consortium for Ocean Leadership [IUSSP410-T318A72]; NERC UK IODP, FJJE from Research Group 0179 (Junta de Andalucia); Spanish MEC project [CTM2011-24079]; Deutsche Forschungsgemeinschaft (DFG); Natural Environment Research Council [NE/H025162/1, NE/I006257/1] Funding Source: researchfish; NERC [NE/I006257/1, NE/H025162/1] Funding Source: UKRI</t>
  </si>
  <si>
    <t>Consortium for Ocean Leadership; NERC UK IODP, FJJE from Research Group 0179 (Junta de Andalucia); Spanish MEC project(Spanish Government); Deutsche Forschungsgemeinschaft (DFG)(German Research Foundation (DFG)); Natural Environment Research Council(UK Research &amp; Innovation (UKRI)Natural Environment Research Council (NERC)); NERC(UK Research &amp; Innovation (UKRI)Natural Environment Research Council (NERC))</t>
  </si>
  <si>
    <t>Nathan Sheldon kindly provided the data for soil B horizons of Marbut [1935] and the climatological information for the pedons. Samples were provided by the Integrated Ocean Drilling Program. Expedition 318 Scientific Participants are thanked for shipboard collaboration in the data collection and post-cruise discussions. A list of participants and affiliations can be found here: http://iodp.tamu.edu/scienceops/precruise/wilkesland/participants.html. Shipboard data collection also benefited from the technical assistance of Chieh Peng, David Houpt, and Bob Olivas. SP acknowledges funding for shipboard participation and post-cruise research from the Consortium for Ocean Leadership (IUSSP410-T318A72), SMB and TvdF from NERC UK IODP, FJJE from Research Group 0179 (Junta de Andalucia) and Spanish MEC project CTM2011-24079, and JP and UR from the Deutsche Forschungsgemeinschaft (DFG). Four anonymous reviewers provided suggestions for improvement to a previous version of the manuscript.</t>
  </si>
  <si>
    <t>10.1002/ggge.20106</t>
  </si>
  <si>
    <t>218DJ</t>
  </si>
  <si>
    <t>WOS:000324412600006</t>
  </si>
  <si>
    <t>Kopp, RE; Simons, FJ; Mitrovica, JX; Maloof, AC; Oppenheimer, M</t>
  </si>
  <si>
    <t>Kopp, Robert E.; Simons, Frederik J.; Mitrovica, Jerry X.; Maloof, Adam C.; Oppenheimer, Michael</t>
  </si>
  <si>
    <t>A probabilistic assessment of sea level variations within the last interglacial stage</t>
  </si>
  <si>
    <t>Probability distributions; Sea level change; Geomorphology</t>
  </si>
  <si>
    <t>ABROLHOS ISLANDS; AUSTRALIA; DURATION; WARMTH; PERIOD; RISE</t>
  </si>
  <si>
    <t>The last interglacial stage (LIG; ca. 130-115 ka) provides a relatively recent example of a world with both poles characterized by greater-than-Holocene temperatures similar to those expected later in this century under a range of greenhouse gas emission scenarios. Previous analyses inferred that LIG mean global sea level (GSL) peaked 6-9 m higher than today. Here, we extend our earlier work to perform a probabilistic assessment of sea level variability within the LIG highstand. Using the terminology for probability employed in the Intergovernmental Panel on Climate Change assessment reports, we find it extremely likely (95 per cent probability) that the palaeo-sea level record allows resolution of at least two intra-LIG sea level peaks and likely (67 per cent probability) that the magnitude of low-to-high swings exceeded 4 m. Moreover, it is likely that there was a period during the LIG in which GSL rose at a 1000-yr average rate exceeding 3 m kyr(-1), but unlikely (33 per cent probability) that the rate exceeded 7 m kyr(-1) and extremely unlikely (5 per cent probability) that it exceeded 11 m kyr(-1). These rate estimates can provide insight into rates of Greenland and/or Antarctic melt under climate conditions partially analogous to those expected in the 21st century.</t>
  </si>
  <si>
    <t>[Kopp, Robert E.] Rutgers State Univ, Dept Earth &amp; Planetary Sci, Piscataway, NJ 08854 USA; [Kopp, Robert E.] Rutgers State Univ, Rutgers Energy Inst, Piscataway, NJ 08854 USA; [Simons, Frederik J.; Maloof, Adam C.; Oppenheimer, Michael] Princeton Univ, Dept Geosci, Princeton, NJ 08544 USA; [Mitrovica, Jerry X.] Harvard Univ, Dept Earth &amp; Planetary Sci, Cambridge, MA 02138 USA; [Oppenheimer, Michael] Princeton Univ, Woodrow Wilson Sch Publ &amp; Int Affairs, Princeton, NJ 08544 USA</t>
  </si>
  <si>
    <t>Rutgers University System; Rutgers University New Brunswick; Rutgers University System; Rutgers University New Brunswick; Princeton University; Harvard University; Princeton University</t>
  </si>
  <si>
    <t>Kopp, RE (corresponding author), Rutgers State Univ, Dept Earth &amp; Planetary Sci, Piscataway, NJ 08854 USA.</t>
  </si>
  <si>
    <t>robert.kopp@rutgers.edu</t>
  </si>
  <si>
    <t>Kopp, Robert E/B-8822-2008; Simons, Frederik/A-3427-2008</t>
  </si>
  <si>
    <t>Oppenheimer, Michael/0000-0002-9708-5914; Kopp, Robert/0000-0003-4016-9428; Simons, Frederik/0000-0003-2021-6645</t>
  </si>
  <si>
    <t>Past Global Changes/IMAGES (International Marine Past Global Change Study); National Science Foundation [ARC-1203415, EAR-1150145]; Directorate For Geosciences; Division Of Earth Sciences [1150145] Funding Source: National Science Foundation; Directorate For Geosciences; Office of Polar Programs (OPP) [1203415] Funding Source: National Science Foundation</t>
  </si>
  <si>
    <t>Past Global Changes/IMAGES (International Marine Past Global Change Study); National Science Foundation(National Science Foundation (NSF)); Directorate For Geosciences; Division Of Earth Sciences(National Science Foundation (NSF)NSF - Directorate for Geosciences (GEO)); Directorate For Geosciences; Office of Polar Programs (OPP)(National Science Foundation (NSF)NSF - Directorate for Geosciences (GEO))</t>
  </si>
  <si>
    <t>We thank the members of the PALSEA (Palaeo-Constraints on Sea Level Rise) working group funded by Past Global Changes/IMAGES (International Marine Past Global Change Study) for helpful discussion. This research was supported by National Science Foundation grant ARC-1203415 to REK. FJS was supported by National Science Foundation grant EAR-1150145.</t>
  </si>
  <si>
    <t>10.1093/gji/ggt029</t>
  </si>
  <si>
    <t>132ZY</t>
  </si>
  <si>
    <t>WOS:000318108400013</t>
  </si>
  <si>
    <t>Shaw, EC; Mcneil, BI; Tilbrook, B; Matear, R; Bates, ML</t>
  </si>
  <si>
    <t>Shaw, Emily C.; Mcneil, Ben I.; Tilbrook, Bronte; Matear, Richard; Bates, Michael L.</t>
  </si>
  <si>
    <t>Anthropogenic changes to seawater buffer capacity combined with natural reef metabolism induce extreme future coral reef CO2 conditions</t>
  </si>
  <si>
    <t>aragonite saturation; carbon dioxide; coral reefs; Great Barrier Reef; ocean acidification; Revelle factor</t>
  </si>
  <si>
    <t>OCEAN ACIDIFICATION; CARBON-DIOXIDE; ATMOSPHERIC CO2; PARTIAL-PRESSURE; CLIMATE-CHANGE; WIND-SPEED; CALCIFICATION; ORGANISMS; EXCHANGE; PACIFIC</t>
  </si>
  <si>
    <t>Ocean acidification, via an anthropogenic increase in seawater carbon dioxide (CO2), is potentially a major threat to coral reefs and other marine ecosystems. However, our understanding of how natural short-term diurnal CO2 variability in coral reefs influences longer term anthropogenic ocean acidification remains unclear. Here, we combine observed natural carbonate chemistry variability with future carbonate chemistry predictions for a coral reef flat in the Great Barrier Reef based on the RCP8.5 CO2 emissions scenario. Rather than observing a linear increase in reef flat partial pressure of CO2 (pCO2) in concert with rising atmospheric concentrations, the inclusion of in situ diurnal variability results in a highly nonlinear threefold amplification of the pCO2 signal by the end of the century. This significant nonlinear amplification of diurnal pCO2 variability occurs as a result of combining natural diurnal biological CO2 metabolism with long-term decreases in seawater buffer capacity, which occurs via increasing anthropogenic CO2 absorption by the ocean. Under the same benthic community composition, the amplification in the variability in pCO2 is likely to lead to exposure to mean maximum daily pCO2 levels of ca. 2100atm, with corrosive conditions with respect to aragonite by end-century at our study site. Minimum pCO2 levels will become lower relative to the mean offshore value (ca. threefold increase in the difference between offshore and minimum reef flat pCO2) by end-century, leading to a further increase in the pCO2 range that organisms are exposed to. The biological consequences of short-term exposure to these extreme CO2 conditions, coupled with elevated long-term mean CO2 conditions are currently unknown and future laboratory experiments will need to incorporate natural variability to test this. The amplification of pCO2 that we describe here is not unique to our study location, but will occur in all shallow coastal environments where high biological productivity drives large natural variability in carbonate chemistry.</t>
  </si>
  <si>
    <t>[Shaw, Emily C.; Mcneil, Ben I.] Univ New S Wales, Fac Sci, Climate Change Res Ctr, Sydney, NSW 2052, Australia; [Tilbrook, Bronte; Matear, Richard] CSIRO Wealth Oceans Natl Res Flagship, Hobart, Tas 7001, Australia; [Tilbrook, Bronte] Univ Tasmania, Antarctic Climate &amp; Ecosyst Co Operat Res Ctr, Hobart, Tas 7001, Australia; [Bates, Michael L.] MIT, Dept Earth Atmospher &amp; Planetary Sci, Cambridge, MA 02139 USA</t>
  </si>
  <si>
    <t>University of New South Wales Sydney; Commonwealth Scientific &amp; Industrial Research Organisation (CSIRO); University of Tasmania; Massachusetts Institute of Technology (MIT)</t>
  </si>
  <si>
    <t>Shaw, EC (corresponding author), Univ New S Wales, Fac Sci, Climate Change Res Ctr, Sydney, NSW 2052, Australia.</t>
  </si>
  <si>
    <t>e.shaw@student.unsw.edu.au</t>
  </si>
  <si>
    <t>Shaw, Emily/L-4065-2013; Tilbrook, Bronte/W-4007-2019; matear, richard/C-5133-2011</t>
  </si>
  <si>
    <t>Shaw, Emily/0000-0002-4148-3526; Tilbrook, Bronte/0000-0001-9385-3827; Bates, Michael/0000-0002-3729-1417; matear, richard/0000-0002-3225-0800; McNeil, Ben/0000-0001-5765-7087</t>
  </si>
  <si>
    <t>University of New South Wales Research Excellence Scholarship; CSIRO Wealth from Oceans Flagship top-up scholarship; Australian Research Council Queen Elizabeth II Fellowship [ARC/DP0880815]; CSIRO Wealth from Oceans Flagship; Australian Climate Change Science Program</t>
  </si>
  <si>
    <t>University of New South Wales Research Excellence Scholarship; CSIRO Wealth from Oceans Flagship top-up scholarship; Australian Research Council Queen Elizabeth II Fellowship(Australian Research Council); CSIRO Wealth from Oceans Flagship(Commonwealth Scientific &amp; Industrial Research Organisation (CSIRO)); Australian Climate Change Science Program</t>
  </si>
  <si>
    <t>We thank K. Berry and A. Swadling, CSIRO Marine Research, for assistance in DIC and TA analyses, and J. Fox and staff at Lady Elliot Island Eco Resort for facilitating the sample collection. K. Meissner is thanked for supplying regional temperature projection data. Comments by K. Anthony and three anonymous reviewers improved the manuscript. E. C. S. is funded by a University of New South Wales Research Excellence Scholarship and a CSIRO Wealth from Oceans Flagship top-up scholarship and B. I. M. by an Australian Research Council Queen Elizabeth II Fellowship (ARC/DP0880815). B. T. and sample analyses were supported through the Australian Climate Change Science Program. R. M. was supported by the CSIRO Wealth from Oceans Flagship and the Australian Climate Change Science Program.</t>
  </si>
  <si>
    <t>10.1111/gcb.12154</t>
  </si>
  <si>
    <t>121ZN</t>
  </si>
  <si>
    <t>WOS:000317284700026</t>
  </si>
  <si>
    <t>Logares, R; Lindström, ES; Langenheder, S; Logue, JB; Paterson, H; Laybourn-Parry, J; Rengefors, K; Tranvik, L; Bertilsson, S</t>
  </si>
  <si>
    <t>Logares, Ramiro; Lindstrom, Eva S.; Langenheder, Silke; Logue, Jurg B.; Paterson, Harriet; Laybourn-Parry, Johanna; Rengefors, Karin; Tranvik, Lars; Bertilsson, Stefan</t>
  </si>
  <si>
    <t>Biogeography of bacterial communities exposed to progressive long-term environmental change</t>
  </si>
  <si>
    <t>Antarctica; Bacteria; environmental change; long-term; pyrosequencing; salinity</t>
  </si>
  <si>
    <t>VESTFOLD HILLS; LAKES; IMMIGRATION; CONTRIBUTES; TRANSITIONS; DIVERSITY; BIOSPHERE; ABUNDANT; UNIFRAC</t>
  </si>
  <si>
    <t>The response of microbial communities to long-term environmental change is poorly understood. Here, we study bacterioplankton communities in a unique system of coastal Antarctic lakes that were exposed to progressive long-term environmental change, using 454 pyrosequencing of the 16S rDNA gene (V3-V4 regions). At the time of formation, most of the studied lakes harbored marine-coastal microbial communities, as they were connected to the sea. During the past 20 000 years, most lakes isolated from the sea, and subsequently they experienced a gradual, but strong, salinity change that eventually developed into a gradient ranging from freshwater (salinity 0) to hypersaline (salinity 100). Our results indicated that present bacterioplankton community composition was strongly correlated with salinity and weakly correlated with geographical distance between lakes. A few abundant taxa were shared between some lakes and coastal marine communities. Nevertheless, lakes contained a large number of taxa that were not detected in the adjacent sea. Abundant and rare taxa within saline communities presented similar biogeography, suggesting that these groups have comparable environmental sensitivity. Habitat specialists and generalists were detected among abundant and rare taxa, with specialists being relatively more abundant at the extremes of the salinity gradient. Altogether, progressive long-term salinity change appears to have promoted the diversification of bacterioplankton communities by modifying the composition of ancestral communities and by allowing the establishment of new taxa. The ISME Journal (2013) 7, 937-948; doi:10.1038/ismej.2012.168; published online 20 December 2012</t>
  </si>
  <si>
    <t>[Logares, Ramiro] CSIC, Inst Marine Sci, ES-08003 Barcelona, Spain; [Logares, Ramiro; Lindstrom, Eva S.; Langenheder, Silke; Logue, Jurg B.; Tranvik, Lars; Bertilsson, Stefan] Uppsala Univ, Dept Ecol &amp; Genet Limnol, Uppsala, Sweden; [Logue, Jurg B.; Rengefors, Karin] Lund Univ, Dept Biol Aquat Ecol, Lund, Sweden; [Paterson, Harriet] Univ Tasmania, Inst Marine &amp; Antarctic Studies, Hobart, Tas, Australia; [Laybourn-Parry, Johanna] Univ Bristol, Sch Geog Sci, Bristol Glaciol Ctr, Bristol, Avon, England</t>
  </si>
  <si>
    <t>Consejo Superior de Investigaciones Cientificas (CSIC); Uppsala University; Lund University; University of Tasmania; University of Bristol</t>
  </si>
  <si>
    <t>Logares, R (corresponding author), CSIC, Inst Ciencies Mar, Passeig Maritim Barceloneta 37-49, ES-08003 Barcelona, Spain.</t>
  </si>
  <si>
    <t>ramiro.logares@gmail.com</t>
  </si>
  <si>
    <t>Tranvik, Lars J/H-2222-2011; Logares, Ramiro/AAI-2306-2019; Paterson, Harriet H/F-3847-2012; Lindström, Eva/H-5930-2016; Logares, Ramiro/D-5920-2011; Logue, Jürg Brendan/AAF-7347-2020; Rengefors, Karin/K-5873-2019; Logue, Jürg Brendan/F-2738-2011; Langenheder, Silke/C-9614-2017</t>
  </si>
  <si>
    <t>Lindström, Eva/0000-0001-8920-3071; Logares, Ramiro/0000-0002-8213-0604; Logue, Jürg Brendan/0000-0001-8838-0914; Paterson, Harriet/0000-0002-9825-3588; Rengefors, Karin/0000-0001-6297-9734; Langenheder, Silke/0000-0002-5245-9935; Tranvik, Lars J./0000-0003-3509-8266</t>
  </si>
  <si>
    <t>Swedish Research Council for Environment, Agricultural Sciences, and Spatial Planning (FORMAS) via Uppsala Microbiomics Centre (UMC); Swedish Research Council; Marie Curie Intra-European Fellowship (EU) [PIEF-GA-2009-235365]; Juan de la Cierva fellowship (Ministry of Science and Innovation, Spain) [JCI-2010-06594]; Australian Antarctic Research Assessment Committee; FORMAS; Olsson-Borghs and Helge Ax:son Johnsons Foundation; Canarian Institute of Astrophysics through the Barcelona Supercomputing Center; MareNostrum through the Spanish Network of Supercomputing [BCV-2010-3-0003, 2011-2-0003/3-0005]</t>
  </si>
  <si>
    <t>Swedish Research Council for Environment, Agricultural Sciences, and Spatial Planning (FORMAS) via Uppsala Microbiomics Centre (UMC)(Swedish Research Council Formas); Swedish Research Council(Swedish Research Council); Marie Curie Intra-European Fellowship (EU)(European Union (EU)Marie Curie Actions); Juan de la Cierva fellowship (Ministry of Science and Innovation, Spain); Australian Antarctic Research Assessment Committee; FORMAS(Swedish Research Council Formas); Olsson-Borghs and Helge Ax:son Johnsons Foundation; Canarian Institute of Astrophysics through the Barcelona Supercomputing Center; MareNostrum through the Spanish Network of Supercomputing</t>
  </si>
  <si>
    <t>Financial support for this work was provided by the Swedish Research Council for Environment, Agricultural Sciences, and Spatial Planning (FORMAS) via Uppsala Microbiomics Centre (UMC) (granted to SB and LT), the Swedish Research Council (granted individually to SB, ESL and KR), the Marie Curie Intra-European Fellowship (PIEF-GA-2009-235365, EU) and Juan de la Cierva fellowship (JCI-2010-06594, Ministry of Science and Innovation, Spain) (granted to RL), the Australian Antarctic Research Assessment Committee (granted to JL-P and KR), FORMAS (granted to SL) and the Olsson-Borghs and Helge Ax:son Johnsons Foundation (granted to JBL). Computing resources were provided by Bioportal (http://www.bioportal.uio.no/), UPPMAX (http://www.uppmax.uu.se/) as well as the Canarian Institute of Astrophysics (www.iac.es) and MareNostrum (http://www.bsc.es/) through the Barcelona Supercomputing Center and Spanish Network of Supercomputing (Grants BCV-2010-3-0003 and 2011-2-0003/3-0005 to RL). We thank the Australian Antarctic Division staff in Kingston, onboard the research vessel Aurora Australis and at Davis Station, Antarctica, in particular, A. Davidson, T. Bailey and D. Lang. We thank O. Ostman for comments that helped to improve this work. G. Salazar is thanked for assistance with R analyses. We also thank the three reviewers and the ISME editor who provided useful comments to improve this work.</t>
  </si>
  <si>
    <t>10.1038/ismej.2012.168</t>
  </si>
  <si>
    <t>131AS</t>
  </si>
  <si>
    <t>Green Published, Green Accepted, hybrid</t>
  </si>
  <si>
    <t>WOS:000317963300005</t>
  </si>
  <si>
    <t>Osborne, D</t>
  </si>
  <si>
    <t>Osborne, Deirdre</t>
  </si>
  <si>
    <t>Skin Deep, a Self-Revealing Act: Monologue, Monodrama, and Mixedness in the Work of SuAndi and Mojisola Adebayo</t>
  </si>
  <si>
    <t>JOURNAL OF CONTEMPORARY DRAMA IN ENGLISH</t>
  </si>
  <si>
    <t>SuAndi; Mojisola Adebayo; monodrama; dramatic monologue; mixedness</t>
  </si>
  <si>
    <t>Notably, a number of dramatic monologues and monodramas written and performed by black British women of multi-ethnic heritage employ polyphonic and transgeneric techniques to articulate perspectives and experiences of mixedness. SuAndi's monologue Passing (1990) and the monodramas The Story of M (2002) by SuAndi and Moj of the Antarctic (2008) by Mojisola Adebayo loosen perceptions of racial and chromatic determiners as not fixed, but mixed. The features of their work create cross-talk between theatre and spoken word poetry, placing mixed experiences at the heart of theatre performance. This article gives recognition to the power of women as solo performers and the kinds of herstories that are restored to sociocultural and, by extension, theatre histories through the liveness of women who perform their own work and the revisions they forge in terms of uses of genre, audience assumptions, casting, and critical receptions. From positions of indigenous cultural and racial heterogeneity, SuAndi's and Adebayo's work adds a further complexity to conceptions of diasporic heritage within Britain's national story, one where claiming family roots is represented as problematic in the eyes of the beholder (surrounding society) but celebrated through their individual acts of cultural reclamation and artistic validation.</t>
  </si>
  <si>
    <t>d.osborne@gold.ac.uk</t>
  </si>
  <si>
    <t>AHRC [AH/I002073/1] Funding Source: UKRI</t>
  </si>
  <si>
    <t>AHRC(UK Research &amp; Innovation (UKRI)Arts &amp; Humanities Research Council (AHRC))</t>
  </si>
  <si>
    <t>WALTER DE GRUYTER GMBH</t>
  </si>
  <si>
    <t>GENTHINER STRASSE 13, D-10785 BERLIN, GERMANY</t>
  </si>
  <si>
    <t>2195-0156</t>
  </si>
  <si>
    <t>2195-0164</t>
  </si>
  <si>
    <t>J CONTEMP DRAMA ENGL</t>
  </si>
  <si>
    <t>J. Contemp. Drama Engl.</t>
  </si>
  <si>
    <t>10.1515/jcde-2013-0006</t>
  </si>
  <si>
    <t>VD2QP</t>
  </si>
  <si>
    <t>WOS:000436513000006</t>
  </si>
  <si>
    <t>Mermillod-Blondin, F; Lefour, C; Lalouette, L; Renault, D; Malard, F; Simon, L; Douady, CJ</t>
  </si>
  <si>
    <t>Mermillod-Blondin, F.; Lefour, C.; Lalouette, L.; Renault, D.; Malard, F.; Simon, L.; Douady, C. J.</t>
  </si>
  <si>
    <t>Thermal tolerance breadths among groundwater crustaceans living in a thermally constant environment</t>
  </si>
  <si>
    <t>thermal tolerance breadth; groundwater crustaceans; free amino acids; immune defense; locomotor activity</t>
  </si>
  <si>
    <t>CLIMATE-CHANGE; NIPHARGUS-RHENORHODANENSIS; SUBTERRANEAN CRUSTACEANS; TEMPERATURE-DEPENDENCE; ECOLOGICAL RELEVANCE; ANTARCTIC ECTOTHERMS; METABOLIC-RESPONSES; CRYPTIC DIVERSITY; SPECIES RANGES; HEAT-SHOCK</t>
  </si>
  <si>
    <t>The climate variability hypothesis assumes that the thermal tolerance breadth of a species is primarily determined by temperature variations experienced in its environment. If so, aquatic invertebrates living in thermally buffered environments would be expected to exhibit narrow thermal tolerance breadths (stenothermy). We tested this prediction by studying the thermal physiology of three isopods (Asellidae, Proasellus) colonizing groundwater habitats characterized by an annual temperature amplitude of less than 1 degrees C. The species responses to temperature variation were assessed in the laboratory using five physiological variables: survival, locomotor activity, aerobic respiration, immune defense and concentrations of total free amino acids and sugars. The three species exhibited contrasted thermal physiologies, although all variables were not equally informative. In accordance with the climate variability hypothesis, two species were extremely sensitive even to moderate changes in temperature (2 degrees C) below and above their habitat temperature. In contrast, the third species exhibited a surprisingly high thermal tolerance breadth (11 degrees C). Differences in response to temperature variation among Proasellus species indicated that their thermal physiology was not solely shaped by the current temperature seasonality in their natural habitats. More particularly, recent gene flow among populations living in thermally constant yet contrasted habitats might explain the occurrence of eurytherm species in thermally buffered environments.</t>
  </si>
  <si>
    <t>[Mermillod-Blondin, F.; Lefour, C.; Lalouette, L.; Malard, F.; Simon, L.; Douady, C. J.] Univ Lyon 1, CNRS, UMR 5023, ENTPE, F-69622 Villeurbanne, France; [Renault, D.] Univ Rennes 1, CNRS, UMR 6553, ECOBIO, F-35042 Rennes, France; [Douady, C. J.] Inst Univ France, F-75005 Paris, France</t>
  </si>
  <si>
    <t>Centre National de la Recherche Scientifique (CNRS); Universite Claude Bernard Lyon 1; CNRS - Institute of Ecology &amp; Environment (INEE); Centre National de la Recherche Scientifique (CNRS); CNRS - Institute of Ecology &amp; Environment (INEE); Universite de Rennes; Institut Universitaire de France</t>
  </si>
  <si>
    <t>Mermillod-Blondin, F (corresponding author), Univ Lyon 1, CNRS, UMR 5023, ENTPE, 6 rue Raphael Dubois, F-69622 Villeurbanne, France.</t>
  </si>
  <si>
    <t>mermillo@univ.lyon1.fr</t>
  </si>
  <si>
    <t>Mermillod-Blondin, Florian/AAF-3491-2020; Douady, Christophe/N-3069-2019; Douady, Christophe J/N-1357-2014; Simon, Laurent/B-4641-2009</t>
  </si>
  <si>
    <t>Mermillod-Blondin, Florian/0000-0001-5685-2892; Douady, Christophe/0000-0002-4503-8040; Douady, Christophe J/0000-0002-4503-8040; RENAULT, David/0000-0003-3644-1759; Simon, Laurent/0000-0003-1389-9871</t>
  </si>
  <si>
    <t>Agence Nationale de la Recherche [ANR-08-JCJC-0120-01]; Institut Universitaire de France; Agence Nationale de la Recherche (ANR) [ANR-08-JCJC-0120] Funding Source: Agence Nationale de la Recherche (ANR)</t>
  </si>
  <si>
    <t>Agence Nationale de la Recherche(Agence Nationale de la Recherche (ANR)); Institut Universitaire de France; Agence Nationale de la Recherche (ANR)(Agence Nationale de la Recherche (ANR))</t>
  </si>
  <si>
    <t>This research was funded by the Agence Nationale de la Recherche (ANR-08-JCJC-0120-01, project DEEP') and by the Institut Universitaire de France.</t>
  </si>
  <si>
    <t>10.1242/jeb.081232</t>
  </si>
  <si>
    <t>127TW</t>
  </si>
  <si>
    <t>WOS:000317722700027</t>
  </si>
  <si>
    <t>Stewart, AL; Dellar, PJ</t>
  </si>
  <si>
    <t>Stewart, Andrew L.; Dellar, Paul J.</t>
  </si>
  <si>
    <t>Multilayer shallow water equations with complete Coriolis force. Part 3. Hyperbolicity and stability under shear</t>
  </si>
  <si>
    <t>JOURNAL OF FLUID MECHANICS</t>
  </si>
  <si>
    <t>waves in rotating fluids; internal waves; ocean processes</t>
  </si>
  <si>
    <t>ANTARCTIC BOTTOM WATER; CROSS-EQUATORIAL FLOW; POSITIVE DEFINITENESS; POTENTIAL VORTICITY; SUPERPOSED STREAMS; EXPLICIT CRITERION; WAVES; OCEAN; INSTABILITIES; DERIVATION</t>
  </si>
  <si>
    <t>We analyse the hyperbolicity of our multilayer shallow water equations that include the complete Coriolis force due to the Earth's rotation. Shallow water theory represents flows in which the vertical shear is concentrated into vortex sheets between layers of uniform velocity. Such configurations are subject to Kelvin-Helmholtz instabilities, with arbitrarily large growth rates for sufficiently short-wavelength disturbances. These instabilities manifest themselves through a loss of hyperbolicity in the shallow water equations, rendering them ill-posed for the solution of initial value problems. We show that, in the limit of vanishingly small density difference between the two layers, our two-layer shallow water equations remain hyperbolic when the velocity difference remains below the same threshold that also ensures the hyperbolicity of the standard shallow water equations. Direct calculation of the domain of hyperbolicity becomes much less tractable for three or more layers, so we demonstrate numerically that the threshold for the velocity differences, below which the three-layer equations remain hyperbolic, is also unchanged by the inclusion of the complete Coriolis force. In all cases, the shape of the domain of hyperbolicity, which extends outside the threshold, changes considerably. The standard shallow water equations only lose hyperbolicity due to shear parallel to the direction of wave propagation, but the complete Coriolis force introduces another mechanism for loss of hyperbolicity due to shear in the perpendicular direction. We demonstrate that this additional mechanism corresponds to the onset of a transverse shear instability driven by the non-traditional components of the Coriolis force in a three-dimensional continuously stratified fluid.</t>
  </si>
  <si>
    <t>[Stewart, Andrew L.; Dellar, Paul J.] Univ Oxford, Inst Math, OCIAM, Oxford OX1 3LB, England</t>
  </si>
  <si>
    <t>University of Oxford</t>
  </si>
  <si>
    <t>Dellar, PJ (corresponding author), Univ Oxford, Inst Math, OCIAM, 24-29 St Giles, Oxford OX1 3LB, England.</t>
  </si>
  <si>
    <t>dellar@maths.ox.ac.uk</t>
  </si>
  <si>
    <t>Dellar, Paul J/A-6367-2012</t>
  </si>
  <si>
    <t>Engineering and Physical Sciences Research Council; Advanced Research Fellowship [EP/E054625/1]; EPSRC [EP/E054625/1] Funding Source: UKRI; Engineering and Physical Sciences Research Council [EP/E054625/1] Funding Source: researchfish</t>
  </si>
  <si>
    <t>Engineering and Physical Sciences Research Council(UK Research &amp; Innovation (UKRI)Engineering &amp; Physical Sciences Research Council (EPSRC)); Advanced Research Fellowship; EPSRC(UK Research &amp; Innovation (UKRI)Engineering &amp; Physical Sciences Research Council (EPSRC)); Engineering and Physical Sciences Research Council(UK Research &amp; Innovation (UKRI)Engineering &amp; Physical Sciences Research Council (EPSRC))</t>
  </si>
  <si>
    <t>This work was supported by the Engineering and Physical Sciences Research Council through a PhD Plus award to A.L.S. and an Advanced Research Fellowship [grant number EP/E054625/1] to P.J.D.</t>
  </si>
  <si>
    <t>0022-1120</t>
  </si>
  <si>
    <t>1469-7645</t>
  </si>
  <si>
    <t>J FLUID MECH</t>
  </si>
  <si>
    <t>J. Fluid Mech.</t>
  </si>
  <si>
    <t>10.1017/jfm.2013.121</t>
  </si>
  <si>
    <t>Mechanics; Physics, Fluids &amp; Plasmas</t>
  </si>
  <si>
    <t>Mechanics; Physics</t>
  </si>
  <si>
    <t>126YO</t>
  </si>
  <si>
    <t>WOS:000317659400012</t>
  </si>
  <si>
    <t>Warneford, ES; Dellar, PJ</t>
  </si>
  <si>
    <t>Warneford, Emma S.; Dellar, Paul J.</t>
  </si>
  <si>
    <t>The quasi-geostrophic theory of the thermal shallow water equations</t>
  </si>
  <si>
    <t>Hamiltonian theory; quasi-geostrophic flows; shallow water flows</t>
  </si>
  <si>
    <t>ANTARCTIC CIRCUMPOLAR CURRENT; AVAILABLE POTENTIAL-ENERGY; EQUIVALENT BAROTROPIC MODEL; LAYER OCEAN MODEL; HAMILTONIAN-STRUCTURE; EQUATORIAL DYNAMICS; STABILITY; JETS; DERIVATION; DENSITY</t>
  </si>
  <si>
    <t>The thermal shallow water equations provide a depth-averaged description of motions in a fluid layer that permits horizontal variations in material properties. They typically arise through an equivalent barotropic approximation of a two-layer system, with a spatially varying density contrast due to an evolving temperature field in the active layer. We formalize a previous derivation of the quasi-geostrophic (QG) theory of these equations, by performing a direct asymptotic expansion for small Rossby number. We then present a second derivation as the small Rossby number limit of a balanced model that projects out high-frequency dynamics due to inertia-gravity waves. This latter derivation has wider validity, not being restricted to mid-latitude beta-planes. We also derive their local energy conservation equation from the QG limit of a thermal shallow water pseudo-energy conservation equation. This derivation involves the ageostrophic correction to the leading-order geostrophic velocity that is eliminated in the usual derivation of a closed evolution equation for the QG potential vorticity. Finally, we derive the non-canonical Hamiltonian structure of the thermal QG equations from a decomposition in Rossby number of a pseudo-energy and Poisson bracket for the thermal shallow water equations.</t>
  </si>
  <si>
    <t>[Warneford, Emma S.; Dellar, Paul J.] Math Inst, OCIAM, Oxford OX1 3LB, England</t>
  </si>
  <si>
    <t>Dellar, PJ (corresponding author), Math Inst, OCIAM, 24-29 St Giles, Oxford OX1 3LB, England.</t>
  </si>
  <si>
    <t>We thank L.N. Chapman, R. Salmon, A.L. Stewart and W.R. Young for useful conversations. This work was supported by the Engineering and Physical Sciences Research Council through a Doctoral Training Grant award to E.S.W. and an Advanced Research Fellowship [grant number EP/E054625/1] to P.J.D.</t>
  </si>
  <si>
    <t>10.1017/jfm.2013.101</t>
  </si>
  <si>
    <t>WOS:000317659400015</t>
  </si>
  <si>
    <t>Primeau, FW; Holzer, M; DeVries, T</t>
  </si>
  <si>
    <t>Primeau, Francois W.; Holzer, Mark; DeVries, Timothy</t>
  </si>
  <si>
    <t>Southern Ocean nutrient trapping and the efficiency of the biological pump</t>
  </si>
  <si>
    <t>phosphate; biological pump; Southern Ocean; data assimilation; ocean model; biological production</t>
  </si>
  <si>
    <t>GLOBAL OCEAN; ATMOSPHERIC CO2; BIOGEOCHEMISTRY MODELS; HIGH-LATITUDE; DISTRIBUTIONS; PACIFIC; THERMOCLINE; CIRCULATION; VENTILATION; PHOSPHATE</t>
  </si>
  <si>
    <t>We present a data-assimilated model of the ocean's phosphorus cycle that is constrained by climatological phosphate, temperature, salinity, sea-surface height, surface heat and freshwater fluxes, as well as chlorofluorocarbon-11(CFC-11) and natural C-14. Export production is estimated to be 5.82.0x10(12) mol P/yr of which (266)% originates in the Southern Ocean (SO) south of 40 degrees S. The biological pump efficiency, defined as the proportion of the ocean's phosphate inventory that is regenerated, is (397)%. Dividing the SO south of 40 degrees S into a sub-Antarctic zone (SANTZ) and an Antarctic zone (ANTZ) separated by the latitude of maximum Ekman divergence, we estimate that the SANTZ and ANTZ account, respectively, for (235)% and (3 +/- 1)% of global export production, (17 +/- 4)% and (3 +/- 1)% of the regenerated nutrient inventory, and (31 +/- 1)% and (43 +/- 5)% of the preformed nutrient inventory. Idealized SO nutrient depletion experiments reveal a large-scale transfer of nutrients into circumpolar and deep waters and from the preformed to the regenerated pool. In accord with the concept of the biogeochemical divide, we find that nutrient drawdown in the ANTZ is more effective than in the SANTZ for increasing the efficiency of the biological pump, while having a smaller impact on production in regions north of 40 degrees S. Complete SO nutrient drawdown would allow the biological pump to operate at 94% efficiency by short circuiting the transport of nutrients in northward Ekman currents, leading to a trapping of nutrients in circumpolar and deep waters that would decrease production outside the SO by approximately 44% while increasing it in the SO by more than 725%.</t>
  </si>
  <si>
    <t>[Primeau, Francois W.] Univ Calif Irvine, Dept Earth Syst Sci, Irvine, CA 92697 USA; [Holzer, Mark] Univ New S Wales, Sch Math &amp; Stat, Dept Appl Math, Sydney, NSW 2052, Australia; [Holzer, Mark] Columbia Univ, Dept Appl Phys &amp; Appl Math, New York, NY USA; [DeVries, Timothy] Univ Calif Los Angeles, Dept Atmospher &amp; Ocean Sci, Los Angeles, CA USA</t>
  </si>
  <si>
    <t>University of California System; University of California Irvine; University of New South Wales Sydney; Columbia University; University of California System; University of California Los Angeles</t>
  </si>
  <si>
    <t>Primeau, FW (corresponding author), Univ Calif Irvine, Dept Earth Syst Sci, Croul Hall, Irvine, CA 92697 USA.</t>
  </si>
  <si>
    <t>fprimeau@uci.edu</t>
  </si>
  <si>
    <t>; Primeau, Francois/A-7310-2011; Holzer, Mark/E-8735-2011</t>
  </si>
  <si>
    <t>DeVries, Tim/0000-0002-7771-9430; Primeau, Francois/0000-0001-7452-9415; Holzer, Mark/0000-0002-9568-1763</t>
  </si>
  <si>
    <t>NSF [OCE-1131768, ATM-0854711]; ARC [DP120100674]; [OCE-1131548]; Directorate For Geosciences [1131768] Funding Source: National Science Foundation; Directorate For Geosciences; Div Atmospheric &amp; Geospace Sciences [0854711] Funding Source: National Science Foundation; Division Of Ocean Sciences [1131768] Funding Source: National Science Foundation</t>
  </si>
  <si>
    <t>NSF(National Science Foundation (NSF)); ARC(Australian Research Council); ; Directorate For Geosciences(National Science Foundation (NSF)NSF - Directorate for Geosciences (GEO)); Directorate For Geosciences; Div Atmospheric &amp; Geospace Sciences(National Science Foundation (NSF)NSF - Directorate for Geosciences (GEO)); Division Of Ocean Sciences(National Science Foundation (NSF)NSF - Directorate for Geosciences (GEO))</t>
  </si>
  <si>
    <t>This work was supported by NSF grant OCE-1131768 (FP), by ARC grant DP120100674, and NSF grant ATM-0854711 (M. H). T. D. acknowledges support from grant OCE-1131548 awarded to Curtis Deutch at UCLA. M. H. also acknowledges a UNSW faculty research grant.</t>
  </si>
  <si>
    <t>10.1002/jgrc.20181</t>
  </si>
  <si>
    <t>WOS:000324913700021</t>
  </si>
  <si>
    <t>Cotroneo, Y; Budillon, G; Fusco, G; Spezie, G</t>
  </si>
  <si>
    <t>Cotroneo, Yuri; Budillon, Giorgio; Fusco, Giannetta; Spezie, Giancarlo</t>
  </si>
  <si>
    <t>Cold core eddies and fronts of the Antarctic Circumpolar Current south of New Zealand from in situ and satellite data</t>
  </si>
  <si>
    <t>ACC; XBT; eddies; fronts; altimetry; heat content</t>
  </si>
  <si>
    <t>OCEANIC GENERAL CIRCULATION; MESOSCALE EDDIES; DRAKE PASSAGE; MEAN-FLOW; EDDY; HEAT; TASMANIA; JETS; FLUX; TOPEX/POSEIDON</t>
  </si>
  <si>
    <t>The meridional heat flux required to balance the heat lost by ocean to atmosphere at high latitudes must be accomplished by some mechanism other than mean advection and the heat flux by eddies crossing the Antarctic Circumpolar Current (ACC) may be a candidate. In this study, the positions of the main ACC fronts are determined based on 23 expendable bathythermographs (XBT) transects collected from 1994 to 2010 and are compared with those detected through satellite altimetry. Then, cold core anomalies in XBT sections are identified and altimetry is used to follow the spatial-temporal evolution of these cold, low sea level anomalies. Mean values of main parameters, such as speed (0.35 km/h), lifetime (79 weeks), and diameter (105 km), are estimated. Moreover, estimations of rotational speed (0.9-76.8 cm/s), ocean surface layer heat content along temperature sections and eddy available heat anomaly (mean value -9.74 x 10(9) Jm(-2)) give a wider description of the detected eddies. In our study area, the spawning of eddies is found to occur downstream of the Southeast Indian Ridge and in correspondence of the polar front (PF) with regard to the ACC frontal structure. The contribution of eddies to the global heat budget is not only linked to their ability to cross the ACC fronts but also to the capacity of keeping partially unaltered the properties of water inside them. Analysis of the relation between the translation and rotational speeds shows that a typical eddy may effectively be a significant part (0.8%) of the net meridional heat transport across the PF with a mean heat content/anomaly of -7.65 x 10(19) J.</t>
  </si>
  <si>
    <t>[Cotroneo, Yuri; Budillon, Giorgio; Fusco, Giannetta; Spezie, Giancarlo] Univ Napoli Parthenope, Ctr Direz, I-80143 Naples, Italy</t>
  </si>
  <si>
    <t>Parthenope University Naples</t>
  </si>
  <si>
    <t>Cotroneo, Y (corresponding author), Univ Napoli Parthenope, Ctr Direz, Isola C4, I-80143 Naples, Italy.</t>
  </si>
  <si>
    <t>yuri.cotroneo@uniparthenope.it</t>
  </si>
  <si>
    <t>Budillon, Giorgio/O-5348-2014; Fusco, Giannetta/J-5118-2019; Cotroneo, Yuri/M-4010-2019</t>
  </si>
  <si>
    <t>Budillon, Giorgio/0000-0003-1756-2221; Fusco, Giannetta/0000-0003-1769-2456; Cotroneo, Yuri/0000-0002-0099-0142</t>
  </si>
  <si>
    <t>ENEA; Cnes</t>
  </si>
  <si>
    <t>ENEA(ENEA, Italy); Cnes(Centre National D'etudes Spatiales)</t>
  </si>
  <si>
    <t>This study was performed in the framework of Climatic Long-term Interactions for the Mass-balance in Antarctica (CLIMA) and Southern Ocean Chokepoints Italian Contribution (SOChIC) projects as part of the Italian National Program for Research in Antarctica (PNRA) and was financially supported by ENEA through a joint research program. The authors thank two anonymous referees whose suggestions helped improving the paper. The altimeter products were produced by Ssalto/Duacs and distributed by Aviso, with support from Cnes (http://www.aviso.oceanobs.com/duacs/).</t>
  </si>
  <si>
    <t>10.1002/jgrc.20193</t>
  </si>
  <si>
    <t>WOS:000324913700028</t>
  </si>
  <si>
    <t>Petty, AA; Feltham, DL; Holland, PR</t>
  </si>
  <si>
    <t>Petty, Alek A.; Feltham, Daniel L.; Holland, Paul R.</t>
  </si>
  <si>
    <t>Impact of Atmospheric Forcing on Antarctic Continental Shelf Water Masses</t>
  </si>
  <si>
    <t>SOUTHERN WEDDELL SEA; MARGINAL ICE-ZONE; BOTTOM WATER; MIXED-LAYER; OCEAN MODEL; THERMODYNAMIC MODEL; DEEP-WATER; CIRCULATION; PARAMETERIZATION; OCEANOGRAPHY</t>
  </si>
  <si>
    <t>The Antarctic continental shelf seas feature a bimodal distribution of water mass temperature, with the Amundsen and Bellingshausen Seas flooded by Circumpolar Deep Water that is several degrees Celsius warmer than the cold shelf waters prevalent in the Weddell and Ross Seas. This bimodal distribution could be caused by differences in atmospheric forcing, ocean dynamics, ocean and ice feedbacks, or some combination of these factors. In this study, a highly simplified coupled sea ice-mixed layer model is developed to investigate the physical processes controlling this situation. Under regional atmospheric forcings and parameter choices the 10-yr simulations demonstrate a complete destratification of the Weddell Sea water column in winter, forming cold, relatively saline shelf waters, while the Amundsen Sea winter mixed layer remains shallower, allowing a layer of deep warm water to persist. Applying the Weddell atmospheric forcing to the Amundsen Sea model destratifies the water column after two years, and applying the Amundsen forcing to the Weddell Sea model results in a shallower steady-state winter mixed layer that no longer destratifies the water column. This suggests that the regional difference in atmospheric forcings alone is sufficient to account for the bimodal distribution in Antarctic shelf-sea temperatures. The model prediction of mixed layer depth is most sensitive to the air temperature forcing, but a switch in all forcings is required to prevent destratification of the Weddell Sea water column.</t>
  </si>
  <si>
    <t>[Petty, Alek A.] UCL, Dept Earth Sci, Ctr Polar Observat &amp; Modelling, London WC1E 6BT, England; [Feltham, Daniel L.] Univ Reading, Dept Meteorol, Ctr Polar Observat &amp; Modelling, Reading, Berks, England; [Holland, Paul R.] British Antarctic Survey, Cambridge CB3 0ET, England</t>
  </si>
  <si>
    <t>University of London; University College London; University of Reading; UK Research &amp; Innovation (UKRI); Natural Environment Research Council (NERC); NERC British Antarctic Survey</t>
  </si>
  <si>
    <t>Petty, AA (corresponding author), UCL, Natl Ctr Earth Observat, Ctr Polar Observat &amp; Modelling, Dept Earth Sci, Mortimer St, London WC1E 6BT, England.</t>
  </si>
  <si>
    <t>alek.petty.10@ucl.ac.uk</t>
  </si>
  <si>
    <t>Holland, Paul R/G-2796-2012; Petty, Alek/K-1839-2014</t>
  </si>
  <si>
    <t>Feltham, Daniel/0000-0003-2289-014X; Petty, Alek/0000-0003-0307-3216</t>
  </si>
  <si>
    <t>NERC [NE/I023708/2, NE/I023708/1, bas0100028] Funding Source: UKRI; Natural Environment Research Council [NE/I023708/1, NE/I023708/2, bas0100028] Funding Source: researchfish</t>
  </si>
  <si>
    <t>10.1175/JPO-D-12-0172.1</t>
  </si>
  <si>
    <t>154IV</t>
  </si>
  <si>
    <t>WOS:000319669100006</t>
  </si>
  <si>
    <t>Zika, JD; Le Sommer, J; Dufour, CO; Molines, JM; Barnier, B; Brasseur, P; Dussin, R; Penduff, T; Iudicone, D; Lenton, A; Madec, G; Mathiot, P; Orr, J; Shuckburgh, E; Vivier, F</t>
  </si>
  <si>
    <t>Zika, Jan D.; Le Sommer, Julien; Dufour, Carolina O.; Molines, Jean-Marc; Barnier, Bernard; Brasseur, Pierre; Dussin, Raphael; Penduff, Thierry; Iudicone, Daniele; Lenton, Andrew; Madec, Gurvan; Mathiot, Pierre; Orr, James; Shuckburgh, Emily; Vivier, Frederic</t>
  </si>
  <si>
    <t>Vertical Eddy Fluxes in the Southern Ocean</t>
  </si>
  <si>
    <t>OVERTURNING CIRCULATION; PART I; MODEL; VARIABILITY; SUBDUCTION; HEMISPHERE; TRANSPORT; EDDIES; CELLS; HEAT</t>
  </si>
  <si>
    <t>The overturning circulation of the Southern Ocean has been investigated using eddying coupled ocean-sea ice models. The circulation is diagnosed in both density-latitude coordinates and in depth-density coordinates. Depth-density coordinates follow streamlines where the Antarctic Circumpolar Current is equivalent barotropic, capture the descent of Antarctic Bottom Water, follow density outcrops at the surface, and can be interpreted energetically. In density-latitude coordinates, wind-driven northward transport of light water and southward transport of dense water are compensated by standing meanders and to a lesser degree by transient eddies, consistent with previous results. In depth-density coordinates, however, wind-driven upwelling of dense water and downwelling of light water are compensated more strongly by transient eddy fluxes than fluxes because of standing meanders. Model realizations are discussed where the wind pattern of the southern annular mode is amplified. In density-latitude coordinates, meridional fluxes because of transient eddies can increase to counter changes in Ekman transport and decrease in response to changes in the standing meanders. In depth-density coordinates, vertical fluxes because of transient eddies directly counter changes in Ekman pumping.</t>
  </si>
  <si>
    <t>[Zika, Jan D.; Le Sommer, Julien; Dufour, Carolina O.; Molines, Jean-Marc; Barnier, Bernard; Brasseur, Pierre; Dussin, Raphael; Penduff, Thierry] Univ Grenoble, CNRS, Lab Ecoulements Geophys &amp; Ind, Grenoble, France; [Zika, Jan D.] Univ Southampton, Natl Oceanog Ctr, Southampton SO14 3ZH, Hants, England; [Dufour, Carolina O.; Orr, James] CEA CNRS, Lab Sci Climat &amp; Environm, Gif Sur Yvette, France; [Iudicone, Daniele] Stn Zool Anton Dohrn, Naples, Italy; [Lenton, Andrew] CSIRO Marine &amp; Atmospher Res, Aspendale, Vic, Australia; [Madec, Gurvan; Vivier, Frederic] UPMC IPSL IRD CNRS, LOCEAN, Paris, France; [Madec, Gurvan] NOCS, Natl Oceanog Ctr, Southampton, Hants, England; [Mathiot, Pierre] TECLIM, Earth &amp; Life Inst, Louvain, Belgium; [Shuckburgh, Emily] British Antarctic Survey, Cambridge CB3 0ET, England</t>
  </si>
  <si>
    <t>Communaute Universite Grenoble Alpes; Institut National Polytechnique de Grenoble; Universite Grenoble Alpes (UGA); Centre National de la Recherche Scientifique (CNRS); University of Southampton; NERC National Oceanography Centre; CEA; Centre National de la Recherche Scientifique (CNRS); Universite Paris Saclay; Stazione Zoologica Anton Dohrn di Napoli; Commonwealth Scientific &amp; Industrial Research Organisation (CSIRO); Sorbonne Universite; Museum National d'Histoire Naturelle (MNHN); NERC National Oceanography Centre; UK Research &amp; Innovation (UKRI); Natural Environment Research Council (NERC); NERC British Antarctic Survey</t>
  </si>
  <si>
    <t>Zika, JD (corresponding author), Univ Southampton, Natl Oceanog Ctr, Southampton SO14 3ZH, Hants, England.</t>
  </si>
  <si>
    <t>j.d.zika@soton.ac.uk</t>
  </si>
  <si>
    <t>madec, gurvan/E-7825-2010; Dufour, Carolina/GZA-9986-2022; Barnier, Bernard/F-2400-2016; Le Sommer, Julien/ABG-8801-2021; Orr, James C/C-5221-2009; Iudicone, Daniele/B-9008-2008; Penduff, Thierry/AAH-6554-2021; Lenton, Andrew/D-2077-2012</t>
  </si>
  <si>
    <t>madec, gurvan/0000-0002-6447-4198; Dufour, Carolina/0000-0002-1441-3880; Le Sommer, Julien/0000-0002-6882-2938; Penduff, Thierry/0000-0002-0407-8564; Zika, Jan/0000-0003-3462-3559; Mathiot, Pierre/0000-0002-2001-0762; Iudicone, Daniele/0000-0002-7473-394X; Shuckburgh, Emily/0000-0001-9206-3444; Vivier, Frederic/0000-0003-2539-4133; Orr, James/0000-0002-8707-7080; Lenton, Andrew/0000-0001-9437-8896</t>
  </si>
  <si>
    <t>ANR [ANR-08-JCJC-0777-01]; CNRS/INSU through the LEFE Program; European Community [283367]; Natural Environment Research Council [bas0100028, noc010010, NE/I020415/1] Funding Source: researchfish; NERC [bas0100028, NE/I020415/1, noc010010] Funding Source: UKRI</t>
  </si>
  <si>
    <t>ANR(Agence Nationale de la Recherche (ANR)); CNRS/INSU through the LEFE Program; European Community; Natural Environment Research Council(UK Research &amp; Innovation (UKRI)Natural Environment Research Council (NERC)); NERC(UK Research &amp; Innovation (UKRI)Natural Environment Research Council (NERC))</t>
  </si>
  <si>
    <t>We thank Rosemary Morrow, Francesco D'Ovidio for valuable contributions to this project, and George Nurser, John Marshall, and Alberto Naveira-Garabato for useful comments on this manuscript. We acknowledge the numerous interactions with members of the Drakkar consortium including the use of output from the ORCA025-G70 simulation. This work was partially funded by the ANR through Contract ANR-08-JCJC-0777-01. Support from CNRS/INSU through the LEFE Program (C02SUD project) is also acknowledged. Research leading to these results has received funding from the European Community's Seventh Program FP7/2007-2013 under Grant agreement 283367 (MyOcean2). Simulations were performed at CINES (Montpellier, France) and IDRIS (Orsay, France).</t>
  </si>
  <si>
    <t>10.1175/JPO-D-12-0178.1</t>
  </si>
  <si>
    <t>Green Published, Green Accepted, Bronze, Green Submitted</t>
  </si>
  <si>
    <t>WOS:000319669100007</t>
  </si>
  <si>
    <t>Thompson, GA; Dinofrio, EO; Alder, VA</t>
  </si>
  <si>
    <t>Thompson, Gustavo A.; Dinofrio, Estela O.; Alder, Viviana A.</t>
  </si>
  <si>
    <t>Structure, abundance and biomass size spectra of copepods and other zooplankton communities in upper waters of the Southwestern Atlantic Ocean during summer</t>
  </si>
  <si>
    <t>JOURNAL OF PLANKTON RESEARCH</t>
  </si>
  <si>
    <t>size structure; copepods; zooplankton; Southwestern Atlantic; normalized biomass size spectra</t>
  </si>
  <si>
    <t>SCOTIA SEA; TINTINNIDS CILIOPHORA; POPULATION-DYNAMICS; DISPLACEMENT VOLUME; EUPHAUSIA-SUPERBA; SURFACE WATERS; SOUTHERN-OCEAN; WET WEIGHT; DRY-WEIGHT; PLANKTON</t>
  </si>
  <si>
    <t>Little attention has been paid to small copepods and other zooplankton inhabiting pelagic ecosystems of the Southwestern Atlantic Ocean under the influence of the Antarctic Circumpolar Current circulation, despite their important role in the trophic chain and fisheries. This study gives a synoptic view (January 2001) of the micro and mesoplankton size fractions and normalized biomass size spectra (NBSS) in upper waters of five different ecological domains (shelf and oceanic Subantarctic and Antarctic waters) including the BrazilMalvinas confluence (BMC). Copepods were always the main component of the zooplankton; the 300-m fraction represented between 70 and 99 in terms of numbers and from 20 to 88 in terms of biomass. Other zooplankton contributed with 40 to total zooplankton densities, though showing some biomass peaks (50). Chlorophyll a, sea surface temperature and salinity were the environmental variables that best explained the distribution trend of zooplankton, mainly that of the 300-m fraction. For all the domains, NBSS revealed flat slopes (0.6 to 1), suggesting a higher proportion of large organisms than expected at equilibrium. A dome-shape feature was detected in the BMC. Total biomass and trophic levels of the system were related to the composition of the community and the hydrological conditions of the domains covered.</t>
  </si>
  <si>
    <t>[Thompson, Gustavo A.; Alder, Viviana A.] Univ Buenos Aires, Dept Ecol Genet &amp; Evoluc, Fac Ciencias Exactas &amp; Nat, IEGEBA CONICET UBA, Buenos Aires, DF, Argentina; [Dinofrio, Estela O.; Alder, Viviana A.] Inst Antartico Argentino, Buenos Aires, DF, Argentina</t>
  </si>
  <si>
    <t>University of Buenos Aires; Instituto Antartico Argentino</t>
  </si>
  <si>
    <t>Thompson, GA (corresponding author), Univ Buenos Aires, Dept Ecol Genet &amp; Evoluc, Fac Ciencias Exactas &amp; Nat, IEGEBA CONICET UBA, Ciudad Univ Pab 2, Buenos Aires, DF, Argentina.</t>
  </si>
  <si>
    <t>gustavo@ege.fcen.uba.ar</t>
  </si>
  <si>
    <t>Thompson, Gustavo/0000-0002-5511-3673; Alder, Viviana A./0000-0002-7375-3279</t>
  </si>
  <si>
    <t>Agencia Nacional de Promocion Cientifica y Tecnologica; Instituto Antartico Argentino-Direccion Nacional del Antartico [ANPCyT PICT 7-9108, IAA-DNA]</t>
  </si>
  <si>
    <t>Agencia Nacional de Promocion Cientifica y Tecnologica(ANPCyTSpanish Government); Instituto Antartico Argentino-Direccion Nacional del Antartico</t>
  </si>
  <si>
    <t>This work was supported by Agencia Nacional de Promocion Cientifica y Tecnologica and Instituto Antartico Argentino-Direccion Nacional del Antartico [ANPCyT PICT 7-9108 and IAA-DNA to V.A.].</t>
  </si>
  <si>
    <t>0142-7873</t>
  </si>
  <si>
    <t>1464-3774</t>
  </si>
  <si>
    <t>J PLANKTON RES</t>
  </si>
  <si>
    <t>J. Plankton Res.</t>
  </si>
  <si>
    <t>10.1093/plankt/fbt014</t>
  </si>
  <si>
    <t>139HQ</t>
  </si>
  <si>
    <t>WOS:000318573100012</t>
  </si>
  <si>
    <t>Trimborn, S; Brenneis, T; Sweet, E; Rost, B</t>
  </si>
  <si>
    <t>Trimborn, Scarlett; Brenneis, Tina; Sweet, Elizabeth; Rost, Bjoern</t>
  </si>
  <si>
    <t>Sensitivity of Antarctic phytoplankton species to ocean acidification: Growth, carbon acquisition, and species interaction</t>
  </si>
  <si>
    <t>ANHYDRASE ACTIVITY; MARINE-PHYTOPLANKTON; SEA PHYTOPLANKTON; CO2; DIATOMS; ICE; SEAWATER; PHOTOSYNTHESIS; DISSOCIATION; CONSTANTS</t>
  </si>
  <si>
    <t>Despite the fact that ocean acidification is considered to be especially pronounced in the Southern Ocean, little is known about CO2-dependent physiological processes and the interactions of Antarctic phytoplankton key species. We therefore studied the effects of CO2 partial pressure (P-CO2) (16.2, 39.5, and 101.3 Pa) on growth and photosynthetic carbon acquisition in the bloom-forming species Chaetoceros debilis, Pseudo-nitzschia subcurvata, Fragilariopsis kerguelensis, and Phaeocystis antarctica. Using membrane-inlet mass spectrometry, photosynthetic O-2 evolution and inorganic carbon (C-i) fluxes were determined as a function of CO2 concentration. Only the growth of C. debilis was enhanced under high P-CO2. Analysis of the carbon concentrating mechanism (CCM) revealed the operation of very efficient CCMs (i.e., high Ci affinities) in all species, but there were species-specific differences in CO2-dependent regulation of individual CCM components (i.e., CO2 and HCO3- uptake kinetics, carbonic anhydrase activities). Gross CO2 uptake rates appear to increase with the cell surface area to volume ratios. Species competition experiments with C. debilis and P. subcurvata under different P-CO2 levels confirmed the CO2-stimulated growth of C. debilis observed in monospecific incubations, also in the presence of P. subcurvata. Independent of P-CO2, high initial cell abundances of P. subcurvata led to reduced growth rates of C. debilis. For a better understanding of future changes in phytoplankton communities, CO2-sensitive physiological processes need to be identified, but also species interactions must be taken into account because their interplay determines the success of a species.</t>
  </si>
  <si>
    <t>[Trimborn, Scarlett; Brenneis, Tina; Sweet, Elizabeth; Rost, Bjoern] Alfred Wegener Inst Polar &amp; Marine Res, Bremerhaven, Germany</t>
  </si>
  <si>
    <t>Trimborn, S (corresponding author), Alfred Wegener Inst Polar &amp; Marine Res, Bremerhaven, Germany.</t>
  </si>
  <si>
    <t>scarlett.trimborn@awi.de</t>
  </si>
  <si>
    <t>Trimborn, Scarlett/AAM-1061-2021; Rost, Bjoern/B-4447-2015</t>
  </si>
  <si>
    <t>Trimborn, Scarlett/0000-0003-1434-9927; Rost, Bjoern/0000-0001-5452-5505</t>
  </si>
  <si>
    <t>German Science Foundation (DFG) [TR 899]; European Research Council (ERC) [205150]; European Research Council (ERC) [205150] Funding Source: European Research Council (ERC)</t>
  </si>
  <si>
    <t>German Science Foundation (DFG)(German Research Foundation (DFG)); European Research Council (ERC)(European Research Council (ERC)Spanish Government); European Research Council (ERC)(European Research Council (ERC)Spanish Government)</t>
  </si>
  <si>
    <t>This work was funded by the German Science Foundation (DFG) project TR 899, and by the European Research Council (ERC) under the European Community's Seventh Framework Programme (FP7 / 2007-2013), ERC grant agreement 205150.</t>
  </si>
  <si>
    <t>10.4319/lo.2013.58.3.0997</t>
  </si>
  <si>
    <t>192NG</t>
  </si>
  <si>
    <t>WOS:000322491100020</t>
  </si>
  <si>
    <t>Venables, HJ; Clarke, A; Meredith, MP</t>
  </si>
  <si>
    <t>Venables, Hugh J.; Clarke, Andrew; Meredith, Michael P.</t>
  </si>
  <si>
    <t>Wintertime controls on summer stratification and productivity at the western Antarctic Peninsula</t>
  </si>
  <si>
    <t>NORTHERN MARGUERITE BAY; MELTING GLACIERS FUELS; SEA-ICE; CLIMATE-CHANGE; PHYTOPLANKTON BLOOMS; CRITICAL DEPTH; IRON FERTILIZATION; CONTINENTAL-SHELF; OCEAN; VARIABILITY</t>
  </si>
  <si>
    <t>We report results collected year-round since 1998 in northern Marguerite Bay, just inside the Antarctic Circle. The magnitude of the spring phytoplankton bloom is much reduced following winters with reduced sea-ice cover. In years with little winter sea-ice the exposed sea surface leads to deep mixed layers in winter, and reduced water-column stratification the following spring. Summer mixed-layer depths are similar, however, so the change is not in overall light availability but toward a less stable water column with greater vertical mixing and increased variability in the light conditions experienced by phytoplankton. Macronutrient concentrations are replete at all times, but the increased vertical mixing likely reduces iron availability. The timing of bloom initiation is similar between heavy and light ice years, occurring soon after light returns in early spring, at a mixed-layer averaged light level of &lt; 1 mol photon m(-2) d(-1). Ongoing regional climate change in the WAP area, and notably the ongoing loss of winter sea-ice, is likely to drive a downward trend in the magnitude of phytoplankton blooms in this region of the Antarctic Peninsula.</t>
  </si>
  <si>
    <t>[Venables, Hugh J.; Clarke, Andrew; Meredith, Michael P.] British Antarctic Survey, Cambridge CB3 0ET, England</t>
  </si>
  <si>
    <t>Venables, HJ (corresponding author), British Antarctic Survey, Madingley Rd, Cambridge CB3 0ET, England.</t>
  </si>
  <si>
    <t>hjv@bas.ac.uk</t>
  </si>
  <si>
    <t>Meredith, Michael/0000-0002-7342-7756</t>
  </si>
  <si>
    <t>NERC [bas0100028] Funding Source: UKRI; Natural Environment Research Council [bas0100028] Funding Source: researchfish</t>
  </si>
  <si>
    <t>10.4319/lo.2013.58.3.1035</t>
  </si>
  <si>
    <t>WOS:000322491100023</t>
  </si>
  <si>
    <t>Le Vaillant, M; Le Bohec, C; Prud'Homme, O; Wienecke, B; Le Maho, Y; Kato, A; Ropert-Coudert, Y</t>
  </si>
  <si>
    <t>Le Vaillant, Maryline; Le Bohec, Celine; Prud'Homme, Onesime; Wienecke, Barbara; Le Maho, Yvon; Kato, Akiko; Ropert-Coudert, Yan</t>
  </si>
  <si>
    <t>How age and sex drive the foraging behaviour in the king penguin</t>
  </si>
  <si>
    <t>DIVING BEHAVIOR; STABLE-ISOTOPES; REPRODUCTIVE-PERFORMANCE; APTENODYTES-PATAGONICA; SEGREGATION; STRATEGIES; HABITAT; SUCCESS; SEABIRD; BLOOD</t>
  </si>
  <si>
    <t>As predicted by life history theory, once recruited into the breeding population and with increasing age, long-lived animals should be able to manage more efficiently the conflict between self-maintenance and reproduction. Consequently, breeding performances should improve with age before stabilizing at a certain level. Using temperature-depth recorders and isotopic analysis, we tested how age affects the foraging behaviour of king penguin Aptenodytes patagonicus during one trip in the chick-rearing phase. Depending on sex and age, king penguins expressed two different foraging strategies. Older birds gained more daily mass per unit body mass than younger ones. Older females conducted shorter trips, dived deeper and performed more prey pursuits. They also had higher blood levels of delta N-15 than younger individuals and males indicating sex- and age-specific dietary regimes. However, we found no differences in carbon isotopic signature, suggesting that individuals exploited the same foraging areas independently of sex and age. Our results suggest that king penguins are able to increase the quantity of energy extracted with increasing age and that such a strategy is sex-related. Our study is the first to reveal of an interaction between age and sex in determining foraging efficiency in king penguins.</t>
  </si>
  <si>
    <t>[Le Vaillant, Maryline; Le Bohec, Celine; Prud'Homme, Onesime; Le Maho, Yvon; Kato, Akiko; Ropert-Coudert, Yan] Univ Strasbourg, Inst Pluridisciplinaire Hubert Curien, F-67087 Strasbourg, France; [Le Vaillant, Maryline; Le Bohec, Celine; Prud'Homme, Onesime; Le Maho, Yvon; Kato, Akiko; Ropert-Coudert, Yan] CNRS, UMR7178, F-67037 Strasbourg, France; [Le Bohec, Celine] Ctr Sci Monaco, MC-98000 Monaco, Monaco; [Le Bohec, Celine] CNRS, LEA BioSensib CSM 647, MC-98000 Monaco, Monaco; [Le Bohec, Celine] Univ Oslo, Dept Biol, Nord Ctr Res Marine Ecosyst &amp; Resources Climate C, Ctr Ecol &amp; Evolutionary Synth, N-0316 Oslo, Norway; [Wienecke, Barbara] Australian Antarctic Div, Kingston, Tas 7050, Australia</t>
  </si>
  <si>
    <t>Universites de Strasbourg Etablissements Associes; Universite de Strasbourg; Universites de Strasbourg Etablissements Associes; Universite de Strasbourg; Centre National de la Recherche Scientifique (CNRS); CNRS - National Institute of Nuclear and Particle Physics (IN2P3); University of Oslo; Australian Antarctic Division</t>
  </si>
  <si>
    <t>Le Vaillant, M (corresponding author), Univ Strasbourg, Inst Pluridisciplinaire Hubert Curien, 23 Rue Becquerel, F-67087 Strasbourg, France.</t>
  </si>
  <si>
    <t>levaillant.mary@gmail.com</t>
  </si>
  <si>
    <t>LE BOHEC, CELINE/AAD-3589-2022; Kato, Akiko/W-2447-2019</t>
  </si>
  <si>
    <t>Kato, Akiko/0000-0002-8947-3634; LE BOHEC, Celine/0000-0003-0149-6477</t>
  </si>
  <si>
    <t>Institut Polaire Francais Paul-Emile Victor [ECOPHY 137]; Centre National de la Recherche Scientifique; Fondation Prince Albert II de Monaco; Fondation des Treilles; Marie Curie Intra European Fellowship (European Commission) [235962]</t>
  </si>
  <si>
    <t>Institut Polaire Francais Paul-Emile Victor; Centre National de la Recherche Scientifique(Centre National de la Recherche Scientifique (CNRS)); Fondation Prince Albert II de Monaco; Fondation des Treilles; Marie Curie Intra European Fellowship (European Commission)(European Union (EU)European Commission Joint Research Centre)</t>
  </si>
  <si>
    <t>Thanks to Paul E. Viblanc for his help in pre-analysing diving data. We are grateful to B. Friess for his help on the Radio Frequency IDentification analysis and H. Gachot-Neveu for sexing birds. Thanks to T. Raclot for his help in delipidating samples, to J.-P. Robin for lyophylizing samples and to P. Richard and G. Guillou for isotopic measurements. We thank all volunteers for their help with field work. This work was supported by the Institut Polaire Francais Paul-Emile Victor (Program ECOPHY 137), and by the grants from the Centre National de la Recherche Scientifique, the Fondation Prince Albert II de Monaco (http://www.fpa2.com) and the Fondation des Treilles (to M. L. V.), and the Marie Curie Intra European Fellowship (FP7-PEOPLE-IEF-2008, European Commission; project No 235962) (to C.L.B.).</t>
  </si>
  <si>
    <t>10.1007/s00227-013-2167-y</t>
  </si>
  <si>
    <t>WOS:000318002900010</t>
  </si>
  <si>
    <t>Harris, S; Rey, AR; Phillips, RA; Quintana, F</t>
  </si>
  <si>
    <t>Harris, Sabrina; Raya Rey, Andrea; Phillips, Richard A.; Quintana, Flavio</t>
  </si>
  <si>
    <t>Sexual segregation in timing of foraging by imperial shags (Phalacrocorax atriceps): is it always ladies first?</t>
  </si>
  <si>
    <t>BLUE-EYED SHAGS; SIZE DIMORPHISM; ACTIVITY PATTERNS; DIVING BEHAVIOR; SPECIALIZATION; CORMORANTS; STRATEGIES; SEABIRDS; BUDGETS; ISLAND</t>
  </si>
  <si>
    <t>The time seabirds have to forage is restricted while breeding, as time at sea must be balanced against the need to take turns with the partner protecting the nest site or offspring, and timing constraints change once the breeding season is over. Combined geolocator-immersion devices were deployed on eleven Imperial Shags (four males and seven females) in Argentina (43A degrees 04'S; 64A degrees 2'W) in November 2006 and recovered in November 2007. During the breeding season, females foraged throughout the morning, males exclusively in the afternoon, and variability between individuals was low. Outside the breeding season, both sexes foraged throughout the day, and variability between individuals was high. Timing differences may be explained by higher constraints on foraging or greater demands of parental duties experienced by the smaller sex, females in this case. Sexual differences in reproductive role, feeding habits or proficiency can also lead to segregation in timing of foraging, particularly while breeding.</t>
  </si>
  <si>
    <t>[Harris, Sabrina; Quintana, Flavio] Consejo Nacl Invest Cient &amp; Tecn, CENPAT, Ctr Nacl Patagon, Chubut, Argentina; [Raya Rey, Andrea] Consejo Nacl Invest Cient &amp; Tecn, CADIC, Tierra Del Fuego, Argentina; [Phillips, Richard A.] British Antarctic Survey, NERC, Cambridge CB3 0ET, England; [Quintana, Flavio] Wildlife Conservat Soc, Buenos Aires, DF, Argentina</t>
  </si>
  <si>
    <t>Consejo Nacional de Investigaciones Cientificas y Tecnicas (CONICET); Centro Nacional Patagonico (CENPAT); Consejo Nacional de Investigaciones Cientificas y Tecnicas (CONICET); UK Research &amp; Innovation (UKRI); Natural Environment Research Council (NERC); NERC British Antarctic Survey</t>
  </si>
  <si>
    <t>Harris, S (corresponding author), Consejo Nacl Invest Cient &amp; Tecn, CENPAT, Ctr Nacl Patagon, Bvd Brown 2915,U9120ACD Puerto Madryn, Chubut, Argentina.</t>
  </si>
  <si>
    <t>harris@cenpat.edu.ar</t>
  </si>
  <si>
    <t>Harris, Sabrina/0000-0003-0683-8376; Raya Rey, Andrea/0000-0003-0127-6650; Quintana, Flavio/0000-0003-0696-2545</t>
  </si>
  <si>
    <t>Consejo Nacional de Investigaciones Cientificas y Tecnicas de la Republica Argentina; Wildlife Conservation Society; Agencia de Promocion Cientifica y Tecnologica; CONICET; Natural Environment Research Council [bas0100025] Funding Source: researchfish; NERC [bas0100025] Funding Source: UKRI</t>
  </si>
  <si>
    <t>Consejo Nacional de Investigaciones Cientificas y Tecnicas de la Republica Argentina(Consejo Nacional de Investigaciones Cientificas y Tecnicas (CONICET)); Wildlife Conservation Society; Agencia de Promocion Cientifica y Tecnologica(ANPCyT); CONICET(Consejo Nacional de Investigaciones Cientificas y Tecnicas (CONICET)); Natural Environment Research Council(UK Research &amp; Innovation (UKRI)Natural Environment Research Council (NERC)); NERC(UK Research &amp; Innovation (UKRI)Natural Environment Research Council (NERC))</t>
  </si>
  <si>
    <t>Research was funded by grants from the Consejo Nacional de Investigaciones Cientificas y Tecnicas de la Republica Argentina, the Wildlife Conservation Society and Agencia de Promocion Cientifica y Tecnologica to F. Quintana. We wish to thank the British Antarctic Survey for providing GLS devices used in this study. We would also like to thank the Organismo Provincial de Turismo for the permits to work at Punta Leon, the Centro Nacional Patagonico (CENPAT-CONICET) and Centro Austral de Investigaciones Cientificas (CADIC-CONICET) for institutional support, and R. Wilson, M. Uhart, W. Svagelj, J. E. Sala, E. Shepard, and A. Gomez Laich for their assistance in various aspects of this research. S. Harris is supported by a Ph.D. fellowship from CONICET.</t>
  </si>
  <si>
    <t>10.1007/s00227-013-2177-9</t>
  </si>
  <si>
    <t>WOS:000318002900019</t>
  </si>
  <si>
    <t>Francey, RJ; Trudinger, CM; van der Schoot, M; Law, RM; Krummel, PB; Langenfelds, RL; Steele, LP; Allison, CE; Stavert, AR; Andres, RJ; Rödenbeck, C</t>
  </si>
  <si>
    <t>Francey, Roger J.; Trudinger, Cathy M.; van der Schoot, Marcel; Law, Rachel M.; Krummel, Paul B.; Langenfelds, Ray L.; Steele, L. Paul; Allison, Colin E.; Stavert, Ann R.; Andres, Robert J.; Roedenbeck, Christian</t>
  </si>
  <si>
    <t>Atmospheric verification of anthropogenic CO2 emission trends</t>
  </si>
  <si>
    <t>CARBON-DIOXIDE; LAND; INVERSION; CLIMATE; OCEANS; CYCLE; SINK</t>
  </si>
  <si>
    <t>International efforts to limit global warming and ocean acidification aim to slow the growth of atmospheric CO2, guided primarily by national and industry estimates of production and consumption of fossil fuels. Atmospheric verification of emissions is vital but present global inversion methods are inadequate for this purpose. We demonstrate a clear response in atmospheric CO2 coinciding with a sharp 2010 increase in Asian emissions but show persisting slowing mean CO2 growth from 2002/03. Growth and inter-hemispheric concentration difference during the onset and recovery of the Global Financial Crisis support a previous speculation that the reported 2000-2008 emissions surge is an artefact, most simply explained by a cumulative underestimation (similar to 9 Pg C) of 1994-2007 emissions; in this case, post-2000 emissions would track mid-range of Intergovernmental Panel on Climate Change emission scenarios. An alternative explanation requires changes in the northern terrestrial land sink that offset anthropogenic emission changes. We suggest atmospheric methods to help resolve this ambiguity.</t>
  </si>
  <si>
    <t>[Francey, Roger J.; Trudinger, Cathy M.; van der Schoot, Marcel; Law, Rachel M.; Krummel, Paul B.; Langenfelds, Ray L.; Steele, L. Paul; Allison, Colin E.; Stavert, Ann R.] CSIRO, Marine &amp; Atmospher Res, Ctr Australian Weather &amp; Climate Res, Aspendale, Vic 3195, Australia; [Andres, Robert J.] Oak Ridge Natl Lab, Carbon Dioxide Informat Anal Ctr, Oak Ridge, TN 37831 USA; [Roedenbeck, Christian] Max Planck Inst Biogeochem, D-07745 Jena, Germany</t>
  </si>
  <si>
    <t>Commonwealth Scientific &amp; Industrial Research Organisation (CSIRO); United States Department of Energy (DOE); Oak Ridge National Laboratory; Max Planck Society</t>
  </si>
  <si>
    <t>Francey, RJ (corresponding author), CSIRO, Marine &amp; Atmospher Res, Ctr Australian Weather &amp; Climate Res, Aspendale, Vic 3195, Australia.</t>
  </si>
  <si>
    <t>roger.francey@csiro.au; cathy.trudinger@csiro.au</t>
  </si>
  <si>
    <t>Trudinger, Cathy/A-2532-2008; Stavert, Ann R/M-1080-2018; Francey, Roger J/A-2345-2012; Steele, Paul/B-3185-2009; Krummel, Paul B/A-4293-2013; ANDRES, ROBERT/B-9786-2012; Law, Rachel/AAV-1949-2020; Langenfelds, Ray/B-5381-2012</t>
  </si>
  <si>
    <t>Krummel, Paul B/0000-0002-4884-3678; Law, Rachel/0000-0002-7346-0927; ANDRES, ROBERT/0000-0001-8781-4979; Trudinger, Cathy/0000-0002-4844-2153; Allison, Colin/0000-0002-7796-6917; Langenfelds, Ray/0000-0003-4890-2049; Stavert, Ann/0000-0002-4857-2134</t>
  </si>
  <si>
    <t>Bureau of Meteorology through the Cape Grim programme; US Department of Energy, Office of Science, Biological and Environmental Research (BER) [DE-AC05-00OR22725]; ACCSP (Australian Climate Change Science Program) through the Department of Climate Change and Energy Efficiency; OCE (Office of Chief Executive); Australian Commonwealth Government</t>
  </si>
  <si>
    <t>Bureau of Meteorology through the Cape Grim programme; US Department of Energy, Office of Science, Biological and Environmental Research (BER)(United States Department of Energy (DOE)); ACCSP (Australian Climate Change Science Program) through the Department of Climate Change and Energy Efficiency; OCE (Office of Chief Executive); Australian Commonwealth Government(Australian Government)</t>
  </si>
  <si>
    <t>G. Pearman's emphasis on global representativeness during establishment of Australian CO2 monitoring underpins this work. Data used in this report are routinely submitted to the World Data Centre for Greenhouse Gases and CDIAC international databases (but in formats that preclude the data selection and uncertainty propagation used in this paper). More comprehensive and recent data, including LoFlo data, are available to researchers by contacting paul.krummel@csiro.au. CSIRO GASLAB staff and the Australian Bureau of Meteorology/Cape Grim Baseline Air Pollution Station continue to provide excellence in the operation of developmental equipment and in collection and processing of samples and data. Collection of samples at other sites is carried out with assistance from NOAA (USA), Environment Canada, Australian Antarctic Division and Australian Bureau of Meteorology. R.J.F, M.v.d.S., P. B. K., R. L. L., L. P. S and C. E. A. have been partly financially supported by the Bureau of Meteorology through the Cape Grim programme. R.J.A. was sponsored by US Department of Energy, Office of Science, Biological and Environmental Research (BER) programmes performed at Oak Ridge National Laboratory (ORNL) under US Department of Energy contract DE-AC05-00OR22725. CSIRO co-authors have been partly financially supported by the ACCSP (Australian Climate Change Science Program) through the Department of Climate Change and Energy Efficiency. A. R. S. is partially supported by an OCE (Office of Chief Executive) post-doctoral award. CCAM model simulations were undertaken on the NCI National Facility in Canberra, Australia, which is supported by the Australian Commonwealth Government. Valuable comments have been received from Y-P. Wang, P. Canadell, P. Rayner and A. Lenton.</t>
  </si>
  <si>
    <t>10.1038/NCLIMATE1817</t>
  </si>
  <si>
    <t>150PA</t>
  </si>
  <si>
    <t>WOS:000319402000021</t>
  </si>
  <si>
    <t>Ahmed, M; Anchukaitis, KJ; Asrat, A; Borgaonkar, HP; Braida, M; Buckley, BM; Büntgen, U; Chase, BM; Christie, DA; Cook, ER; Curran, MAJ; Diaz, HF; Esper, J; Fan, ZX; Gaire, NP; Ge, QS; Gergis, J; González-Rouco, JF; Goosse, H; Grab, SW; Graham, N; Graham, R; Grosjean, M; Hanhijärvi, ST; Kaufman, DS; Kiefer, T; Kimura, K; Korhola, AA; Krusic, PJ; Lara, A; Lézine, AM; Ljungqvist, FC; Lorrey, AM; Luterbacher, J; Masson-Delmotte, V; McCarroll, D; McConnell, JR; McKay, NP; Morales, MS; Moy, AD; Mulvaney, R; Mundo, IA; Nakatsuka, T; Nash, DJ; Neukom, R; Nicholson, SE; Oerter, H; Palmer, JG; Phipps, SJ; Prieto, MR; Rivera, A; Sano, M; Severi, M; Shanahan, TM; Shao, XM; Shi, F; Sigl, M; Smerdon, JE; Solomina, ON; Steig, EJ; Stenni, B; Thamban, M; Trouet, V; Turney, CSM; Umer, M; van Ommen, T; Verschuren, D; Viau, AE; Villalba, R; Vinther, BM; von Gunten, L; Wagner, S; Wahl, ER; Wanner, H; Werner, JP; White, JWC; Yasue, K; Zorita, E</t>
  </si>
  <si>
    <t>Ahmed, Moinuddin; Anchukaitis, Kevin J.; Asrat, Asfawossen; Borgaonkar, Hemant P.; Braida, Martina; Buckley, Brendan M.; Buntgen, Ulf; Chase, Brian M.; Christie, Duncan A.; Cook, Edward R.; Curran, Mark A. J.; Diaz, Henry F.; Esper, Jan; Fan, Ze-Xin; Gaire, Narayan P.; Ge, Quansheng; Gergis, Joelle; Gonzalez-Rouco, J. Fidel; Goosse, Hugues; Grab, Stefan W.; Graham, Nicholas; Graham, Rochelle; Grosjean, Martin; Hanhijarvi, Sami T.; Kaufman, Darrell S.; Kiefer, Thorsten; Kimura, Katsuhiko; Korhola, Atte A.; Krusic, Paul J.; Lara, Antonio; Lezine, Anne-Marie; Ljungqvist, Fredrik C.; Lorrey, Andrew M.; Luterbacher, Jurg; Masson-Delmotte, Valerie; McCarroll, Danny; McConnell, Joseph R.; McKay, Nicholas P.; Morales, Mariano S.; Moy, Andrew D.; Mulvaney, Robert; Mundo, Ignacio A.; Nakatsuka, Takeshi; Nash, David J.; Neukom, Raphael; Nicholson, Sharon E.; Oerter, Hans; Palmer, Jonathan G.; Phipps, Steven J.; Prieto, Maria R.; Rivera, Andres; Sano, Masaki; Severi, Mirko; Shanahan, Timothy M.; Shao, Xuemei; Shi, Feng; Sigl, Michael; Smerdon, Jason E.; Solomina, Olga N.; Steig, Eric J.; Stenni, Barbara; Thamban, Meloth; Trouet, Valerie; Turney, Chris S. M.; Umer, Mohammed; van Ommen, Tas; Verschuren, Dirk; Viau, Andre E.; Villalba, Ricardo; Vinther, Bo M.; von Gunten, Lucien; Wagner, Sebastian; Wahl, Eugene R.; Wanner, Heinz; Werner, Johannes P.; White, James W. C.; Yasue, Koh; Zorita, Eduardo</t>
  </si>
  <si>
    <t>PAGES 2k Consortium</t>
  </si>
  <si>
    <t>Continental-scale temperature variability during the past two millennia</t>
  </si>
  <si>
    <t>NORTHERN-HEMISPHERE; STATISTICAL SIGNIFICANCE; LAST MILLENNIUM; ICE-AGE; CLIMATE; RECONSTRUCTIONS; SIMULATIONS; RESOLUTION; EVOLUTION</t>
  </si>
  <si>
    <t>Past global climate changes had strong regional expression. To elucidate their spatio-temporal pattern, we reconstructed past temperatures for seven continental-scale regions during the past one to two millennia. The most coherent feature in nearly all of the regional temperature reconstructions is a long-term cooling trend, which ended late in the nineteenth century. At multi-decadal to centennial scales, temperature variability shows distinctly different regional patterns, with more similarity within each hemisphere than between them. There were no globally synchronous multi-decadal warm or cold intervals that define a worldwide Medieval Warm Period or Little Ice Age, but all reconstructions show generally cold conditions between AD 1580 and 1880, punctuated in some regions by warm decades during the eighteenth century. The transition to these colder conditions occurred earlier in the Arctic, Europe and Asia than in North America or the Southern Hemisphere regions. Recent warming reversed the long-term cooling; during the period AD 1971-2000, the area-weighted average reconstructed temperature was higher than any other time in nearly 1,400 years.</t>
  </si>
  <si>
    <t>[Ahmed, Moinuddin] Fed Urdu Univ Arts Sci &amp; Technol, Dept Bot, Karachi 75300, Pakistan; [Anchukaitis, Kevin J.; Buckley, Brendan M.; Cook, Edward R.; Smerdon, Jason E.] Columbia Univ, Lamont Doherty Earth Observ, Palisades, NY 10964 USA; [Anchukaitis, Kevin J.] Woods Hole Oceanog Inst, Woods Hole, MA 02543 USA; [Asrat, Asfawossen; Umer, Mohammed] Univ Addis Ababa, Sch Earth Sci, Addis Ababa, Ethiopia; [Borgaonkar, Hemant P.] Indian Inst Trop Meteorol, Pune 411008, Maharashtra, India; [Braida, Martina; Stenni, Barbara] Univ Trieste, Dipartimento Matemat &amp; Geoscie, I-34128 Trieste, Italy; [Buntgen, Ulf; Neukom, Raphael] Swiss Fed Res Inst WSL, CH-8903 Birmensdorf, Switzerland; [Chase, Brian M.] Univ Montpellier, Dept Paleoenvironm &amp; Paleoclimats PAL, F-34095 Montpellier, France; [Chase, Brian M.] Univ Bergen, Dept Archaeol Hist Cultural Studies &amp; Relig, N-5020 Bergen, Norway; [Christie, Duncan A.; Lara, Antonio] Univ Austral Chile, Lab Dendrocronol &amp; Cambio Global, Valdivia 567, Chile; [Christie, Duncan A.; Lara, Antonio] Univ Chile, Ctr Climate &amp; Resilience Res, Santiago 2777, Chile; [Curran, Mark A. J.; Moy, Andrew D.; van Ommen, Tas] Australian Antarctic Div, Kingston, Tas 7050, Australia; [Curran, Mark A. J.; Moy, Andrew D.; van Ommen, Tas] Univ Tasmania, Antarctic Climate &amp; Ecosyst Cooperat Res Ctr, Sandy Bay, Tas 7005, Australia; [Diaz, Henry F.] NOAA, Cooperat Inst Res Environm Sci, Boulder, CO 80305 USA; [Esper, Jan] Johannes Gutenberg Univ Mainz, Dept Geog, D-55099 Mainz, Germany; [Fan, Ze-Xin] Chinese Acad Sci, Yunnan 666303, Peoples R China; [Gaire, Narayan P.] Nepal Acad Sci &amp; Technol, Fac Sci, Khumaltar, Lalitpur, Nepal; [Ge, Quansheng; Shao, Xuemei] Chinese Acad Sci, Inst Geog Sci &amp; Nat Resources Res, Beijing 100101, Peoples R China; [Gergis, Joelle] Univ Melbourne, Sch Earth Sci, Melbourne, Vic 3010, Australia; [Gonzalez-Rouco, J. Fidel] Univ Complutense Madrid, Dept Astrofis &amp; CC Atmosfera, E-28040 Madrid, Spain; [Goosse, Hugues] Catholic Univ Louvain, Lemaitre Ctr Earth &amp; Climate Res, Earth &amp; Life Inst, B-1348 Louvain, Belgium; [Grab, Stefan W.; Nash, David J.] Univ Witwatersrand, Sch Geog Archaeol &amp; Environm Studies, ZA-2050 Johannesburg, South Africa; [Graham, Nicholas; Graham, Rochelle] Hydrol Res Ctr, San Diego, CA 92130 USA; [Grosjean, Martin; Wanner, Heinz] Univ Bern, Oeschger Ctr Climate Change Res, CH-3012 Bern, Switzerland; [Grosjean, Martin; Wanner, Heinz] Univ Bern, Inst Geog, CH-3012 Bern, Switzerland; [Hanhijarvi, Sami T.; Korhola, Atte A.] Univ Helsinki, Dept Environm Sci, FIN-00014 Helsinki, Finland; [Kaufman, Darrell S.; McKay, Nicholas P.] No Arizona Univ, Sch Earth Sci &amp; Environm Sustainabil, Flagstaff, AZ 86011 USA; [Kiefer, Thorsten; von Gunten, Lucien] Int Project Off, CH-3012 Bern, Switzerland; [Kimura, Katsuhiko] Fukushima Univ, Dept Symbiot Syst Sci, Fukushima 9601248, Japan; [Krusic, Paul J.] Stockholm Univ, Dept Phys Geog &amp; Quaternary Geol, S-10691 Stockholm, Sweden; [Lezine, Anne-Marie] Univ Paris 06, LOCEAN, F-575252 Paris, France; [Ljungqvist, Fredrik C.] Stockholm Univ, Dept Hist, S-10691 Stockholm, Sweden; [Lorrey, Andrew M.] Nat Inst Water &amp; Atmospher Res Ltd, Natl Climate Ctr Auckland, Auckland 1011, New Zealand; [Luterbacher, Jurg; Werner, Johannes P.] Univ Giessen, Dept Geog Climatol Climate Dynam &amp; Climat Change, D-35390 Giessen, Germany; [Masson-Delmotte, Valerie] Lab Sci Climat &amp; Environm, F-91191 Gif Sur Yvette, France; [McCarroll, Danny; Prieto, Maria R.] Swansea Univ, Dept Geog, Swansea SA2 8PP, W Glam, Wales; [McConnell, Joseph R.; Sigl, Michael] Desert Res Inst, Reno, NV 89512 USA; [Morales, Mariano S.; Mundo, Ignacio A.; Villalba, Ricardo] CCT CONICET Mendoza, Inst Argentino Nivol Glaciol Ciencias Ambientales, RA-5500 Mendoza, Argentina; [Mulvaney, Robert] British Antarctic Survey, Cambridge CB3 0ET, England; [Nakatsuka, Takeshi; Sano, Masaki] Nagoya Univ, Dept Earth &amp; Environm Sci, Nagoya, Aichi 4648601, Japan; [Nash, David J.] Univ Brighton, Sch Environm &amp; Technol, Brighton BN2 4GJ, E Sussex, England; [Nicholson, Sharon E.] Florida State Univ, Dept Earth Ocean &amp; Atmospher Sci, Tallahassee, FL 32308 USA; [Oerter, Hans] Helmholtz Assoc, Alfred Wegener Inst Polar &amp; Marine Res, Dept Glaciol, D-27570 Bremerhaven, Germany; [Palmer, Jonathan G.] Univ Exeter, Coll Life &amp; Environm Sci, Exeter EX4 4RJ, Devon, England; [Palmer, Jonathan G.; Phipps, Steven J.; Turney, Chris S. M.] Univ New S Wales, Climate Change Res Ctr, Sydney, NSW 2052, Australia; [Phipps, Steven J.] Univ New S Wales, ARC Ctr Excellence Climate Syst Sci, Sydney, NSW 2052, Australia; [Rivera, Andres] Ctr Estudios Cient, Valdivia, Chile; [Severi, Mirko] Univ Florence, Dept Chem Ugo Schiff, I-50019 Sesto Fiorentino, Italy; [Shanahan, Timothy M.] Univ Texas Austin, Jackson Sch Geosci, Austin, TX 78712 USA; [Shi, Feng] Chinese Acad Sci, Inst Atmospher Phys, LASG, Beijing 100029, Peoples R China; [Solomina, Olga N.] Russian Acad Sci, Inst Geog, Moscow 119017, Russia; [Steig, Eric J.] Univ Washington, Dept Earth &amp; Space Sci, Seattle, WA 98195 USA; [Thamban, Meloth] Nat Ctr Antarctic &amp; Ocean Res, Goa 403804, India; [Trouet, Valerie] Univ Arizona, Tree Ring Res Lab, Tucson, AZ 85721 USA; [Verschuren, Dirk] Univ Ghent, Dept Biol, B-9000 Ghent, Belgium; [Viau, Andre E.] Univ Ottawa, Dept Geog, Ottawa, ON K1N 6N5, Canada; [Vinther, Bo M.] Univ Copenhagen, Niels Bohr Inst, DK-2100 Copenhagen, Denmark; [Wagner, Sebastian; Zorita, Eduardo] Helmholtz Zentrum Geesthacht, Inst Coastal Res, D-21502 Geesthacht, Germany; [Wahl, Eugene R.] NOAA, Nat Climat Data Ctr, Boulder, CO 80305 USA; [White, James W. C.] Univ Colorado, Inst Arctic &amp; Alpine Res, Boulder, CO 80309 USA; [Yasue, Koh] Shinshu Univ, Dept Forest Sci, Nagano 3994598, Japan</t>
  </si>
  <si>
    <t>Federal Urdu University of Arts Science &amp; Technology; Columbia University; Woods Hole Oceanographic Institution; Addis Ababa University; Ministry of Earth Sciences (MoES) - India; Indian Institute of Tropical Meteorology (IITM); University of Trieste; Swiss Federal Institutes of Technology Domain; Swiss Federal Institute for Forest, Snow &amp; Landscape Research; Universite de Montpellier; University of Bergen; Universidad Austral de Chile; Universidad de Chile; Australian Antarctic Division; University of Tasmania; Antarctic Climate &amp; Ecosystems Cooperative Research Centre (ACE CRC); National Oceanic Atmospheric Admin (NOAA) - USA; Johannes Gutenberg University of Mainz; Chinese Academy of Sciences; Nepal Academy of Science &amp; Technology (NAST); Chinese Academy of Sciences; Institute of Geographic Sciences &amp; Natural Resources Research, CAS; University of Melbourne; Melbourne Bioinformatics; Complutense University of Madrid; Universite Catholique Louvain; University of Witwatersrand; University of Bern; University of Bern; University of Helsinki; Northern Arizona University; Fukushima University; Stockholm University; Sorbonne Universite; Museum National d'Histoire Naturelle (MNHN); Stockholm University; Justus Liebig University Giessen; CEA; Centre National de la Recherche Scientifique (CNRS); Universite Paris Saclay; Swansea University; Nevada System of Higher Education (NSHE); Desert Research Institute NSHE; Consejo Nacional de Investigaciones Cientificas y Tecnicas (CONICET); UK Research &amp; Innovation (UKRI); Natural Environment Research Council (NERC); NERC British Antarctic Survey; Nagoya University; University of Brighton; State University System of Florida; Florida State University; Helmholtz Association; Alfred Wegener Institute, Helmholtz Centre for Polar &amp; Marine Research; University of Exeter; University of New South Wales Sydney; University of New South Wales Sydney; ARC Centre of Excellence for Climate System Science; University of Florence; University of Texas System; University of Texas Austin; Chinese Academy of Sciences; Institute of Atmospheric Physics, CAS; Institute of Geography, Russian Academy of Sciences; Russian Academy of Sciences; University of Washington; University of Washington Seattle; Ministry of Earth Sciences (MoES) - India; National Centre for Polar and Ocean Research (NCPOR); University of Arizona; Ghent University; University of Ottawa; University of Copenhagen; Niels Bohr Institute; Helmholtz Association; Helmholtz-Zentrum Hereon; National Oceanic Atmospheric Admin (NOAA) - USA; University of Colorado System; University of Colorado Boulder; Shinshu University</t>
  </si>
  <si>
    <t>Kaufman, DS (corresponding author), No Arizona Univ, Sch Earth Sci &amp; Environm Sustainabil, Flagstaff, AZ 86011 USA.</t>
  </si>
  <si>
    <t>Darrell.Kaufman@nau.edu</t>
  </si>
  <si>
    <t>Palmer, Jonathan/J-7834-2012; buentgen, ulf/J-6952-2013; Sano, Masaki/U-4133-2019; Gaire, Narayan/AAL-6422-2020; Kaufman, Darrell S/A-2471-2008; White, James W.C./A-7845-2009; Sano, Masaki/HNI-0746-2023; Shanahan, Timothy M/B-1298-2012; McKay, Nicholas Paul/JYQ-5440-2024; Masson-Delmotte, Valerie L/G-1995-2011; Neukom, Raphael/J-7842-2017; Solomina, Olga N/J-8353-2013; Shi, Feng/AAG-6973-2020; Ljungqvist, Fredrik Charpentier/JCE-6614-2023; Lézine, Anne-Marie/A-5618-2013; Trouet, Valerie/AAE-4888-2021; IPO, PAGES/JXY-7546-2024; Christie, Duncan A./Q-7114-2016; Ljungqvist, Fredrik Charpentier/I-5770-2012; Asrat, Asfawossen/KBB-6085-2024; Smerdon, Jason E/F-9952-2011; Fan, Ze-Xin/B-1034-2010; Turney, Chris/P-8701-2018; /G-9088-2015; Esper, Jan/O-3127-2018; Chase, Brian/A-1202-2010; Severi, Mirko/J-2508-2012; Mulvaney, Robert/K-3929-2012; Gonzalez-Rouco, Jesus Fidel/B-1761-2012; Phipps, Steven/B-3135-2008; McCarroll, Danny/E-5749-2011; Werner, Johannes/H-5702-2012; van Ommen, Tas/B-5020-2012</t>
  </si>
  <si>
    <t>Palmer, Jonathan/0000-0002-6665-4483; Sano, Masaki/0000-0003-3391-9067; Gaire, Narayan/0000-0002-9487-7852; Sano, Masaki/0000-0003-3391-9067; Masson-Delmotte, Valerie L/0000-0001-8296-381X; Shi, Feng/0000-0003-3963-1822; Christie, Duncan A./0000-0003-2540-0986; Ljungqvist, Fredrik Charpentier/0000-0003-0220-3947; Asrat, Asfawossen/0000-0002-6312-8082; Fan, Ze-Xin/0000-0003-4623-6783; Turney, Chris/0000-0001-6733-0993; McKay, Nicholas/0000-0003-3598-5113; Mundo, Ignacio/0000-0002-7189-6073; Buckley, Brendan/0000-0003-1544-8003; /0000-0002-8191-5549; Shanahan, Timothy/0000-0002-3831-3198; Esper, Jan/0000-0003-3919-014X; Wagner, Sebastian/0000-0001-5603-3897; Neukom, Raphael/0000-0001-9392-0997; Stenni, Barbara/0000-0003-4950-3664; Vinther, Bo/0000-0002-6078-771X; Rivera, Andres/0000-0002-2779-4192; Sigl, Michael/0000-0002-9028-9703; Ge, Quansheng/0000-0001-8712-8565; Moy, Andrew/0000-0002-7664-9960; Chase, Brian/0000-0001-6987-1291; GERGIS, JOELLE/0000-0002-4168-7924; Severi, Mirko/0000-0003-1511-6762; Thamban, Meloth/0000-0003-3379-8189; Mulvaney, Robert/0000-0002-5372-8148; Gonzalez-Rouco, Jesus Fidel/0000-0001-7090-6797; Phipps, Steven/0000-0001-5657-8782; Trouet, Valerie/0000-0002-2683-8704; Lara, Antonio/0000-0003-4998-4584; McCarroll, Danny/0000-0002-5992-5070; LEZINE, Anne-Marie/0000-0002-3555-5124; Werner, Johannes/0000-0003-4015-7398; Nash, David/0000-0002-7641-5857; von Gunten, Lucien/0000-0003-0425-2881; Luterbacher, Juerg/0000-0002-8569-0973; van Ommen, Tas/0000-0002-2463-1718; Korhola, Atte A./0000-0003-2577-6502; Villalba, Ricardo/0000-0001-8183-0310</t>
  </si>
  <si>
    <t>Natural Environment Research Council [bas0100024] Funding Source: researchfish; Directorate For Geosciences [1138881] Funding Source: National Science Foundation; Directorate For Geosciences; Office of Polar Programs (OPP) [0839093, 1107869] Funding Source: National Science Foundation; Div Atmospheric &amp; Geospace Sciences; Directorate For Geosciences [0902436] Funding Source: National Science Foundation; Division Of Earth Sciences; Directorate For Geosciences [0823522] Funding Source: National Science Foundation; Division Of Earth Sciences; Directorate For Geosciences [1023724] Funding Source: National Science Foundation; Office of Polar Programs (OPP); Directorate For Geosciences [1043167, 1043092, 0909332] Funding Source: National Science Foundation; Grants-in-Aid for Scientific Research [23242047, 23380097, 11J10262] Funding Source: KAKEN</t>
  </si>
  <si>
    <t>Natural Environment Research Council(UK Research &amp; Innovation (UKRI)Natural Environment Research Council (NERC)); Directorate For Geosciences(National Science Foundation (NSF)NSF - Directorate for Geosciences (GEO)); Directorate For Geosciences; Office of Polar Programs (OPP)(National Science Foundation (NSF)NSF - Directorate for Geosciences (GEO)); Div Atmospheric &amp; Geospace Sciences; Directorate For Geosciences(National Science Foundation (NSF)NSF - Directorate for Geosciences (GEO)); Division Of Earth Sciences; Directorate For Geosciences(National Science Foundation (NSF)NSF - Directorate for Geosciences (GEO)); Division Of Earth Sciences; Directorate For Geosciences(National Science Foundation (NSF)NSF - Directorate for Geosciences (GEO));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</si>
  <si>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10.1038/NGEO1797</t>
  </si>
  <si>
    <t>WOS:000318227000011</t>
  </si>
  <si>
    <t>Das, I; Bell, RE; Scambos, TA; Wolovick, M; Creyts, TT; Studinger, M; Frearson, N; Nicolas, JP; Lenaerts, JTM; van den Broeke, MR</t>
  </si>
  <si>
    <t>Das, Indrani; Bell, Robin E.; Scambos, Ted A.; Wolovick, Michael; Creyts, Timothy T.; Studinger, Michael; Frearson, Nicholas; Nicolas, Julien P.; Lenaerts, Jan T. M.; van den Broeke, Michiel R.</t>
  </si>
  <si>
    <t>Influence of persistent wind scour on the surface mass balance of Antarctica</t>
  </si>
  <si>
    <t>EAST ANTARCTICA; SNOW ACCUMULATION; VARIABILITY; AREAS; MODEL</t>
  </si>
  <si>
    <t>Accurate quantification of surface snow accumulation over Antarctica is a key constraint for estimates of the Antarctic mass balance, as well as climatic interpretations of ice-core records(1,2). Over Antarctica, near-surface winds accelerate down relatively steep surface slopes, eroding and sublimating the snow. This wind scour results in numerous localized regions (&lt;= 200 km(2)) with reduced surface accumulation(3-7). Estimates of Antarctic surface mass balance rely on sparse point measurements or coarse atmospheric models that do not capture these local processes, and overestimate the net mass input in wind-scour zones(3). Here we combine airborne radar observations of unconformable stratigraphic layers with lidar-derived surface roughness measurements to identify extensive wind-scour zones over Dome A, in the interior of East Antarctica. The scour zones are persistent because they are controlled by bedrock topography. On the basis of our Dome A observations, we develop an empirical model to predict wind-scour zones across the Antarctic continent and find that these zones are predominantly located in East Antarctica. We estimate that similar to 2.7-6.6% of the surface area of Antarctica has persistent negative net accumulation due to wind scour, which suggests that, across the continent, the snow mass input is overestimated by 11-36.5 Gt yr(-1) in present surface-mass-balance calculations.</t>
  </si>
  <si>
    <t>[Das, Indrani; Bell, Robin E.; Wolovick, Michael; Creyts, Timothy T.; Frearson, Nicholas] Columbia Univ, Lamont Doherty Earth Observ, Palisades, NY 10964 USA; [Scambos, Ted A.] Univ Colorado, CIRES, Natl Snow &amp; Ice Data Ctr, Boulder, CO 80309 USA; [Studinger, Michael] NASA, Goddard Space Flight Ctr, Greenbelt, MD 20771 USA; [Nicolas, Julien P.] Ohio State Univ, Byrd Polar Res Ctr, Polar Meteorol Grp, Columbus, OH 43210 USA; [Nicolas, Julien P.] Ohio State Univ, Atmospher Sci Program, Columbus, OH 43210 USA; [Lenaerts, Jan T. M.; van den Broeke, Michiel R.] Univ Utrecht, Inst Marine &amp; Atmospher Res Utrecht, NL-3584 CC Utrecht, Netherlands</t>
  </si>
  <si>
    <t>Columbia University; University of Colorado System; University of Colorado Boulder; National Aeronautics &amp; Space Administration (NASA); NASA Goddard Space Flight Center; University System of Ohio; Ohio State University; University System of Ohio; Ohio State University; Utrecht University</t>
  </si>
  <si>
    <t>Das, I (corresponding author), Columbia Univ, Lamont Doherty Earth Observ, Palisades, NY 10964 USA.</t>
  </si>
  <si>
    <t>indrani@ldeo.columbia.edu</t>
  </si>
  <si>
    <t>Wolovick, Michael/JZE-0247-2024; Lenaerts, Jan/D-9423-2012; Van den Broeke, Michiel R./F-7867-2011</t>
  </si>
  <si>
    <t>Wolovick, Michael/0000-0002-9345-7039; Lenaerts, Jan/0000-0003-4309-4011; Van den Broeke, Michiel R./0000-0003-4662-7565; Studinger, Michael/0000-0003-1265-4741; Creyts, Timothy/0000-0003-1756-5211; SCAMBOS, Ted A./0000-0003-4268-6322</t>
  </si>
  <si>
    <t>AGAP-NSF [0632292]; RL-NSF [0636883]; IceBridge-NASA [NNNX11AC22G]; NSF-OPP [0538103]; [NASA-NNX10AL42G]; Office of Polar Programs (OPP); Directorate For Geosciences [0632292, 0538103] Funding Source: National Science Foundation</t>
  </si>
  <si>
    <t>AGAP-NSF; RL-NSF; IceBridge-NASA; NSF-OPP(National Science Foundation (NSF)); ; Office of Polar Programs (OPP); Directorate For Geosciences(National Science Foundation (NSF)NSF - Directorate for Geosciences (GEO))</t>
  </si>
  <si>
    <t>This work was supported by AGAP-NSF 0632292 (R.E.B., T.T.C., I.D., M.W.), RL-NSF 0636883 (R.E.B., I.D.), IceBridge-NASA NNNX11AC22G (R.E.B.), NSF-OPP 0538103 (T.A.S.) and NASA-NNX10AL42G (T.A.S.). We thank R. Hock, C. Shuman and R. Buck for early reviews of the paper. S. Arcone is acknowledged for helpful discussions. T. Haran, A. Block and H. Abdi are acknowledged for their help in data processing and GIS (geographic information system) support.</t>
  </si>
  <si>
    <t>10.1038/NGEO1766</t>
  </si>
  <si>
    <t>WOS:000318227000016</t>
  </si>
  <si>
    <t>Steig, EJ; Ding, QH; White, JWC; Küttel, M; Rupper, SB; Neumann, TA; Neff, PD; Gallant, AJE; Mayewski, PA; Taylor, KC; Hoffmann, G; Dixon, DA; Schoenemann, SW; Markle, BR; Fudge, TJ; Schneider, DP; Schauer, AJ; Teel, RP; Vaughn, BH; Burgener, L; Williams, J; Korotkikh, E</t>
  </si>
  <si>
    <t>Steig, Eric J.; Ding, Qinghua; White, James W. C.; Kuettel, Marcel; Rupper, Summer B.; Neumann, Thomas A.; Neff, Peter D.; Gallant, Ailie J. E.; Mayewski, Paul A.; Taylor, Kendrick C.; Hoffmann, Georg; Dixon, Daniel A.; Schoenemann, Spruce W.; Markle, Bradley R.; Fudge, Tyler J.; Schneider, David P.; Schauer, Andrew J.; Teel, Rebecca P.; Vaughn, Bruce H.; Burgener, Landon; Williams, Jessica; Korotkikh, Elena</t>
  </si>
  <si>
    <t>Recent climate and ice-sheet changes in West Antarctica compared with the past 2,000 years</t>
  </si>
  <si>
    <t>PACIFIC-OCEAN; CORE; VARIABILITY; PROXY; TEMPERATURE; CIRCULATION; GLACIER; TROPICS; SURFACE; RECORD</t>
  </si>
  <si>
    <t>Changes in atmospheric circulation over the past five decades have enhanced the wind-driven inflow of warm ocean water onto the Antarctic continental shelf, where it melts ice shelves from below(1-3). Atmospheric circulation changes have also caused rapid warming(4) over the West Antarctic Ice Sheet, and contributed to declining sea-ice cover in the adjacent Amundsen-Bellingshausen seas(5). It is unknown whether these changes are part of a longer-term trend. Here, we use water-isotope (delta O-18) data from an array of ice-core records to place recent West Antarctic climate changes in the context of the past two millennia. We find that the delta O-18 of West Antarctic precipitation has increased significantly in the past 50 years, in parallel with the trend in temperature, and was probably more elevated during the 1990s than at any other time during the past 200 years. However, delta O-18 anomalies comparable to those of recent decades occur about 1% of the time over the past 2,000 years. General circulation model simulations suggest that recent trends in delta O-18 and climate in West Antarctica cannot be distinguished from decadal variability that originates in the tropics. We conclude that the uncertain trajectory of tropical climate variability represents a significant source of uncertainty in projections of West Antarctic climate and ice-sheet change.</t>
  </si>
  <si>
    <t>[Steig, Eric J.; Ding, Qinghua; Kuettel, Marcel; Neff, Peter D.; Gallant, Ailie J. E.; Schoenemann, Spruce W.; Markle, Bradley R.; Fudge, Tyler J.; Schauer, Andrew J.; Teel, Rebecca P.] Univ Washington, Quaternary Res Ctr, Seattle, WA 98195 USA; [Steig, Eric J.; Ding, Qinghua; Kuettel, Marcel; Neff, Peter D.; Gallant, Ailie J. E.; Schoenemann, Spruce W.; Markle, Bradley R.; Fudge, Tyler J.; Schauer, Andrew J.; Teel, Rebecca P.] Univ Washington, Dept Earth &amp; Space Sci, Seattle, WA 98195 USA; [White, James W. C.; Vaughn, Bruce H.] Univ Colorado, Inst Arctic &amp; Alpine Res, Boulder, CO 80303 USA; [Rupper, Summer B.; Burgener, Landon; Williams, Jessica] Brigham Young Univ, Dept Geol Sci, Provo, UT 84602 USA; [Neumann, Thomas A.] NASA, Goddard Space Flight Ctr, Greenbelt, MD 20770 USA; [Mayewski, Paul A.; Dixon, Daniel A.; Korotkikh, Elena] Univ Maine, Climate Change Inst, Orono, ME 04469 USA; [Mayewski, Paul A.; Dixon, Daniel A.; Korotkikh, Elena] Univ Maine, Sch Earth &amp; Climate Sci, Orono, ME 04469 USA; [Taylor, Kendrick C.] Univ Nevada, Desert Res Inst, Reno, NV 89512 USA; [Hoffmann, Georg] Ctr Etud Saclay, Lab Sci Climat &amp; Environm, F-91191 Gif Sur Yvette, France; [Hoffmann, Georg] Univ Utrecht, Inst Marine &amp; Atmospher Res, NL-3508 TC Utrecht, Netherlands; [Schneider, David P.] Natl Ctr Atmospher Res, Boulder, CO 80305 USA</t>
  </si>
  <si>
    <t>University of Washington; University of Washington Seattle; University of Washington; University of Washington Seattle; University of Colorado System; University of Colorado Boulder; Brigham Young University; National Aeronautics &amp; Space Administration (NASA); NASA Goddard Space Flight Center; University of Maine System; University of Maine Orono; University of Maine System; University of Maine Orono; Nevada System of Higher Education (NSHE); Desert Research Institute NSHE; University of Nevada Reno; CEA; Centre National de la Recherche Scientifique (CNRS); Universite Paris Saclay; Utrecht University; National Center Atmospheric Research (NCAR) - USA</t>
  </si>
  <si>
    <t>Steig, EJ (corresponding author), Univ Washington, Quaternary Res Ctr, Seattle, WA 98195 USA.</t>
  </si>
  <si>
    <t>steig@uw.edu</t>
  </si>
  <si>
    <t>ding, qinghua/G-1186-2011; White, James W.C./A-7845-2009; Neff, Peter David/ABB-7688-2021; Markle, Bradley R/I-6132-2019; Rupper, Summer/KHD-4492-2024; Burgener, Landon/AAC-5025-2019; Mayewski, Paul Andrew/HRD-6969-2023; Vaughn, Bruce/AAO-8867-2020; Neff, Peter/B-3542-2014; Neumann, Thomas/D-5264-2012; Neumann, Thomas/JLL-4672-2023; Gallant, Ailie/N-3938-2013; Schneider, David/E-2726-2010; Taylor, Kendrick/A-3469-2016; /G-9088-2015</t>
  </si>
  <si>
    <t>Schneider, David/0000-0001-5308-1834; Gallant, Ailie/0000-0002-7917-1069; Rupper, Summer/0000-0001-8655-5282; Fudge, Tyler/0000-0002-6818-7479; Markle, Bradley/0000-0002-2282-6546; Taylor, Kendrick/0000-0001-8535-1261; Schauer, Andrew/0000-0002-5941-5396; VAUGHN, BRUCE/0000-0001-6503-957X; /0000-0002-8191-5549; Neff, Peter/0000-0003-1697-0936</t>
  </si>
  <si>
    <t>National Science Foundation Office of Polar Programs [0537930, 0837988, 0963924, 1043092, 05379853, 1043167, 0944730, 0230396, 0440817, 0944348, 0944266, 0096305, 9316564, 0096299, 0424589, 0439589, 063740, 063650, 0837883, 0838871]; National Science Foundation; Directorate For Geosciences; Office of Polar Programs (OPP) [0944730, 0944197, 0837988, 0537930, 0944348, 0944266, 1043092, 1043500, 0424589] Funding Source: National Science Foundation; Directorate For Geosciences; Office of Polar Programs (OPP) [0963924, 0837883, 0096305, 0439589, 0096299, 0838871, 1043167] Funding Source: National Science Foundation; Division Of Polar Programs; Directorate For Geosciences [0230396, 0440817] Funding Source: National Science Foundation; Office Of Internatl Science &amp;Engineering; Office Of The Director [0968391] Funding Source: National Science Foundation; Office of Polar Programs; Office Of The Director [9316564] Funding Source: National Science Foundation</t>
  </si>
  <si>
    <t>National Science Foundation Office of Polar Programs(National Science Foundation (NSF)NSF - Directorate for Geosciences (GEO));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Office Of Internatl Science &amp;Engineering; Office Of The Director(National Science Foundation (NSF)NSF - Office of the Director (OD)); Office of Polar Programs; Office Of The Director(National Science Foundation (NSF)NSF - Directorate for Geosciences (GEO)NSF - Office of the Director (OD))</t>
  </si>
  <si>
    <t>This work was supported by the National Science Foundation Office of Polar Programs (grant numbers 0537930, 0837988, 0963924 and 1043092 to E.J.S.; 05379853 and 1043167 to J.W.C.W.; 0944730 to S.B.R.; 0230396, 0440817, 0944348 and 0944266 to K.C.T.; 0096305, 9316564, 0096299, 0424589, 0439589, 063740, 063650 and 0837883 to P.A.M.; 0838871 to D.P.S.). NCAR is sponsored by the National Science Foundation. We thank A. Orsi, J. Bautista and J. Flaherty.</t>
  </si>
  <si>
    <t>10.1038/NGEO1778</t>
  </si>
  <si>
    <t>WOS:000318227000017</t>
  </si>
  <si>
    <t>Bintanja, R; van Oldenborgh, GJ; Drijfhout, SS; Wouters, B; Katsman, CA</t>
  </si>
  <si>
    <t>Bintanja, R.; van Oldenborgh, G. J.; Drijfhout, S. S.; Wouters, B.; Katsman, C. A.</t>
  </si>
  <si>
    <t>Important role for ocean warming and increased ice-shelf melt in Antarctic sea-ice expansion</t>
  </si>
  <si>
    <t>TEMPERATURE TRENDS; CLIMATE-CHANGE; DRIVEN; SHEET</t>
  </si>
  <si>
    <t>Changes in sea ice significantly modulate climate change because of its high reflective and strong insulating nature. In contrast to Arctic sea ice, sea ice surrounding Antarctica has expanded(1), with record extent(2) in 2010. This ice expansion has previously been attributed to dynamical atmospheric changes that induce atmospheric cooling(3). Here we show that accelerated basal melting of Antarctic ice shelves is likely to have contributed significantly to sea-ice expansion. Specifically, we present observations indicating that melt water from Antarctica's ice shelves accumulates in a cool and fresh surface layer that shields the surface ocean from the warmer deeper waters that are melting the ice shelves. Simulating these processes in a coupled climate model we find that cool and fresh surface water from ice-shelf melt indeed leads to expanding sea ice in austral autumn and winter. This powerful negative feedback counteracts Southern Hemispheric atmospheric warming. Although changes in atmospheric dynamics most likely govern regional sea-ice trends(4), our analyses indicate that the overall sea-ice trend is dominated by increased ice-shelf melt. We suggest that cool sea surface temperatures around Antarctica could offset projected snowfall increases in Antarctica, with implications for estimates of future sea-level rise.</t>
  </si>
  <si>
    <t>[Bintanja, R.; van Oldenborgh, G. J.; Drijfhout, S. S.; Wouters, B.; Katsman, C. A.] Royal Netherlands Meteorol Inst KNMI, NL-3732 GK De Bilt, Netherlands</t>
  </si>
  <si>
    <t>Royal Netherlands Meteorological Institute</t>
  </si>
  <si>
    <t>Bintanja, R (corresponding author), Royal Netherlands Meteorol Inst KNMI, Wilhelminalaan 10, NL-3732 GK De Bilt, Netherlands.</t>
  </si>
  <si>
    <t>bintanja@knmi.nl</t>
  </si>
  <si>
    <t>van Oldenborgh, Geert Jan/A-4176-2011; Drijfhout, Sybren/I-4230-2016; Wouters, Bert/AAA-4254-2019</t>
  </si>
  <si>
    <t>van Oldenborgh, Geert Jan/0000-0002-6898-9535; Wouters, Bert/0000-0002-1086-2435; Drijfhout, Sybren/0000-0001-5325-7350; Bintanja, Richard/0000-0002-0465-5923</t>
  </si>
  <si>
    <t>10.1038/NGEO1767</t>
  </si>
  <si>
    <t>WOS:000318227000018</t>
  </si>
  <si>
    <t>Stocchi, P; Escutia, C; Houben, AJP; Vermeersen, BLA; Bijl, PK; Brinkhuis, H; DeConto, RM; Galeotti, S; Passchier, S; Pollard, D; Brinkhuis, H; Escutia, C; Klaus, A; Fehr, A; Williams, T; Bendle, JAP; Bijl, PK; Bohaty, SM; Carr, SA; Dunbar, RB; Flores, JA; Gonzàlez, JJ; Iwai, M; Jimenez-Espejo, FJ; Katsuki, K; Kong, GS; Mckay, RM; Nakai, M; Olney, MP; Passchier, S; Pekar, SF; Pross, J; Riesselman, C; Röhl, U; Sakai, T; Shrivastava, PK; Stickley, CE; Sugisaki, S; Tauxe, L; Tuo, ST; van de Flierdt, T; Welsh, K; Yamane, M; Hayden, TG</t>
  </si>
  <si>
    <t>Stocchi, Paolo; Escutia, Carlota; Houben, Alexander J. P.; Vermeersen, Bert L. A.; Bijl, Peter K.; Brinkhuis, Henk; DeConto, Robert M.; Galeotti, Simone; Passchier, Sandra; Pollard, David; Brinkhuis, Henk; Escutia, Carlota; Klaus, Adam; Fehr, Annick; Williams, Trevor; Bendle, James A. P.; Bijl, Peter K.; Bohaty, Steven M.; Carr, Stephanie A.; Dunbar, Robert B.; Flores, Jose Abel; Gonzalez, Jhon J.; Iwai, Masao; Jimenez-Espejo, Francisco J.; Katsuki, Kota; Kong, Gee Soo; McKay, Robert M.; Nakai, Mutsumi; Olney, Matthew P.; Passchier, Sandra; Pekar, Stephen F.; Pross, Jorg; Riesselman, Christina; Rohl, Ursula; Sakai, Toyosaburo; Shrivastava, Prakash Kumar; Stickley, Catherine E.; Sugisaki, Saiko; Tauxe, Lisa; Tuo, Shouting; van de Flierdt, Tina; Welsh, Kevin; Yamane, Masako; Hayden, Travis G.</t>
  </si>
  <si>
    <t>IODP Expedition 318 Scientists</t>
  </si>
  <si>
    <t>Relative sea-level rise around East Antarctica during Oligocene glaciation</t>
  </si>
  <si>
    <t>CLIMATE; EUSTASY</t>
  </si>
  <si>
    <t>During the middle and late Eocene (similar to 48-34 Myr ago), the Earth's climate cooled(1,2) and an ice sheet built up on Antarctica. The stepwise expansion of ice on Antarctica(3,4) induced crustal deformation and gravitational perturbations around the continent. Close to the ice sheet, sea level rose(5,6) despite an overall reduction in the mass of the ocean caused by the transfer of water to the ice sheet. Here we identify the crustal response to ice-sheet growth by forcing a glacial-hydro isostatic adjustment model(7) with an Antarctic ice-sheet model. We find that the shelf areas around East Antarctica first shoaled as upper mantle material upwelled and a peripheral forebulge developed. The inner shelf subsequently subsided as lithosphere flexure extended outwards from the ice-sheet margins. Consequently the coasts experienced a progressive relative sea-level rise. Our analysis of sediment cores from the vicinity of the Antarctic ice sheet are in agreement with the spatial patterns of relative sea-level change indicated by our simulations. Our results are consistent with the suggestion(8) that near-field processes such as local sea-level change influence the equilibrium state obtained by an ice-sheet grounding line.</t>
  </si>
  <si>
    <t>[Stocchi, Paolo; Vermeersen, Bert L. A.; Brinkhuis, Henk] NIOZ Royal Netherlands Inst Sea Res, NL-1790 AB Den Burg, Texel, Netherlands; [Escutia, Carlota] CSIC UGR, Inst Andaluz Ciencias Tierra, Armilla 18100, Spain; [Houben, Alexander J. P.; Bijl, Peter K.; Brinkhuis, Henk] Univ Utrecht, Fac Sci, Dept Earth Sci, NL-3584 CD Utrecht, Netherlands; [Houben, Alexander J. P.] Netherlands Org Appl Sci Res TNO, NL-3584 CB Utrecht, Netherlands; [DeConto, Robert M.] Univ Massachusetts, Dept Geosci, Amherst, MA 01003 USA; [Galeotti, Simone] Univ Urbino Carlo Bo Localita Crocicchia, Dipartimento Geo TeCA, I-61029 Urbino, Italy; [Passchier, Sandra] Montclair State Univ, Dept Earth &amp; Environm Studies, Montclair, NJ 07043 USA; [Pollard, David] Penn State Univ, Earth &amp; Environm Syst Inst, University Pk, PA 16802 USA; [Brinkhuis, Henk] NIOZ Royal Netherlands Inst Sea Res, NL-1790 AB Den Burg, Texel, Netherlands; [Brinkhuis, Henk; Bijl, Peter K.] Univ Utrecht, Fac Sci, Dept Earth Sci, NL-3584 CD Utrecht, Netherlands; [Escutia, Carlota] CSIC UGR, Inst Andaluz Ciencias Tierra, Armilla 18100, Spain; [Klaus, Adam] Texas A&amp;M Univ, Integrated Ocean Drilling Program, US Implementing Org, College Stn, TX 77845 USA; [Fehr, Annick] Rhein Westfal TH Aachen, Inst Appl Geophys &amp; Geothermal Energy, D-52074 Aachen, Germany; [Williams, Trevor; Pekar, Stephen F.] Columbia Univ, Lamont Doherty Earth Observ, Palisades, NY 10964 USA; [Bendle, James A. P.] Univ Birmingham, Sch Geog Earth &amp; Environm Sci, Birmingham B15 2TT, W Midlands, England; [Bohaty, Steven M.] Univ Southampton, Natl Oceanog Ctr, Ocean &amp; Earth Sci, Southampton SO14 3ZH, Hants, England; [Carr, Stephanie A.] Colorado Sch Mines, Dept Chem &amp; Geochem, Golden, CO 80401 USA; [Dunbar, Robert B.] Stanford Univ, Environm Earth Syst Sci, Stanford, CA 94305 USA; [Flores, Jose Abel] Univ Salamanca, Salamanca 37008, Spain; [Gonzalez, Jhon J.] Univ Granada, Inst Andaluz Ciencias Tierra, Granada 18002, Spain; [Hayden, Travis G.] Western Michigan Univ, Dept Geol, Kalamazoo, MI 49008 USA; [Iwai, Masao] Kochi Univ, Dept Nat Sci, Kochi 7808520, Japan; [Jimenez-Espejo, Francisco J.] Nagoya Univ, Grad Sch Environm Stud, Dept Earth &amp; Planetary Sci, Nagoya, Aichi 4648601, Japan; [Katsuki, Kota] Kochi Univ, Marine &amp; Core Res Ctr, Kochi 7838502, Japan; [Kong, Gee Soo] Korea Inst Geosci &amp; Mineral Resources, Petr &amp; Marine Res Div, Daejeon 305350, South Korea; [McKay, Robert M.] Victoria Univ Wellington, Antarct Res Ctr, Wellington 6140, New Zealand; [Nakai, Mutsumi] Daito Bunka Univ, Educ Dept, Tokyo 1758571, Japan; [Olney, Matthew P.] Univ S Florida, Dept Geol, Tampa, FL 33620 USA; [Passchier, Sandra] Montclair State Univ, Earth &amp; Environm Studies, Montclair, NJ 07043 USA; [Pekar, Stephen F.] CUNY Queens Coll, Sch Earth &amp; Environm Sci, Flushing, NY 11367 USA; [Pross, Jorg] Goethe Univ Frankfurt, Inst Geosci, Paleoenvironm Dynam Grp, D-60438 Frankfurt, Germany; [Riesselman, Christina] USGS, Reston, VA 20192 USA; [Rohl, Ursula] Univ Bremen, MARUM, Ctr Marine Environm Sci, D-28359 Bremen, Germany; [Sakai, Toyosaburo] Utsunomiya Univ, Dept Geol, Utsunomiya, Tochigi 3218505, Japan; [Shrivastava, Prakash Kumar] Geol Survey India, Polar Studies Div, Faridabad 121001, India; [Stickley, Catherine E.] Univ Tromso, Dept Geol, N-9037 Tromso, Norway; [Sugisaki, Saiko] Univ Tokyo, Dept Earth &amp; Planetary Sci, Tokyo 1130033, Japan; [Tauxe, Lisa] Univ Calif San Diego, Scripps Inst Oceanog, Geosci Res Div, La Jolla, CA 92093 USA; [Tuo, Shouting] Tongji Univ, State Key Lab Marine Geol, Shanghai 200092, Peoples R China; [van de Flierdt, Tina] Imperial Coll London, Dept Earth Sci &amp; Engn, London SW7 2AZ, England; [Welsh, Kevin] Univ Queensland, Sch Earth Sci, Brisbane, Qld 4072, Australia; [Yamane, Masako] Univ Tokyo, Earth &amp; Planetary Sci, Tokyo 1130033, Japan</t>
  </si>
  <si>
    <t>Utrecht University; Royal Netherlands Institute for Sea Research (NIOZ); University of Granada; Consejo Superior de Investigaciones Cientificas (CSIC); CSIC - Instituto Andaluz de Ciencias de la Tierra (IACT); Utrecht University; Netherlands Organization Applied Science Research; University of Massachusetts System; University of Massachusetts Amherst; Montclair State University; Pennsylvania Commonwealth System of Higher Education (PCSHE); Pennsylvania State University; Pennsylvania State University - University Park; Utrecht University; Royal Netherlands Institute for Sea Research (NIOZ); Utrecht University; Consejo Superior de Investigaciones Cientificas (CSIC); CSIC - Instituto Andaluz de Ciencias de la Tierra (IACT); University of Granada; Texas A&amp;M University System; Texas A&amp;M University College Station; RWTH Aachen University; Columbia University; University of Birmingham; University of Southampton; NERC National Oceanography Centre; Colorado School of Mines; Stanford University; University of Salamanca; Consejo Superior de Investigaciones Cientificas (CSIC); CSIC - Instituto Andaluz de Ciencias de la Tierra (IACT); University of Granada; Western Michigan University; Kochi University; Nagoya University; Kochi University; Korea Institute of Geoscience &amp; Mineral Resources (KIGAM); Victoria University Wellington; State University System of Florida; University of South Florida; Montclair State University; City University of New York (CUNY) System; Queens College NY (CUNY); Goethe University Frankfurt; United States Department of the Interior; United States Geological Survey; University of Bremen; Utsunomiya University; Geological Survey India; UiT The Arctic University of Tromso; University of Tokyo; University of California System; University of California San Diego; Scripps Institution of Oceanography; Tongji University; Imperial College London; University of Queensland; University of Tokyo</t>
  </si>
  <si>
    <t>Stocchi, P (corresponding author), Univ Utrecht, IMAU Inst Marine &amp; Atmospher Res, Princetonpl 5, NL-3584 CC Utrecht, Netherlands.</t>
  </si>
  <si>
    <t>Paolo.Stocchi@nioz.nl</t>
  </si>
  <si>
    <t>Brinkhuis, Henk/B-4223-2009; Passchier, Sandra/B-1993-2008; McKay, Robert/N-2449-2015; Passchier, Sandra/GYU-2381-2022; Brinkhuis, Henk/IUO-8165-2023; Williams, Trevor/L-7670-2014; Flores, José-Abel/D-4218-2009; Jimenez-Espejo, Francisco J/F-4486-2016; Riesselman, Christina R/H-5037-2012; Jimenez-Espejo, Francisco J./AAR-2318-2020; Passchier, Sandra/AAQ-2243-2021; Röhl, Ursula/G-5986-2011; Escutia, Carlota/B-8614-2015; Welsh, Kevin/A-9808-2012</t>
  </si>
  <si>
    <t>Passchier, Sandra/0000-0001-7204-7025; McKay, Robert/0000-0002-5602-6985; Brinkhuis, Henk/0000-0003-0253-6610; Flores, José-Abel/0000-0003-1909-293X; Jimenez-Espejo, Francisco J/0000-0002-0335-8580; Passchier, Sandra/0000-0001-7204-7025; Röhl, Ursula/0000-0001-9469-7053; Escutia, Carlota/0000-0002-4932-8619; Riesselman, Christina/0000-0002-2436-4306; Welsh, Kevin/0000-0002-4834-4190; Galeotti, Simone/0000-0001-9636-9344; Houben, Alexander/0000-0002-9497-1048; Stocchi, Paolo/0000-0002-1377-3817; Iwai, Masao/0000-0001-7489-1262; Yamane, Masako/0000-0002-5063-0719; Bendle, James/0000-0002-6826-8658; Bijl, Peter/0000-0002-1710-4012; Dunbar, Robert/0000-0002-9728-5609</t>
  </si>
  <si>
    <t>Netherlands Organization for Scientific Research (NWO) [ALW-GO-A0/02-05]; Royal Netherlands Academy of Arts and Sciences (KNAW); Spanish Ministry of Science and Education [CTM2011-24079]; Statoil; National Science Foundation's Office of Polar Programs [ANT-1245283]; COST Action [ES0701]; US National Foundation [ANT-0424589, 1043018, OCE-1202632]; Natural Environment Research Council [NE/I006257/1, NE/H025162/1] Funding Source: researchfish; NERC [NE/I006257/1] Funding Source: UKRI; Directorate For Geosciences; Division Of Ocean Sciences [1129101] Funding Source: National Science Foundation; Directorate For Geosciences; Office of Polar Programs (OPP) [1245283] Funding Source: National Science Foundation</t>
  </si>
  <si>
    <t>Netherlands Organization for Scientific Research (NWO)(Netherlands Organization for Scientific Research (NWO)); Royal Netherlands Academy of Arts and Sciences (KNAW); Spanish Ministry of Science and Education(Spanish Government); Statoil; National Science Foundation's Office of Polar Programs(National Science Foundation (NSF)); COST Action(European Cooperation in Science and Technology (COST)); US National Foundation;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 Directorate For Geosciences; Office of Polar Programs (OPP)(National Science Foundation (NSF)NSF - Directorate for Geosciences (GEO))</t>
  </si>
  <si>
    <t>This work was financially supported by the Netherlands Organization for Scientific Research (NWO, Project Number ALW-GO-A0/02-05). P.S. acknowledges financial support from the Academy Professorship awarded by the Royal Netherlands Academy of Arts and Sciences (KNAW) to H. Oerlemans. C.E. acknowledges financial support from the Spanish Ministry of Science and Education grant No. CTM2011-24079. A.J.P.H. acknowledges financial support from Statoil. S.P. acknowledges support from the National Science Foundation's Office of Polar Programs (Award Number ANT-1245283). The authors are grateful to IODP for the samples collected during Expedition 318 to Wilkes Land. This research has been sponsored by the COST Action ES0701. The authors are grateful to VPRO TV and the Beagle Series. Further support was provided by the US National Foundation under awards ANT-0424589, 1043018 and OCE-1202632.</t>
  </si>
  <si>
    <t>10.1038/NGEO1783</t>
  </si>
  <si>
    <t>WOS:000318227000019</t>
  </si>
  <si>
    <t>Abram, NJ; Mulvaney, R; Wolff, E; Triest, J; Kipfstuhl, S; Trusel, LD; Vimeux, F; Fleet, L; Arrowsmith, C</t>
  </si>
  <si>
    <t>Abram, Nerilie J.; Mulvaney, Robert; Wolff, Ericw.; Triest, Jack; Kipfstuhl, Sepp; Trusel, Luke D.; Vimeux, Francoise; Fleet, Louise; Arrowsmith, Carol</t>
  </si>
  <si>
    <t>Acceleration of snow melt in an Antarctic Peninsula ice core during the twentieth century</t>
  </si>
  <si>
    <t>ANNULAR MODE; CLIMATE; SHELF; TRENDS; SURFACE; RECORD</t>
  </si>
  <si>
    <t>Over the past 50 years, warming of the Antarctic Peninsula has been accompanied by accelerating glacier mass loss and the retreat and collapse of ice shelves. A key driver of ice loss is summer melting; however, it is not usually possible to specifically reconstruct the summer conditions that are critical for determining ice melt in Antarctic. Here we reconstruct changes in ice-melt intensity and mean temperature on the northern Antarctic Peninsula since AD 1000 based on the identification of visible melt layers in the James Ross Island ice core and local mean annual temperature estimates from the deuterium content of the ice. During the past millennium, the coolest conditions and lowest melt occurred from about AD 1410 to 1460, when mean temperature was 1.6 degrees C lower than that of 1981-2000. Since the late 1400s, there has been a nearly tenfold increase in melt intensity from 0.5 to 4.9%. The warming has occurred in progressive phases since about AD 1460, but intensification of melt is nonlinear, and has largely occurred since the mid-twentieth century. Summer melting is now at a level that is unprecedented over the past 1,000 years. We conclude that ice on the Antarctic Peninsula is now particularly susceptible to rapid increases in melting and loss in response to relatively small increases in mean temperature.</t>
  </si>
  <si>
    <t>[Abram, Nerilie J.; Mulvaney, Robert; Wolff, Ericw.; Triest, Jack; Fleet, Louise] British Antarctic Survey, NERC, Cambridge CB3 0ET, England; [Abram, Nerilie J.] Australian Natl Univ, Res Sch Earth Sci, Canberra, ACT 0200, Australia; [Triest, Jack] UJF Grenoble 1, CNRS, Lab Glaciol &amp; Geophys Environm, UMR 5183, F-38041 Grenoble, France; [Kipfstuhl, Sepp] Alfred Wegener Inst Polar &amp; Marine Res, D-27568 Bremerhaven, Germany; [Trusel, Luke D.] Clark Univ, Grad Sch Geog, Worcester, MA 01610 USA; [Vimeux, Francoise] Lab HydroSci Montpellier, Inst Rech Dev, F-91191 Gif Sur Yvette, France; [Vimeux, Francoise] Lab Sci Climat &amp; Environm, F-91191 Gif Sur Yvette, France; [Arrowsmith, Carol] British Geol Survey, NERC, Isotope Geosci Lab, Keyworth NG12 5GG, Notts, England</t>
  </si>
  <si>
    <t>UK Research &amp; Innovation (UKRI); Natural Environment Research Council (NERC); NERC British Antarctic Survey; Australian National University; Communaute Universite Grenoble Alpes; Universite Grenoble Alpes (UGA); Centre National de la Recherche Scientifique (CNRS); Helmholtz Association; Alfred Wegener Institute, Helmholtz Centre for Polar &amp; Marine Research; Clark University; Institut de Recherche pour le Developpement (IRD); CEA; Centre National de la Recherche Scientifique (CNRS); Universite Paris Saclay; UK Research &amp; Innovation (UKRI); Natural Environment Research Council (NERC); NERC British Geological Survey</t>
  </si>
  <si>
    <t>Abram, NJ (corresponding author), British Antarctic Survey, NERC, Cambridge CB3 0ET, England.</t>
  </si>
  <si>
    <t>nerilie.abram@anu.edu.au; rmu@bas.ac.uk</t>
  </si>
  <si>
    <t>Wolff, Eric W/D-7925-2014; Abram, Nerilie/AAT-5171-2021; Trusel, Luke D/E-2578-2013; Mulvaney, Robert/K-3929-2012</t>
  </si>
  <si>
    <t>Wolff, Eric W/0000-0002-5914-8531; Abram, Nerilie/0000-0003-1246-2344; Arrowsmith, Carol/0000-0003-3849-5179; Trusel, Luke/0000-0002-7792-6173; Mulvaney, Robert/0000-0002-5372-8148</t>
  </si>
  <si>
    <t>Natural Environment Research Council; Institut Polaire Francais - Paul Emile Victor; Institut National des Sciences de l'Univers in France; Queen Elizabeth II fellowship awarded by the Australian Research Council [DP110101161]; Natural Environment Research Council [bas0100024] Funding Source: researchfish; NERC [bas0100024] Funding Source: UKRI</t>
  </si>
  <si>
    <t>Natural Environment Research Council(UK Research &amp; Innovation (UKRI)Natural Environment Research Council (NERC)); Institut Polaire Francais - Paul Emile Victor; Institut National des Sciences de l'Univers in France; Queen Elizabeth II fellowship awarded by the Australian Research Council; Natural Environment Research Council(UK Research &amp; Innovation (UKRI)Natural Environment Research Council (NERC)); NERC(UK Research &amp; Innovation (UKRI)Natural Environment Research Council (NERC))</t>
  </si>
  <si>
    <t>We thank our colleagues in the field, O. Alemany, S. Foord, S. Shelley and L. Sime, who took part in the ice-core drilling project; the Captain and crew of HMS Endurance who provided logistical support for the drilling field season; S. Foord, N. Lang, J. Levine, L. Sime, R. Rothlisberger, and the Alfred Wegener Institute at Bremerhaven for assistance in the processing of the ice core; and E. Capron, S. Foord and E. Ludlow for laboratory assistance. This study was aided by the use of the KNMI Climate Explorer web resource provided by G. J. van Oldenborgh, and we thank S. Das, H. Pritchard, J. King and C. Krause for helpful discussions during the preparation of the manuscript. This study is part of the British Antarctic Survey Polar Science for Planet Earth Programme, and was funded by the Natural Environment Research Council. Support from the Institut Polaire Francais - Paul Emile Victor and the Institut National des Sciences de l'Univers in France, facilitated by J. Chappellaz and F. Vimeux, enabled the technical contribution of the French National Center for Drilling and Coring (INSU/C2FN). N.J.A. is supported by a Queen Elizabeth II fellowship awarded by the Australian Research Council (DP110101161).</t>
  </si>
  <si>
    <t>10.1038/NGEO1787</t>
  </si>
  <si>
    <t>WOS:000318227000024</t>
  </si>
  <si>
    <t>Stanish, LF; Spear, JR</t>
  </si>
  <si>
    <t>Stanish, Lee F.; Spear, John R.</t>
  </si>
  <si>
    <t>DIATOM ECOLOGY AND MICROBIAL MAT STRUCTURE AND FUNCTION IN ANTARCTIC DRY VALLEYS</t>
  </si>
  <si>
    <t>OXYGENIC PHOTOSYNTHESIS; MELTWATER STREAMS; MARINE DIATOMS; TAYLOR VALLEY; DIVERSITY; BACTERIA; STROMATOLITES; ECOSYSTEMS; COMPLEXITY; EVOLUTION</t>
  </si>
  <si>
    <t>[Stanish, Lee F.] Colorado Sch Mines, Dept Chem &amp; Geochem, Golden, CO 80401 USA; [Spear, John R.] Colorado Sch Mines, Dept Civil &amp; Environm Engn, Golden, CO 80401 USA</t>
  </si>
  <si>
    <t>Colorado School of Mines; Colorado School of Mines</t>
  </si>
  <si>
    <t>Stanish, LF (corresponding author), Colorado Sch Mines, Dept Chem &amp; Geochem, Golden, CO 80401 USA.</t>
  </si>
  <si>
    <t>lee.stanish@colorado.edu; jspear@mines.edu</t>
  </si>
  <si>
    <t>Spear, John R./ABI-5873-2020</t>
  </si>
  <si>
    <t>Spear, John/0000-0002-4664-7438</t>
  </si>
  <si>
    <t>Division Of Ocean Sciences; Directorate For Geosciences [0839020] Funding Source: National Science Foundation</t>
  </si>
  <si>
    <t>Division Of Ocean Sciences; Directorate For Geosciences(National Science Foundation (NSF)NSF - Directorate for Geosciences (GEO))</t>
  </si>
  <si>
    <t>10.2110/palo.2013.SO3</t>
  </si>
  <si>
    <t>WOS:000322856800001</t>
  </si>
  <si>
    <t>Ashley, MCB</t>
  </si>
  <si>
    <t>Ashley, Michael C. B.</t>
  </si>
  <si>
    <t>The care and feeding of an Antarctic telescope</t>
  </si>
  <si>
    <t>Univ New S Wales, Sydney, NSW, Australia</t>
  </si>
  <si>
    <t>Ashley, MCB (corresponding author), Univ New S Wales, Sydney, NSW, Australia.</t>
  </si>
  <si>
    <t>Ashley, Michael/0000-0003-1412-2028</t>
  </si>
  <si>
    <t>10.1063/PT.3.1987</t>
  </si>
  <si>
    <t>252RN</t>
  </si>
  <si>
    <t>WOS:000327027300015</t>
  </si>
  <si>
    <t>Bick, A; Arlt, G</t>
  </si>
  <si>
    <t>Bick, Andreas; Arlt, Guenter</t>
  </si>
  <si>
    <t>Description of intertidal macro- and meiobenthic assemblages in Maxwell Bay, King George Island, South Shetland Islands, Southern Ocean</t>
  </si>
  <si>
    <t>Antarctica; Boulder pavement; Demographic analyses; Diversity; Harpacticoida; Polychaeta; Soft-bottom</t>
  </si>
  <si>
    <t>TERRA-NOVA BAY; ADMIRALTY BAY; BENTHIC COMMUNITIES; ORKNEY-ISLANDS; ANNUAL CYCLE; ROSS SEA; ANTARCTICA; BIOMASS; ICE; COLONIZATION</t>
  </si>
  <si>
    <t>The intertidal benthic fauna of the Antarctic coastal areas is largely unknown and has long been thought to be absent or, at most, to be scarce. Since climate changes cause a progressive expansion of ice-free intertidal soft-bottom areas, the fauna of these areas could serve as essential criterion to evaluate the kind and dimension of such changes. We therefore investigated the faunal composition of the intertidal soft-bottom area of Maxwell Bay (King George Island, South Shetlands) in December 2006. Samples for quantitative analyses were taken from the soft-bottom during low tide using a plastic corer. We performed detailed analyses of the soft-bottom beneath a cobble layer, while hard-bottom and macrophytes were only sporadically investigated. Approximately 5,000 specimens were collected of which polychaetes (37.3 +/- A 7.6 (max. 44.7) ind. x 100 cm(-)A(3)) and harpacticoids (28.9 +/- A 28.5 (max. 104.0) ind. x 10 cm(-)A(3)) were the most abundant macro- and meiofauna taxa of the soft-bottom, followed by oligochaetes, nematodes, mollusks, and amphipods. A total of 58 macrofauna species were registered, of which 27 were identified only to a supraspecific level. The most species-rich macrofauna taxon was polychaetes with at least 24 species, followed by amphipods, gastropods, and oligochaetes with 6 species each. The harpacticoid copepods were represented by 15 families with more than 30 species. In summary, we show that the Antarctic intertidal soft-bottom is densely populated by macro- and meiofauna and that it deserves closer attention in the future to determine whether it can indeed serve as an indicator of the effect of climate changes on the Antarctic coastal areas.</t>
  </si>
  <si>
    <t>[Bick, Andreas] Univ Rostock, Inst Biowissensch Allgemeine &amp; Spezielle Zool, D-18055 Rostock, Germany; [Arlt, Guenter] Univ Rostock, Inst Biowissensch, D-1855 Rostock, Germany</t>
  </si>
  <si>
    <t>University of Rostock; University of Rostock</t>
  </si>
  <si>
    <t>Bick, A (corresponding author), Univ Rostock, Inst Biowissensch Allgemeine &amp; Spezielle Zool, Univ Pl 2, D-18055 Rostock, Germany.</t>
  </si>
  <si>
    <t>andreas.bick@uni-rostock.de</t>
  </si>
  <si>
    <t>10.1007/s00300-013-1293-9</t>
  </si>
  <si>
    <t>WOS:000317858500005</t>
  </si>
  <si>
    <t>Cantero, ALP; Boero, F; Piraino, S</t>
  </si>
  <si>
    <t>Pena Cantero, Alvaro L.; Boero, Ferdinando; Piraino, Stefano</t>
  </si>
  <si>
    <t>Shallow-water benthic hydroids from Tethys Bay (Terra Nova Bay, Ross Sea, Antarctica)</t>
  </si>
  <si>
    <t>Biodiversity; Hydrozoa; Life cycle; New records; New species; Southern Ocean</t>
  </si>
  <si>
    <t>CNIDARIA HYDROZOA; HYDRACTINIA-ANGUSTA; STAUROTHECA ALLMAN; R.V. POLARSTERN; EXPEDITIONS; SERTULARIIDAE; ISLANDS; OCEAN</t>
  </si>
  <si>
    <t>The shallow-water hydrozoan Antarctic fauna is still poorly studied, and available knowledge mostly refers to samples gathered by traditional ship-operated gears. By scuba diving in the coastal areas off the Italian Antarctic station Mario Zucchelli (Ross Sea, Terra Nova Bay), in the austral summer 2002-2003, a total of 20 hydrozoan species were found, belonging to 10 families and 13 genera. As hypothesized, Anthoathecata (11 species), usually under-represented in collections from indirect sampling gears, are common as also are Leptothecata (9 species). Hydractiniidae and Hydractinia are the dominant family and genus, followed by Haleciidae and Halecium. A new species to science, Halecium exaggeratum sp. nov. is also described. Most species are either endemic to Antarctic waters or restricted to Antarctic/sub-Antarctic areas; only two species have a wider distribution. Material reared in aquaria at the Italian Antarctic Base Mario Zucchelli facilitated knowledge of the life cycle and reproductive biology of several species. In particular, Opercularella belgicae was found to liberate a medusa stage referable to Phialella, and the species is assigned here to that genus, as Phialella belgicae. Also, extraordinary is the complete absence or scant representation of the most typical Antarctic benthic hydroid genera (Antarctoscyphus, Oswaldella, Schizotricha, Staurotheca, and Symplectoscyphus), likely related to the shallow limits of sampling (down to 48 m).</t>
  </si>
  <si>
    <t>[Pena Cantero, Alvaro L.] Univ Valencia, Dept Zool, Inst Cavanilles Biodiversidad &amp; Biol Evolut, Valencia 46071, Spain; [Boero, Ferdinando; Piraino, Stefano] Univ Salento, CONISMA, Dipartimento Sci &amp; Tecnol Biol &amp; Ambientali, Lecce, Italy; [Boero, Ferdinando] CNR ISMAR, Lecce, Italy</t>
  </si>
  <si>
    <t>University of Valencia; University of Salento; CoNISMa; Consiglio Nazionale delle Ricerche (CNR); Istituto di Scienze Marine (ISMAR-CNR)</t>
  </si>
  <si>
    <t>Cantero, ALP (corresponding author), Univ Valencia, Dept Zool, Inst Cavanilles Biodiversidad &amp; Biol Evolut, Apdo Correos 22085, Valencia 46071, Spain.</t>
  </si>
  <si>
    <t>Alvaro.L.Pena@uv.es; boero@unisalento.it; stefano.piraino@unisalento.it</t>
  </si>
  <si>
    <t>Cantero, Álvaro Luis Peña/F-7888-2016; Boero, Ferdinando/B-4494-2008; Piraino, Stefano/J-5234-2012; CNR, Ismar/P-1247-2014</t>
  </si>
  <si>
    <t>Boero, Ferdinando/0000-0002-6317-2710; Pena Cantero, Alvaro/0000-0003-3056-6673; Piraino, Stefano/0000-0002-8752-9390; CNR, Ismar/0000-0001-5351-1486</t>
  </si>
  <si>
    <t>Italian National Programme for Researches in Antarctica (PNRA); Ministerio de Ciencia e Innovacion of Spain; Fondo Europeo de Desarrollo Regional (FEDER); Italian Consortium for Marine Sciences (CONISMA); Euro-Mediterranean Centre for climatic changes (CMCC); [CTM2009-11128ANT]</t>
  </si>
  <si>
    <t>Italian National Programme for Researches in Antarctica (PNRA); Ministerio de Ciencia e Innovacion of Spain(Spanish Government); Fondo Europeo de Desarrollo Regional (FEDER)(European Union (EU)Spanish Government); Italian Consortium for Marine Sciences (CONISMA); Euro-Mediterranean Centre for climatic changes (CMCC);</t>
  </si>
  <si>
    <t>This study was funded by the Italian National Programme for Researches in Antarctica (PNRA) and supported SP's participation to the XV Italian Expedition at the Italian base Mario Zucchelli'' at Terra Nova Bay. APC was supported by a research project (Ref. CTM2009-11128ANT) funded by the Ministerio de Ciencia e Innovacion of Spain and the Fondo Europeo de Desarrollo Regional (FEDER). SP was also supported by the Italian Consortium for Marine Sciences (CONISMA) and the Euro-Mediterranean Centre for climatic changes (CMCC). Many thanks are due to Mr. Massimiliano Ronca (ENEA) who helped in rearing the final stages of the medusa of Phialella belgicae and to Captain Massimo Patania and to Igor Zamaro for invaluable assistance during 23 dives at Terra Nova Bay.</t>
  </si>
  <si>
    <t>10.1007/s00300-013-1299-3</t>
  </si>
  <si>
    <t>WOS:000317858500009</t>
  </si>
  <si>
    <t>Sime, LC; Risi, C; Tindall, JC; Sjolte, J; Wolff, EW; Masson-Delmotte, V; Capron, E</t>
  </si>
  <si>
    <t>Sime, Louise C.; Risi, Camille; Tindall, Julia C.; Sjolte, Jesper; Wolff, Eric W.; Masson-Delmotte, Valerie; Capron, Emilie</t>
  </si>
  <si>
    <t>Warm climate isotopic simulations: what do we learn about interglacial signals in Greenland ice cores?</t>
  </si>
  <si>
    <t>Greenland; Interglacials; Atmospheric modelling; Stable water isotopes; Ice cores</t>
  </si>
  <si>
    <t>GENERAL-CIRCULATION MODEL; STABLE ISOTOPES; OXYGEN-ISOTOPE; ARCTIC-OCEAN; GRIP; TEMPERATURE; RECONSTRUCTION; SEASONALITY; IMPACT; GISP2</t>
  </si>
  <si>
    <t>Measurements of Last Interglacial stable water isotopes in ice cores show that central Greenland delta O-18 increased by at least 3 parts per thousand compared to present day. Attempting to quantify the Greenland interglacial temperature change from these ice core measurements rests on our ability to interpret the stable water isotope content of Greenland snow. Current orbitally driven interglacial simulations do not show delta O-18 or temperature rises of the correct magnitude, leading to difficulty in using only these experiments to inform our understanding of higher interglacial delta O-18. Here, analysis of greenhouse gas warmed simulations from two isotope-enabled general circulation models, in conjunction with a set of last Interglacial sea surface observations, indicates a possible explanation for the interglacial delta O-18 rise. A reduction in the winter time sea ice concentration around the northern half of Greenland, together with an increase in sea surface temperatures over the same region, is found to be sufficient to drive a &gt;3 parts per thousand interglacial enrichment in central Greenland snow. Warm climate delta O-18 and delta D in precipitation falling on Greenland are shown to be strongly influenced by local sea surface condition changes: local sea surface warming and a shrunken sea ice extent increase the proportion of water vapour from local (isotopically enriched) sources, compared to that from distal (isotopically depleted) sources. Precipitation intermittency changes, under warmer conditions, leads to geographical variability in the delta O-18 against temperature gradients across Greenland. Little sea surface warming around the northern areas of Greenland leads to low delta O-18 against temperature gradients (0.1-0.3 parts per thousand. per degrees C), whilst large sea surface warmings in these regions leads to higher gradients (03-0.7 parts per thousand per degrees C). These gradients imply a wide possible range of present day to interglacial temperature increases (4 to &gt;10 degrees C). Thus, we find that uncertainty about local interglacial sea surface conditions, rather than precipitation intermittency changes, may lead to the largest uncertainties in interpreting temperature from Greenland ice cores. We find that interglacial sea surface change observational records are currently insufficient to enable discrimination between these different delta O-18 against temperature gradients. In conclusion, further information on interglacial sea surface temperatures and sea ice changes around northern Greenland should indicate whether +5 degrees C during the Last Interglacial is sufficient to drive the observed ice core delta O-18 increase, or whether a larger temperature increases or ice sheet changes are also required to explain the ice core observations. (c) 2013 Elsevier Ltd. All rights reserved.</t>
  </si>
  <si>
    <t>[Sime, Louise C.; Wolff, Eric W.; Capron, Emilie] British Antarctic Survey, Cambridge CB3 0ET, England; [Risi, Camille] Univ Colorado, Cooperat Inst Res Environm Sci, Boulder, CO 80309 USA; [Tindall, Julia C.] Univ Leeds, Sch Earth &amp; Environm, Leeds LS2 9JT, W Yorkshire, England; [Sjolte, Jesper] Univ Copenhagen, Niels Bohr Inst, Ctr Ice &amp; Climate, DK-2100 Copenhagen, Denmark; [Masson-Delmotte, Valerie] UVSQ, CNRS, CEA, UMR 8212,Lab Sci Climat &amp; Environm, Gif Sur Yvette, France; [Risi, Camille] UPMC, CNRS, IPSL, Lab Meteorol Dynam, Paris, France; [Sjolte, Jesper] Lund Univ, GeoBiosphere Sci Ctr, SE-22362 Lund, Sweden</t>
  </si>
  <si>
    <t>UK Research &amp; Innovation (UKRI); Natural Environment Research Council (NERC); NERC British Antarctic Survey; University of Colorado System; University of Colorado Boulder; University of Leeds; University of Copenhagen; Niels Bohr Institute; CEA; Centre National de la Recherche Scientifique (CNRS); Universite Paris Saclay; CNRS - National Institute for Earth Sciences &amp; Astronomy (INSU); Universite Paris Cite; Universite Paris Cite; Sorbonne Universite; Centre National de la Recherche Scientifique (CNRS); Lund University</t>
  </si>
  <si>
    <t>Sime, LC (corresponding author), British Antarctic Survey, Cambridge CB3 0ET, England.</t>
  </si>
  <si>
    <t>lsim@bas.ac.uk</t>
  </si>
  <si>
    <t>Sime, Louise/F-8058-2012; Sjolte, Jesper/N-7833-2019; Wolff, Eric W/D-7925-2014; Capron, Emilie/ITU-2672-2023; Sime, Louise/AAX-7730-2021; Sjolte, Jesper/O-2942-2016; Masson-Delmotte, Valerie L/G-1995-2011</t>
  </si>
  <si>
    <t>Sime, Louise/0000-0002-9093-7926; Sjolte, Jesper/0000-0003-0870-5331; Wolff, Eric W/0000-0002-5914-8531; Sime, Louise/0000-0002-9093-7926; Sjolte, Jesper/0000-0003-0870-5331; Masson-Delmotte, Valerie L/0000-0001-8296-381X</t>
  </si>
  <si>
    <t>European Union's Seventh Framework programme (FP7) [243908]; Agence Nationale de la Recherche NEEM project; Agence Nationale de la Recherche GREENLAND project; UK-NERC grant [NE/J004804/1]; NERC [bas0100024, NE/I009639/1, NE/J004804/1] Funding Source: UKRI; Natural Environment Research Council [bas0100024, NE/J004804/1, NE/I009639/1] Funding Source: researchfish</t>
  </si>
  <si>
    <t>European Union's Seventh Framework programme (FP7)(European Union (EU)); Agence Nationale de la Recherche NEEM project(Agence Nationale de la Recherche (ANR)); Agence Nationale de la Recherche GREENLAND project(Agence Nationale de la Recherche (ANR)); UK-NERC grant; NERC(UK Research &amp; Innovation (UKRI)Natural Environment Research Council (NERC)); Natural Environment Research Council(UK Research &amp; Innovation (UKRI)Natural Environment Research Council (NERC))</t>
  </si>
  <si>
    <t>This is Past4Future contribution no 22. The research leading to these results has received funding from the European Union's Seventh Framework programme (FP7/2007-2013) under grant agreement no 243908, the Agence Nationale de la Recherche NEEM and GREENLAND projects, and UK-NERC grant NE/J004804/1. It forms a part of the British Antarctic Survey Polar Science for Planet Earth Programme. The LMDZ4 simulations were run on the NEC-SX6 of the IDRIS computer centre.</t>
  </si>
  <si>
    <t>10.1016/j.quascirev.2013.01.009</t>
  </si>
  <si>
    <t>129VH</t>
  </si>
  <si>
    <t>WOS:000317871600005</t>
  </si>
  <si>
    <t>Struvay, C; Negro, S; Matagne, A; Feller, G</t>
  </si>
  <si>
    <t>Struvay, Caroline; Negro, Sonia; Matagne, Andre; Feller, Georges</t>
  </si>
  <si>
    <t>Energetics of Protein Stability at Extreme Environmental Temperatures in Bacterial Trigger Factors</t>
  </si>
  <si>
    <t>BIOCHEMISTRY</t>
  </si>
  <si>
    <t>REVERSIBLE 2-STATE PROTEINS; ANTARCTIC BACTERIUM; BIOLOGICAL MACROMOLECULES; THERMODYNAMIC STABILITY; CHEMICAL DENATURATION; THERMOPHILIC PROTEIN; STEPWISE ADAPTATIONS; MONOMERIC PROTEINS; RESIDUAL STRUCTURE; UNFOLDED STATE</t>
  </si>
  <si>
    <t>Trigger factor is the first molecular chaperone interacting cotranslationally with virtually all nascent polypeptides synthesized by the ribosome in bacteria. The stability of this primary folding assistant was investigated using trigger factors from the Antarctic psychrophile Pseudoalteromonas haloplanktis, the mesophile Escherichia coli, and the hyperthermophile Thermotoga maritima. This series covers nearly all temperatures encountered by living organisms. We show that proteins adapt their stability over the whole range of biological temperatures via adjustments of the same fundamental mechanisms, involving increases increases in enthalpic stabilization and decreases in unfolding rates, in parallel with the environmental temperature. Enthalpic stabilization in trigger factors is characterized by large increases in the melting temperature, T-m, ranging from 33 to 96.6 degrees C, associated with similarly large increases in unfolding enthalpy as revealed by differential scanning calorimetry. Stopped-flow spectroscopy shows that the folding rate constants for the three investigated proteins are similar, whereas the unfolding rate constants differ by several orders of magnitude, revealing that kinetic resistance to unfolding drives adjustments of protein stability. While the unusual stability of hyperthermophilic proteins has attracted much attention, this study indicates that they are an extreme case of a more general continuum, the other extreme being represented by natively unstable proteins from psychrophiles.</t>
  </si>
  <si>
    <t>[Struvay, Caroline; Negro, Sonia; Feller, Georges] Univ Liege, Ctr Prot Engn, Biochem Lab, B-4000 Liege, Belgium; [Matagne, Andre] Univ Liege, Ctr Prot Engn, Lab Enzymol &amp; Prot Folding, B-4000 Liege, Belgium</t>
  </si>
  <si>
    <t>University of Liege; University of Liege</t>
  </si>
  <si>
    <t>Feller, G (corresponding author), Ctr Prot Engn, Inst Chem B6A, Biochem Lab, B-4000 Liege, Belgium.</t>
  </si>
  <si>
    <t>gfeller@ulg.ac.b</t>
  </si>
  <si>
    <t>Matagne, Andre/0000-0001-6417-6791</t>
  </si>
  <si>
    <t>FRS-FNRS, Belgium (Fonds de la Recherche Fondamentale et Collective) [2.4535.08, 2.4530.09]; Belgian program of Interuniversity Attraction Poles [iPros P7/44]; Federal Office for Scientific, Technical and Cultural Affaires</t>
  </si>
  <si>
    <t>FRS-FNRS, Belgium (Fonds de la Recherche Fondamentale et Collective)(Fonds de la Recherche Scientifique - FNRS); Belgian program of Interuniversity Attraction Poles; Federal Office for Scientific, Technical and Cultural Affaires</t>
  </si>
  <si>
    <t>This work was supported by the FRS-FNRS, Belgium (Fonds de la Recherche Fondamentale et Collective, Contracts 2.4535.08 to G.F. and 2.4530.09 to A.M.), and by the Belgian program of Interuniversity Attraction Poles (iPros P7/44) initiated by the Federal Office for Scientific, Technical and Cultural Affaires. C.S. is a FRS-FNRS research fellow.</t>
  </si>
  <si>
    <t>0006-2960</t>
  </si>
  <si>
    <t>BIOCHEMISTRY-US</t>
  </si>
  <si>
    <t>Biochemistry</t>
  </si>
  <si>
    <t>APR 30</t>
  </si>
  <si>
    <t>10.1021/bi4002387</t>
  </si>
  <si>
    <t>Biochemistry &amp; Molecular Biology</t>
  </si>
  <si>
    <t>136AZ</t>
  </si>
  <si>
    <t>WOS:000318333100013</t>
  </si>
  <si>
    <t>Navarro, J; Votier, SC; Aguzzi, J; Chiesa, JJ; Forero, MG; Phillips, RA</t>
  </si>
  <si>
    <t>Navarro, Joan; Votier, Stephen C.; Aguzzi, Jacopo; Chiesa, Juan J.; Forero, Manuela G.; Phillips, Richard A.</t>
  </si>
  <si>
    <t>Ecological Segregation in Space, Time and Trophic Niche of Sympatric Planktivorous Petrels</t>
  </si>
  <si>
    <t>COMMON DIVING PETRELS; MAXIMUM DIVE DEPTHS; FEEDING ECOLOGY; SOUTH-GEORGIA; PELECANOIDES-GEORGICUS; HALOBAENA-CAERULEA; SEABIRD COMMUNITY; ANTARCTIC KRILL; ILES-KERGUELEN; BLUE PETRELS</t>
  </si>
  <si>
    <t>The principle of competitive exclusion postulates that ecologically-similar species are expected to partition their use of resources, leading to niche divergence. The most likely mechanisms allowing such coexistence are considered to be segregation in a horizontal, vertical or temporal dimension, or, where these overlap, a difference in trophic niche. Here, by combining information obtained from tracking devices (geolocator-immersion and time depth recorders), stable isotope analyses of blood, and conventional morphometry, we provide a detailed investigation of the ecological mechanisms that explain the coexistence of four species of abundant, zooplanktivorous seabirds in Southern Ocean ecosystems (blue petrel Halobaena caerulea, Antarctic prion Pachyptila desolata, common diving petrel Pelecanoides urinatrix and South Georgian diving petrel P. georgicus). The results revealed a combination of horizontal, vertical and temporal foraging segregation during the breeding season. The stable isotope and morphological analyses reinforced this conclusion, indicating that each species occupied a distinct trophic space, and that this appears to reflect adaptations in terms of flight performance. In conclusion, the present study indicated that although there was a degree of overlap in some measures of foraging behaviour, overall the four taxa operated in very different ecological space despite breeding in close proximity. We therefore provide important insight into the mechanisms allowing these very large populations of ecologically-similar predators to coexist.</t>
  </si>
  <si>
    <t>[Navarro, Joan; Aguzzi, Jacopo] CSIC, ICM, Barcelona, Spain; [Votier, Stephen C.] Univ Plymouth, Marine Biol &amp; Ecol Res Ctr, Plymouth PL4 8AA, Devon, England; [Chiesa, Juan J.] Univ Nacl Quilmes, CONICET, Dept Ciencia &amp; Tecnol, Lab Cronobiol, Buenos Aires, DF, Argentina; [Forero, Manuela G.] CSIC, EBD, Dept Biol Conservac, E-41080 Seville, Spain; [Phillips, Richard A.] British Antarctic Survey, NERC, Cambridge CB3 0ET, England</t>
  </si>
  <si>
    <t>Consejo Superior de Investigaciones Cientificas (CSIC); CSIC - Centro Mediterraneo de Investigaciones Marinas y Ambientales (CMIMA); CSIC - Instituto de Ciencias del Mar (ICM); University of Plymouth; Consejo Nacional de Investigaciones Cientificas y Tecnicas (CONICET); Consejo Superior de Investigaciones Cientificas (CSIC); CSIC - Estacion Biologica de Donana (EBD); UK Research &amp; Innovation (UKRI); Natural Environment Research Council (NERC); NERC British Antarctic Survey</t>
  </si>
  <si>
    <t>Navarro, J (corresponding author), CSIC, ICM, Barcelona, Spain.</t>
  </si>
  <si>
    <t>joan@icm.csic.es</t>
  </si>
  <si>
    <t>Votier, Stephen/IUO-0154-2023; Navarro, Joan/C-2119-2009; Aguzzi, Jacopo/D-6574-2012</t>
  </si>
  <si>
    <t>Votier, Stephen/0000-0002-0976-0167; Navarro, Joan/0000-0002-5756-9543; Aguzzi, Jacopo/0000-0002-1484-8219; Gonzalez Forero, Manuela/0000-0001-9157-9705</t>
  </si>
  <si>
    <t>Juan de la Cierva program (Spanish Ministry of Economy and Competitiveness); Ramon y Cajal program (Spanish Ministry of Economy and Competitiveness); NERC [NE/I023503/1, bas0100025] Funding Source: UKRI; Natural Environment Research Council [bas0100025, NE/I023503/1] Funding Source: researchfish</t>
  </si>
  <si>
    <t>Juan de la Cierva program (Spanish Ministry of Economy and Competitiveness); Ramon y Cajal program (Spanish Ministry of Economy and Competitiveness); NERC(UK Research &amp; Innovation (UKRI)Natural Environment Research Council (NERC)); Natural Environment Research Council(UK Research &amp; Innovation (UKRI)Natural Environment Research Council (NERC))</t>
  </si>
  <si>
    <t>Logistical support in Bird Island was provided by the Collaborative Gearing Scheme of the Natural Environment Research Council Antarctic Funding Initiative (AFI-NERC). JN and JA were supported by a postdoctoral contract of the Juan de la Cierva program and Ramon y Cajal program, respectively (Spanish Ministry of Economy and Competitiveness). The funders had no role in study design, data collection and analysis, decision to publish, or preparation of the manuscript.</t>
  </si>
  <si>
    <t>e62897</t>
  </si>
  <si>
    <t>10.1371/journal.pone.0062897</t>
  </si>
  <si>
    <t>146GG</t>
  </si>
  <si>
    <t>Green Submitted, Green Published, Green Accepted, gold</t>
  </si>
  <si>
    <t>WOS:000319077300109</t>
  </si>
  <si>
    <t>Hutchinson, DK; England, MH; Santoso, A; Hogg, AM</t>
  </si>
  <si>
    <t>Hutchinson, David K.; England, Matthew H.; Santoso, Agus; Hogg, Andrew McC</t>
  </si>
  <si>
    <t>Interhemispheric asymmetry in transient global warming: The role of Drake Passage</t>
  </si>
  <si>
    <t>Antarctic Circumpolar Current; global Warming; asymmetry; sea surface temperature</t>
  </si>
  <si>
    <t>OCEAN-ATMOSPHERE MODEL; CLIMATE; OZONE; CO2</t>
  </si>
  <si>
    <t>Climate models predict that the Northern Hemisphere (NH) will warm faster than the Southern Hemisphere (SH) in response to increasing greenhouse gases, and observations show that this trend has already begun to occur. This interhemispheric asymmetry has largely been attributed to land-ocean differences between the hemispheres and Arctic sea ice melt, while the role of ocean currents in setting this asymmetry is less well understood. This study isolates the impact of an open Southern Ocean gateway upon the interhemispheric asymmetry in transient global warming by forcing a fully coupled climate model with an increasing CO2 scenario with and without a land bridge across Drake Passage (DP). It is found that over the transient warming period, the NH-SH surface warming asymmetry is reduced in the DP closed case, by approximately 41% for sea surface temperature and approximately 6% for surface air temperature. In the DP open case, sea ice extent is far greater in the SH than in the DP closed case, whereas the sea ice response to warming in the NH is insensitive to whether or not DP is closed. These results illustrate that part of the interhemispheric asymmetry in surface warming is due to the Antarctic Circumpolar Current (ACC) thermally isolating Antarctica. The ACC limits ocean heat transport across the DP latitudes and allows a much greater coverage of sea ice in the Southern Ocean than would be the case in the absence of a circumpolar ocean.</t>
  </si>
  <si>
    <t>[Hutchinson, David K.; England, Matthew H.; Santoso, Agus] Univ New S Wales, Climate Change Res Ctr, Sydney, NSW 2052, Australia; [Hutchinson, David K.; England, Matthew H.; Santoso, Agus; Hogg, Andrew McC] ARC Ctr Excellence Climate Syst Sci, Sydney, NSW, Australia; [Hogg, Andrew McC] Australian Natl Univ, Res Sch Earth Sci, Canberra, ACT, Australia</t>
  </si>
  <si>
    <t>University of New South Wales Sydney; ARC Centre of Excellence for Climate System Science; Australian National University</t>
  </si>
  <si>
    <t>Hutchinson, DK (corresponding author), Univ New S Wales, Climate Change Res Ctr, Level 4 Mathews Bldg, Sydney, NSW 2052, Australia.</t>
  </si>
  <si>
    <t>david.hutchinson@unsw.edu.au</t>
  </si>
  <si>
    <t>Hogg, Andy/AAZ-8733-2021; England, Matthew/A-7539-2011; Santoso, Agus/J-7350-2012; Hutchinson, David/F-4564-2016; Santoso, Agus/P-1918-2019; Hogg, Andy McC./A-7553-2011</t>
  </si>
  <si>
    <t>Hogg, Andy/0000-0001-5898-7635; England, Matthew/0000-0001-9696-2930; Hutchinson, David/0000-0001-9385-4782; Santoso, Agus/0000-0001-7749-8124; Hogg, Andy McC./0000-0001-5898-7635</t>
  </si>
  <si>
    <t>Australian Research Council; ARC Centre of Excellence in Climate System Science; Merit Allocation Scheme on the NCI National Facility at the ANU</t>
  </si>
  <si>
    <t>Australian Research Council(Australian Research Council); ARC Centre of Excellence in Climate System Science(Australian Research Council); Merit Allocation Scheme on the NCI National Facility at the ANU</t>
  </si>
  <si>
    <t>This work was supported by the Australian Research Council, including the ARC Centre of Excellence in Climate System Science, and an award under the Merit Allocation Scheme on the NCI National Facility at the ANU.</t>
  </si>
  <si>
    <t>APR 28</t>
  </si>
  <si>
    <t>10.1002/grl.50341</t>
  </si>
  <si>
    <t>148BR</t>
  </si>
  <si>
    <t>WOS:000319217800024</t>
  </si>
  <si>
    <t>Spolaor, A; Vallelonga, P; Cozzi, G; Gabrieli, J; Varin, C; Kehrwald, N; Zennaro, P; Boutron, C; Barbante, C</t>
  </si>
  <si>
    <t>Spolaor, A.; Vallelonga, P.; Cozzi, G.; Gabrieli, J.; Varin, C.; Kehrwald, N.; Zennaro, P.; Boutron, C.; Barbante, C.</t>
  </si>
  <si>
    <t>Iron speciation in aerosol dust influences iron bioavailability over glacial-interglacial timescales</t>
  </si>
  <si>
    <t>iron; bioavailability; Talos Dome; Southern Ocean</t>
  </si>
  <si>
    <t>ANTARCTIC ICE; TALOS DOME; EAST ANTARCTICA; ORGANIC-CARBON; COMPLEXATION; PACIFIC; FLUXES; SNOW</t>
  </si>
  <si>
    <t>Iron deposition influences primary production and oceanic sequestration of atmospheric carbon dioxide (CO2). Iron has two oxidation states, Fe(II) and Fe(III), with Fe(II) being more soluble and available for oceanic phytoplankton uptake. The past proportions of soluble iron in aerosol dust remain unknown. Here we present iron speciation (Fe2+ and Fe3+) in the Antarctic Talos Dome ice core over millennial time scales. We demonstrate that iron speciation over the last 55 kyr is linked to increasing quantities of fine dust (FD) (0.75 mu m) and intensified long-range dust transport. We propose that Fe(II) and Fe2+ production is principally enhanced in FD by photoreduction, although pH and organic complexation may also contribute to the speciation dynamics. During the Last Glacial Maximum, Fe2+ concentrations in dust increased by up to seven times more than interglacial levels, while Fe3+ only doubled. Cold and dusty climatic periods may increase the percentage of biologically available Fe(II) and Fe2+ deposited in the nutrient-limited Southern Ocean, allowing greater phytoplankton uptake and perhaps increased CO2 drawdown.</t>
  </si>
  <si>
    <t>[Spolaor, A.] Univ Siena, Dept Earth Sci, I-53100 Siena, Italy; [Spolaor, A.; Vallelonga, P.; Cozzi, G.; Gabrieli, J.; Barbante, C.] Univ Venice, Inst Dynam Environm Proc, CNR, IT-30123 Venice, Italy; [Vallelonga, P.] Niels Bohr Inst, Ctr Ice &amp; Climate, DK-2100 Copenhagen, Denmark; [Varin, C.; Kehrwald, N.; Zennaro, P.; Barbante, C.] Univ Ca Foscari Venice, Dept Environm Sci Informat &amp; Stat, Venice, Italy; [Boutron, C.] UJF, CNRS, UMR 5183, Lab Glaciol &amp; Geophys Environm, St Martin Dheres, France</t>
  </si>
  <si>
    <t>University of Siena; Consiglio Nazionale delle Ricerche (CNR); Istituto per la Dinamica dei Processi Ambientali (IDPA-CNR); Universita Ca Foscari Venezia; University of Copenhagen; Niels Bohr Institute; Universita Ca Foscari Venezia; Centre National de la Recherche Scientifique (CNRS); Communaute Universite Grenoble Alpes; Universite Grenoble Alpes (UGA)</t>
  </si>
  <si>
    <t>Barbante, C (corresponding author), Univ Venice, Inst Dynam Environm Proc, CNR, Dorsoduro 2137, IT-30123 Venice, Italy.</t>
  </si>
  <si>
    <t>barbante@unive.it</t>
  </si>
  <si>
    <t>Barbante, Carlo/B-3195-2011; VARIN, CRISTIANO/Q-4484-2018; Cozzi, Giulio/R-4554-2019; Spolaor, Andrea/AAX-8808-2020; Kehrwald, Natalie M/A-3848-2013; VARIN, CRISTIANO/E-8269-2015; Vallelonga, Paul/I-9650-2016</t>
  </si>
  <si>
    <t>VARIN, CRISTIANO/0000-0002-5591-5705; Cozzi, Giulio/0000-0001-8796-4176; Spolaor, Andrea/0000-0001-8635-9193; Kehrwald, Natalie M/0000-0002-9160-2239; Barbante, Carlo/0000-0003-4177-2288; Jacopo, Gabrieli/0009-0001-7005-7390; Vallelonga, Paul/0000-0003-1055-7235</t>
  </si>
  <si>
    <t>University of Siena; IDPA-CNR (Institute for the Dynamics of Environmental Processes, National Research Council); EU Marie Curie IIF Fellowship [MIF1-CT-2006-039529]; national contribution from Italy; national contribution from France; national contribution from Germany; national contribution from Switzerland; national contribution from United Kingdom; Past4Future project from the European Commission's 7th Framework Programme [243908]</t>
  </si>
  <si>
    <t>University of Siena; IDPA-CNR (Institute for the Dynamics of Environmental Processes, National Research Council); EU Marie Curie IIF Fellowship(European Union (EU)); national contribution from Italy; national contribution from France; national contribution from Germany; national contribution from Switzerland; national contribution from United Kingdom; Past4Future project from the European Commission's 7th Framework Programme(European Union (EU))</t>
  </si>
  <si>
    <t>This work was supported by the University of Siena and IDPA-CNR (Institute for the Dynamics of Environmental Processes, National Research Council). P.V. acknowledges the support of an EU Marie Curie IIF Fellowship (MIF1-CT-2006-039529, TDICOSO). We thank all our colleagues from the University of Venice Environmental Analytical Chemistry Laboratory for instrumental assistance, technical information, and manuscript corrections. Roberto Zuliani is especially thanked for technical assistance and development of the software used for the manifold control. The Talos Dome Ice Core Project (TALDICE), a joint European program, is funded by national contributions from Italy, France, Germany, Switzerland, and the United Kingdom. Primary logistical support was provided by PNRA at TD. This is TALDICE publication n. 32. This work was also supported by funding to the Past4Future project from the European Commission's 7th Framework Programme (grant 243908) and is Past4Future contribution n. 42.</t>
  </si>
  <si>
    <t>10.1002/grl.50296</t>
  </si>
  <si>
    <t>WOS:000319217800029</t>
  </si>
  <si>
    <t>Jones, PD; Harpham, C</t>
  </si>
  <si>
    <t>Jones, P. D.; Harpham, C.</t>
  </si>
  <si>
    <t>Estimation of the absolute surface air temperature of the Earth</t>
  </si>
  <si>
    <t>REANALYSIS; ERA-40</t>
  </si>
  <si>
    <t>Average temperatures for the hemispheres and the globe are generally expressed as anomalies from a base period. Most users of these data and the underlying constituent gridded datasets do not require the values in absolute degrees, but a number of users might require this additional detail. An example group of users are climate modellers, who want to directly compare their simulations with reality in absolute units. Reanalysis datasets offer opportunities of assessing earlier absolute temperature estimates, but until recently their quality over data-sparse regions of the world was questionable. Here, we assess the latest Reanalysis (ERA-Interim) which is available from 1979 to the present against earlier direct estimates. Globally averaged ERA-Interim and the earlier direct estimates of absolute surface temperatures across the world are about 0.55 degrees C different for the 1981-2010 period, with ERA-Interim cooler. The difference is only 0.29 degrees C for the Northern Hemisphere, but larger at 0.81 degrees C for the Southern Hemisphere. Spatially, the largest differences come from the Polar Regions, particularly the Antarctic.</t>
  </si>
  <si>
    <t>[Jones, P. D.; Harpham, C.] Univ E Anglia, Climat Res Unit, Sch Environm Sci, Norwich NR4 7TJ, Norfolk, England; [Jones, P. D.] King Abdulaziz Univ, Dept Meteorol, Ctr Excellence Climate Change Res, Jeddah 21413, Saudi Arabia</t>
  </si>
  <si>
    <t>University of East Anglia; King Abdulaziz University</t>
  </si>
  <si>
    <t>Jones, PD (corresponding author), Univ E Anglia, Climat Res Unit, Sch Environm Sci, Norwich NR4 7TJ, Norfolk, England.</t>
  </si>
  <si>
    <t>p.jones@uea.ac.uk</t>
  </si>
  <si>
    <t>Jones, Philip Douglas/C-8718-2009</t>
  </si>
  <si>
    <t>Jones, Philip Douglas/0000-0001-5032-5493</t>
  </si>
  <si>
    <t>USDoE [DE-SC0005689]; U.S. Department of Energy (DOE) [DE-SC0005689] Funding Source: U.S. Department of Energy (DOE)</t>
  </si>
  <si>
    <t>USDoE(United States Department of Energy (DOE)); U.S. Department of Energy (DOE)(United States Department of Energy (DOE))</t>
  </si>
  <si>
    <t>This work has been supported by the USDoE (Grant DE-SC0005689). The authors thank the reviewers, especially Russ Vose. The ERA-Interim data was downloaded from the BADC and ECMWF websites and the paper benefitted from discussions with Adrian Simmons and Dick Dee.</t>
  </si>
  <si>
    <t>APR 27</t>
  </si>
  <si>
    <t>10.1002/jgrd.50359</t>
  </si>
  <si>
    <t>155JQ</t>
  </si>
  <si>
    <t>WOS:000319744200014</t>
  </si>
  <si>
    <t>Genthon, C; Six, D; Gallée, H; Grigioni, P; Pellegrini, A</t>
  </si>
  <si>
    <t>Genthon, Christophe; Six, Delphine; Gallee, Hubert; Grigioni, Paolo; Pellegrini, Andrea</t>
  </si>
  <si>
    <t>Two years of atmospheric boundary layer observations on a 45-m tower at Dome C on the Antarctic plateau</t>
  </si>
  <si>
    <t>RESCALING HUMIDITY SENSORS; TEMPERATURES WELL; SNOW ACCUMULATION; PRECIPITATION; VARIABILITY; WILKES</t>
  </si>
  <si>
    <t>The lower atmospheric boundary layer at Dome C on the Antarctic plateau has been continuously monitored along a 45-m tower since 2009. Two years of observations (2009 and 2010) are presented. A strong diurnal cycle is observed near the surface in summer but almost disappears at the top of the tower, indicating that the summer nocturnal inversion is very shallow. Very steep inversions reaching almost 1 degrees C m(-1) on average along the tower are observed in winter. They are stronger and more frequent during the colder 2010 winter, reaching a maximum in a layer similar to 10-15 m above the surface. Winter temperature is characterized by strong synoptic variability. An extreme warm event occurred in July 2009. The temperature reached -30 degrees C, typical of midsummer weather. Meteorological analyses which agree with the observations near the surface confirm that heat is propagated downward from higher elevations. A high total water column indicates moist air masses aloft originating from the lower latitudes. The coldest temperatures and strongest inversions are associated with characteristic synoptic patterns and a particularly dry atmosphere. Measurement of moisture in the clean and cold Antarctic plateau atmosphere is a challenging task. Supersaturations are very likely but are not revealed by the observations. This is possibly an instrumental artifact that would affect other moisture measurements made in similar conditions. In spite of this, such observations offer a stringent test of the robustness of the polar boundary layer in meteorological and climate models, addressing a major concern raised in the IPCC 2007 report.</t>
  </si>
  <si>
    <t>[Genthon, Christophe; Six, Delphine; Gallee, Hubert] UJF, Grenoble CNRS Lab Glaciol &amp; Geophys Environm LGGE, UMR 5183, F-38402 Grenoble, France; [Grigioni, Paolo; Pellegrini, Andrea] ENEA, Rome, Italy; [Pellegrini, Andrea] CNR, DSSTTA, I-00185 Rome, Italy</t>
  </si>
  <si>
    <t>Communaute Universite Grenoble Alpes; Universite Grenoble Alpes (UGA); Italian National Agency New Technical Energy &amp; Sustainable Economics Development; Consiglio Nazionale delle Ricerche (CNR)</t>
  </si>
  <si>
    <t>Genthon, C (corresponding author), UJF, Grenoble CNRS Lab Glaciol &amp; Geophys Environm 1, F-38402 Grenoble, France.</t>
  </si>
  <si>
    <t>gen-thon@lgge.obs.ujf-grenoble.fr</t>
  </si>
  <si>
    <t>Grigioni, paolo/AAH-5193-2020; Pellegrini, Andrea/O-3094-2015</t>
  </si>
  <si>
    <t>Pellegrini, Andrea/0000-0001-5577-7472</t>
  </si>
  <si>
    <t>French (IPEV) polar institute [CALVA-1013]; Italian (PNRA) polar institute [CALVA-1013]; Institut National des Sciences de l'Univers (Concordia and LEFE-DEPHY programs); Centre National d'Etudes Spatiales (TOSCA CONCORDIASI program); Observatoire des Sciences de l'Univers de Grenoble (CLAEA observatory); Observatoire des Sciences de l'Univers de Grenoble (CENACLAM observatory)</t>
  </si>
  <si>
    <t>French (IPEV) polar institute; Italian (PNRA) polar institute; Institut National des Sciences de l'Univers (Concordia and LEFE-DEPHY programs); Centre National d'Etudes Spatiales (TOSCA CONCORDIASI program); Observatoire des Sciences de l'Univers de Grenoble (CLAEA observatory); Observatoire des Sciences de l'Univers de Grenoble (CENACLAM observatory)</t>
  </si>
  <si>
    <t>Extraordinary data obtained at extraordinary places requires extraordinary support to access those places. We therefore thank the French (IPEV) and Italian (PNRA) polar institutes for their support for IPEV program CALVA-1013. Support from the Institut National des Sciences de l'Univers (Concordia and LEFE-DEPHY programs), Centre National d'Etudes Spatiales (TOSCA CONCORDIASI program) and Observatoire des Sciences de l'Univers de Grenoble (CLAEA and CENACLAM observatories) is also acknowledged. Comments by four reviewers contributed to significantly improving the manuscript.</t>
  </si>
  <si>
    <t>10.1002/jgrd.50128</t>
  </si>
  <si>
    <t>WOS:000319744200015</t>
  </si>
  <si>
    <t>Dierking, W; Linow, S; Rack, W</t>
  </si>
  <si>
    <t>Dierking, Wolfgang; Linow, Stefanie; Rack, Wolfgang</t>
  </si>
  <si>
    <t>Toward a robust retrieval of snow accumulation over the Antarctic ice sheet using satellite radar (vol 117, D09110, 2012)</t>
  </si>
  <si>
    <t>Rack, Wolfgang/U-8898-2017</t>
  </si>
  <si>
    <t>10.1002/jgrd.50333</t>
  </si>
  <si>
    <t>WOS:000319744200018</t>
  </si>
  <si>
    <t>Marshall, M</t>
  </si>
  <si>
    <t>Marshall, Michael</t>
  </si>
  <si>
    <t>Antarctic white-out drove baleen whale evolution</t>
  </si>
  <si>
    <t>10.1016/S0262-4079(13)61036-2</t>
  </si>
  <si>
    <t>136XA</t>
  </si>
  <si>
    <t>WOS:000318395500010</t>
  </si>
  <si>
    <t>Hatha, AAM; Divya, PS; Saramma, AV; Rahiman, M; Krishnan, KP</t>
  </si>
  <si>
    <t>Hatha, A. A. Mohamed; Divya, P. S.; Saramma, A. V.; Rahiman, Mujeeb; Krishnan, K. P.</t>
  </si>
  <si>
    <t>Migratory bird, Branta leucopis (Barnacle goose), a potential carrier of diverse Escherichia coli serotypes into pristine Arctic environment</t>
  </si>
  <si>
    <t>Antibiotic resistance; barnacle goose; Escherichia coli; migratory birds; serotyping</t>
  </si>
  <si>
    <t>ANTIBIOTIC-RESISTANCE; DISSEMINATION</t>
  </si>
  <si>
    <t>As a part of the Indian summer expedition to the Arctic in 2011, a study was carried out on the diversity and antibiotic resistance of Escherichia coli serotypes in the droppings of migratory bird Branta leucopis, widely known as Barnacle goose. Serotyping of 41 different isolates of E. coli from the droppings revealed presence of nine different serotypes dominated by O149 and O24. The other serotypes encountered were O148, O2, O21, O91, O130, O32 and O37. Phylogenetic analysis by triplex PCR revealed that 31.7% of the isolates belonged to group B2, which are the most virulent strains, followed by B1 and A groups which are considered as commensal strains. Less virulent D group strains were nearly 10%. Antibiogram of the isolates revealed that all the strains were resistant to colistin (polymixin E). While there was a modest level of beta lactam resistance (ampicillin 39%; amoxicillin 12%) among the E. coli isolates from this source, 7% was resistant to tetracycline.</t>
  </si>
  <si>
    <t>[Hatha, A. A. Mohamed; Divya, P. S.; Saramma, A. V.; Rahiman, Mujeeb] Cochin Univ Sci &amp; Technol, Dept Marine Biol Microbiol &amp; Biochem, Cochin 682016, Kerala, India; [Krishnan, K. P.] Natl Ctr Antarctic &amp; Ocean Res, Vasco Da Gama 403804, Goa, India</t>
  </si>
  <si>
    <t>Cochin University Science &amp; Technology; Ministry of Earth Sciences (MoES) - India; National Centre for Polar and Ocean Research (NCPOR)</t>
  </si>
  <si>
    <t>Hatha, AAM (corresponding author), Cochin Univ Sci &amp; Technol, Dept Marine Biol Microbiol &amp; Biochem, Lakeside Campus, Cochin 682016, Kerala, India.</t>
  </si>
  <si>
    <t>mohamedhatha@gmail.com</t>
  </si>
  <si>
    <t>National Centre for Antarctic and Ocean Research (NCAOR), Goa</t>
  </si>
  <si>
    <t>We thank the Director, National Centre for Antarctic and Ocean Research (NCAOR), Goa for providing logistic and financial support to carry out this study.</t>
  </si>
  <si>
    <t>APR 25</t>
  </si>
  <si>
    <t>139JY</t>
  </si>
  <si>
    <t>WOS:000318580200027</t>
  </si>
  <si>
    <t>Jawak, SD; Luis, AJ</t>
  </si>
  <si>
    <t>Jawak, Shridhar D.; Luis, Alvarinho J.</t>
  </si>
  <si>
    <t>Improved land cover mapping using high resolution multiangle 8-band WorldView-2 satellite remote sensing data</t>
  </si>
  <si>
    <t>JOURNAL OF APPLIED REMOTE SENSING</t>
  </si>
  <si>
    <t>WorldView-2; index ratios; multiangularity; panchromatic-sharpening; land cover</t>
  </si>
  <si>
    <t>IMAGE FUSION; VEGETATION INDEXES; CLASSIFICATION; FOREST; MULTIRESOLUTION; NDVI; ACCURACY; BIOMASS; MISR; RECOGNITION</t>
  </si>
  <si>
    <t>Here, we discuss the improvements in urban classification that were made using the spatial-spectral-angular information from a WorldView-2 (WV-2) multiangle image sequence. In this study, we evaluate the use of multiangle high resolution WV-2 panchromatic (PAN) and multispectral image (MSI) data for extracting urban geospatial information. Current multiangular WV-2 data were classified into misclassification-prone surfaces, such as vegetation, water bodies, and man-made features, using a cluster of normalized difference spectral index ratios (SIR). A novel multifold methodology protocol was designed to estimate the consequences of multiangularity and germane PAN-sharpening algorithms on the spectral characteristics (distortions) of satellite data and on the resulting land use/land cover (LU/LC) mapping using an array of SIRs. Eight existing PAN-sharpening algorithms were used for data fusion, followed by estimation of multiple SIRs to mitigate spectral distortions arising from the multiangularity of the data. This research highlights the benefits of using traditional PAN-sharpening techniques with a specific set of SIRs on land cover mapping based on five available tiles of satellite data. The research provides a method to overcome the atmospherically triggered spectral distortions of multiangular acquisitions, which will facilitate better mapping and understanding of the earth's surface. (C) 2013 Society of Photo-Optical Instrumentation Engineers (SPIE) [DOI: 10.1117/1.JRS.7.073573]</t>
  </si>
  <si>
    <t>[Jawak, Shridhar D.; Luis, Alvarinho J.] Govt India, Minist Earth Sci, Natl Ctr Antarctic &amp; Ocean Res, Headland Sada 403804, Goa, India</t>
  </si>
  <si>
    <t>Jawak, SD (corresponding author), Govt India, Minist Earth Sci, Natl Ctr Antarctic &amp; Ocean Res, Headland Sada 403804, Goa, India.</t>
  </si>
  <si>
    <t>shridhar.jawak@ncaor.org</t>
  </si>
  <si>
    <t>Jawak, Shridhar/G-9678-2012</t>
  </si>
  <si>
    <t>Jawak, Shridhar/0000-0002-0648-3109</t>
  </si>
  <si>
    <t>SPIE-SOC PHOTO-OPTICAL INSTRUMENTATION ENGINEERS</t>
  </si>
  <si>
    <t>BELLINGHAM</t>
  </si>
  <si>
    <t>1000 20TH ST, PO BOX 10, BELLINGHAM, WA 98225 USA</t>
  </si>
  <si>
    <t>1931-3195</t>
  </si>
  <si>
    <t>J APPL REMOTE SENS</t>
  </si>
  <si>
    <t>J. Appl. Remote Sens.</t>
  </si>
  <si>
    <t>APR 24</t>
  </si>
  <si>
    <t>10.1117/1.JRS.7.073573</t>
  </si>
  <si>
    <t>133NK</t>
  </si>
  <si>
    <t>WOS:000318144900001</t>
  </si>
  <si>
    <t>Hardouin, EA; Tautz, D</t>
  </si>
  <si>
    <t>Hardouin, Emilie A.; Tautz, Diethard</t>
  </si>
  <si>
    <t>Increased mitochondrial mutation frequency after an island colonization: positive selection or accumulation of slightly deleterious mutations?</t>
  </si>
  <si>
    <t>Mus musculus domesticus; mitochondria; island colonization; inbred lines</t>
  </si>
  <si>
    <t>EVOLUTION; PHYLOGEOGRAPHY</t>
  </si>
  <si>
    <t>Island colonizations are excellent models for studying early processes of evolution. We found in a previous study on mice that had colonized the sub-Antarctic Kerguelen Archipelago about 200 years ago that they were derived from a single founder lineage and that this showed an unexpectedly large number of new mutations in the mitochondrial D-loop. To assess whether positive selection has played a role in the emergence of these variants, we have obtained 16 full mitochondrial genome sequences from these mice. For comparison, we have compiled 57 mitochondrial genome sequences from laboratory inbred lines that became established about 100 years ago, also starting from a single founder lineage. We find that the island mice and the laboratory lines show very similar mutation frequencies and patterns. None of the patterns in the Kerguelen mice provides evidence for positive selection. We conclude that nearly neutral evolutionary processes that assume the presence of slightly deleterious variants can fully explain the patterns. This supports the notion of time-dependency of molecular evolution and provides a new calibration point. Based on the observed mutation frequency, we calculate an average evolutionary rate of 0.23 substitutions per site per Myr for the earliest time frame of divergence, which is about six times higher than the long-term rate of 0.037 substitutions per site per Myr.</t>
  </si>
  <si>
    <t>[Hardouin, Emilie A.; Tautz, Diethard] Max Planck Inst Evolutionary Biol, D-24306 Plon, Germany</t>
  </si>
  <si>
    <t>Hardouin, EA (corresponding author), Bournemouth Univ, Sch Appl Sci, Poole BH12 5BB, Dorset, England.</t>
  </si>
  <si>
    <t>ehardouin@bournemouth.ac.uk</t>
  </si>
  <si>
    <t>Tautz, Diethard/H-8436-2014</t>
  </si>
  <si>
    <t>Tautz, Diethard/0000-0002-0460-5344</t>
  </si>
  <si>
    <t>Institut Paul-Emile Victor [136]; Max Planck Society</t>
  </si>
  <si>
    <t>Institut Paul-Emile Victor; Max Planck Society(Max Planck Society)</t>
  </si>
  <si>
    <t>We thank J.-L. Chapuis and the Institut Paul-Emile Victor, program no. 136 for providing the mouse samples, and we thank H. Buhtz and C. Burghardt for expert technical support. We thank the editor for helping to improve the manuscript. The study was funded through institutional funds of the Max Planck Society to D.T.</t>
  </si>
  <si>
    <t>APR 23</t>
  </si>
  <si>
    <t>10.1098/rsbl.2012.1123</t>
  </si>
  <si>
    <t>AA7VQ</t>
  </si>
  <si>
    <t>WOS:000331305400009</t>
  </si>
  <si>
    <t>Shukla, SP; Kvíderová, J; Tríska, J; Elster, J</t>
  </si>
  <si>
    <t>Shukla, S. P.; Kviderova, J.; Triska, J.; Elster, J.</t>
  </si>
  <si>
    <t>Chlorella mirabilis as a potential species for biomass production in low-temperature environment</t>
  </si>
  <si>
    <t>FRONTIERS IN MICROBIOLOGY</t>
  </si>
  <si>
    <t>microalgae; growth rate; N and C manipulation; fatty acid content; low temperature</t>
  </si>
  <si>
    <t>HIGH ARCTIC TUNDRA; CHLOROPHYLL FLUORESCENCE; NITROGEN-FIXATION; FATTY-ACIDS; PHAEODACTYLUM-TRICORNUTUM; SPIRULINA-PLATENSIS; PIGMENT COMPOSITION; MIXOTROPHIC GROWTH; OUTDOOR CULTURES; LIGHT-INTENSITY</t>
  </si>
  <si>
    <t>Successful adaptation/acclimatization to low temperatures in micro-algae is usually connected with production of specific biotechnologically important compounds. In this study, we evaluated the growth characteristics in a micro-scale mass cultivation of the Antarctic soil green alga Chlorella mirabilis under different nitrogen and carbon sources followed by analyses of fatty acid contents. The micro-scale mass cultivation was performed in stable (in-door) and variable (out-door) conditions during winter and/or early spring in the Czech Republic. In the in-door cultivation, the treatments for nitrogen and carbon sources determination included pure Z medium (control, Z), Z medium + 5% glycerol (ZG), Z medium + 5% glycerol + 50 mu M KNO3 (ZGN), Z medium + 5% glycerol + 200 mu M NH4Cl (ZGA), Z medium + 5% glycerol + 1 mM Na2CO3 (ZNC), Z medium + 5% glycerol + 1 mM Na2CO3 + 200 mu M NH4Cl (ZGCA) and Z medium + 5% glycerol + 1 mM Na2CO3 + 50 mu M KNO3 (ZGCN) and were performed at 15 degrees C with an irradiance of 75 mu mol m(-2) s(-1). During the out-door experiments, the night-day temperature ranged from -6.6 to 17.5 degrees C (daily average 3.1 +/- 5.3 degrees C) and irradiance ranged from 0 to 2,300 Rmol m(-2) s(-1) (daily average 1,500 +/- 1,090 mu mol m(-2) s(-1)). Only the Z, ZG, ZGN, and ZGC treatments were used in the out-door cultivation. In the in-door mass cultivation, all nitrogen and carbon sources additions increased the growth rate with the exception of ZGA. When individual sources were considered, only the effect of 5% glycerol addition was significant. On the other hand, the growth rate decreased in the ZG and ZGN treatments in the out-door experiment, probably due to carbon limitation. Fatty acid composition showed increased production of linoleic acid in the glycerol treatments.The studied strain of C. mirabilis is proposed to be a promising source of linoleic acid in low-temperature-mass cultivation biotechnology. This strain is a perspective model organism for biotechnology in low-temperature conditions.</t>
  </si>
  <si>
    <t>[Shukla, S. P.] Inst Bot AS CR, Trebon 37982, Czech Republic; [Shukla, S. P.; Kviderova, J.; Elster, J.] Inst Bot AS CR, Ctr Phycol, Trebon 37982, Czech Republic; [Kviderova, J.; Triska, J.; Elster, J.] Univ South Bohemia, Fac Sci, Ceske Budejovice 37005, Czech Republic; [Triska, J.] Global Change Res Ctr AS CR, Lab Metab &amp; Isotop Anal, Ceske Budejovice, Czech Republic</t>
  </si>
  <si>
    <t>Czech Academy of Sciences; Institute of Botany of the Czech Academy of Sciences; Czech Academy of Sciences; Institute of Botany of the Czech Academy of Sciences; University of South Bohemia Ceske Budejovice; Czech Academy of Sciences; Global Change Research Centre of the Czech Academy of Sciences</t>
  </si>
  <si>
    <t>Kvíderová, J (corresponding author), Inst Bot AS CR, Dukelska 135, Trebon 37982, Czech Republic.</t>
  </si>
  <si>
    <t>kviderova@butbn.cas.cz; jelster@butbn.cas.cz</t>
  </si>
  <si>
    <t>Kviderova, Jana/B-1295-2009; Tříska, Jan/H-3094-2014; Elster, Josef/B-1031-2008</t>
  </si>
  <si>
    <t>Elster, Josef/0000-0002-4535-5636; Kviderova, Jana/0000-0002-5700-477X; Triska, Jan/0000-0003-3846-2158</t>
  </si>
  <si>
    <t>Department of Biotechnology, Govt. of India [BT/IN/BTOA/26/2003]; Ministry of Education, Youth and Sports of the Czech Republic [ME 934, LM2010009]; long-term research development project [RVO 67985939]; project CzechGlobe - Centre for Global Climate Change Impacts Studies [CZ.1.05/1.1.00/02.0073]</t>
  </si>
  <si>
    <t>Department of Biotechnology, Govt. of India(Department of Biotechnology (DBT) India); Ministry of Education, Youth and Sports of the Czech Republic(Ministry of Education, Youth &amp; Sports - Czech Republic); long-term research development project; project CzechGlobe - Centre for Global Climate Change Impacts Studies</t>
  </si>
  <si>
    <t>The work was supported by the Overseas Associate Program of the Department of Biotechnology, Govt. of India (Ref: BT/IN/BTOA/26/2003), Ministry of Education, Youth and Sports of the Czech Republic projects ME 934 and LM2010009, the long-term research development project no. RVO 67985939 and project CzechGlobe - Centre for Global Climate Change Impacts Studies, Reg.No. CZ.1.05/1.1.00/02.0073. We would like to thank Mrs. Jana Snokhousova for essential help in the preparation and operation of the experiments. Keith Edwards corrected the English.</t>
  </si>
  <si>
    <t>FRONTIERS MEDIA SA</t>
  </si>
  <si>
    <t>AVENUE DU TRIBUNAL FEDERAL 34, LAUSANNE, CH-1015, SWITZERLAND</t>
  </si>
  <si>
    <t>1664-302X</t>
  </si>
  <si>
    <t>FRONT MICROBIOL</t>
  </si>
  <si>
    <t>Front. Microbiol.</t>
  </si>
  <si>
    <t>10.3389/fmicb.2013.00097</t>
  </si>
  <si>
    <t>AA4GI</t>
  </si>
  <si>
    <t>WOS:000331053600001</t>
  </si>
  <si>
    <t>Rizzello, A; Romano, A; Kottra, G; Acierno, R; Storelli, C; Verri, T; Daniel, H; Maffia, M</t>
  </si>
  <si>
    <t>Rizzello, Antonia; Romano, Alessandro; Kottra, Gabor; Acierno, Raffaele; Storelli, Carlo; Verri, Tiziano; Daniel, Hannelore; Maffia, Michele</t>
  </si>
  <si>
    <t>Protein cold adaptation strategy via a unique seven-amino acid domain in the icefish (Chionodraco hamatus) PEPT1 transporter</t>
  </si>
  <si>
    <t>Antarctic fish; SLC15A1; membrane transport proteins; temperature dependence</t>
  </si>
  <si>
    <t>ZEBRAFISH DANIO-RERIO; TEMPERATURE-DEPENDENCE; PRESTEADY-STATE; FUNCTIONAL-CHARACTERIZATION; GENOMIC ORGANIZATION; EXPRESSION CLONING; IDENTIFICATION; AFFINITY; CURRENTS; ENZYMES</t>
  </si>
  <si>
    <t>Adaptation of organisms to extreme environments requires proteins to work at thermodynamically unfavorable conditions. To adapt to subzero temperatures, proteins increase the flexibility of parts of, or even the whole, 3D structure to compensate for the lower thermal kinetic energy available at low temperatures. This may be achieved through single-site amino acid substitutions in regions of the protein that undergo large movements during the catalytic cycle, such as in enzymes or transporter proteins. Other strategies of cold adaptation involving changes in the primary amino acid sequence have not been documented yet. In Antarctic icefish (Chionodraco hamatus) peptide transporter 1 (PEPT1), the first transporter cloned from a vertebrate living at subzero temperatures, we came upon a unique principle of cold adaptation. A de novo domain composed of one to six repeats of seven amino acids (VDMSRKS), placed as an extra stretch in the cytosolic COOH-terminal region, contributed per se to cold adaptation. VDMSRKS was in a protein region uninvolved in transport activity and, notably, when transferred to the COOH terminus of a warm-adapted (rabbit) PEPT1, it conferred cold adaptation to the receiving protein. Overall, we provide a paradigm for protein cold adaptation that relies on insertion of a unique domain that confers greater affinity and maximal transport rates at low temperatures. Due to its ability to transfer a thermal trait, the VDMSRKS domain represents a useful tool for future cell biology or biotechnological applications.</t>
  </si>
  <si>
    <t>[Rizzello, Antonia; Romano, Alessandro; Acierno, Raffaele; Storelli, Carlo; Verri, Tiziano; Maffia, Michele] Univ Salento, Dept Biol &amp; Environm Sci &amp; Technol, Lab Gen Physiol, I-73100 Lecce, Italy; [Kottra, Gabor; Daniel, Hannelore] Tech Univ Munich, Mol Nutr Unit, Nutr &amp; Food Res Ctr, D-85350 Freising Weihenstephan, Germany</t>
  </si>
  <si>
    <t>University of Salento; Technical University of Munich</t>
  </si>
  <si>
    <t>Maffia, M (corresponding author), Univ Salento, Dept Biol &amp; Environm Sci &amp; Technol, Lab Gen Physiol, I-73100 Lecce, Italy.</t>
  </si>
  <si>
    <t>michele.maffia@unisalento.it</t>
  </si>
  <si>
    <t>Kottra, Gabor/JNT-4267-2023; Verri, Tiziano/K-1442-2013; Daniel, Hannelore/B-8982-2009; Romano, Alessandro/AAN-8124-2020; MAFFIA, MICHELE/AAC-2943-2020</t>
  </si>
  <si>
    <t>Verri, Tiziano/0000-0003-4983-2767; Romano, Alessandro/0000-0003-2766-8847;</t>
  </si>
  <si>
    <t>Italian National Research Program in Antarctica; University of Salento; Apulian Region (Codice Identificativo Progetto) [PS_070]</t>
  </si>
  <si>
    <t>Italian National Research Program in Antarctica; University of Salento; Apulian Region (Codice Identificativo Progetto)</t>
  </si>
  <si>
    <t>We thank Dr. A. Danieli for technical assistance and Dr. F. Pignatelli and Dr. L. Tagliaferro for real-time PCR analysis. This work was supported by the Italian National Research Program in Antarctica, by grants from the University of Salento (Fondi ex-60%), and in part by grants from the Apulian Region (Codice Identificativo Progetto PS_070).</t>
  </si>
  <si>
    <t>10.1073/pnas.1220417110</t>
  </si>
  <si>
    <t>140TE</t>
  </si>
  <si>
    <t>WOS:000318677300095</t>
  </si>
  <si>
    <t>Wu, XF; Hou, SJ; Lei, WH</t>
  </si>
  <si>
    <t>Wu, Xue-Feng; Hou, Shu-Jin; Lei, Wei-Hua</t>
  </si>
  <si>
    <t>GIANT X-RAY BUMP IN GRB 121027A: EVIDENCE FOR FALL-BACK DISK ACCRETION</t>
  </si>
  <si>
    <t>ASTROPHYSICAL JOURNAL LETTERS</t>
  </si>
  <si>
    <t>accretion, accretion disks; black hole physics; gamma-ray burst: individual (GRB 121027A); magnetic fields</t>
  </si>
  <si>
    <t>BLACK-HOLES; CENTRAL ENGINE; BURST AFTERGLOWS; LIGHT CURVES; FLARES; MODELS; ORIGIN; ENERGY; EXTRACTION; SUPERNOVAE</t>
  </si>
  <si>
    <t>A particularly interesting discovery in observations of GRB 121027A is that of a giant X-ray bump detected by the Swift/X-Ray Telescope. The X-ray afterglow re-brightens sharply at similar to 10(3) s after the trigger by more than two orders of magnitude in less than 200 s. This X-ray bump lasts for more than 10(4) s. It is quite different from typical X-ray flares. In this Letter we propose a fall-back accretion model to interpret this X-ray bump within the context of the collapse of a massive star for a long-duration gamma-ray burst. The required fall-back radius of similar to 3.5x10(10) cm and mass of similar to 0.9-2.6M(circle dot) imply that a significant part of the helium envelope should survive through the mass loss during the last stage of the massive progenitor of GRB 121027A.</t>
  </si>
  <si>
    <t>[Wu, Xue-Feng] Chinese Acad Sci, Purple Mt Observ, Nanjing 210008, Jiangsu, Peoples R China; [Wu, Xue-Feng] Chinese Acad Sci, Chinese Ctr Antarctic Astron, Nanjing 210008, Peoples R China; [Wu, Xue-Feng] Purple Mt Observ, Joint Ctr Particle Nucl Phys &amp; Cosmol, Nanjing 210008, Jiangsu, Peoples R China; [Wu, Xue-Feng] Nanjing Univ, Nanjing 210008, Jiangsu, Peoples R China; [Hou, Shu-Jin] Xiamen Univ, Dept Astron, Xiamen 361005, Fujian, Peoples R China; [Hou, Shu-Jin] Xiamen Univ, Inst Theoret Phys &amp; Astrophys, Xiamen 361005, Fujian, Peoples R China; [Lei, Wei-Hua] Huazhong Univ Sci &amp; Technol, Sch Phys, Wuhan 430074, Peoples R China</t>
  </si>
  <si>
    <t>Purple Mountain Observatory, CAS; Chinese Academy of Sciences; Nanjing Institute of Astronomical Optics &amp; Technology, NAOC, CAS; Chinese Academy of Sciences; Purple Mountain Observatory, CAS; Chinese Academy of Sciences; Nanjing Institute of Astronomical Optics &amp; Technology, NAOC, CAS; Nanjing University; Xiamen University; Xiamen University; Huazhong University of Science &amp; Technology</t>
  </si>
  <si>
    <t>Wu, XF (corresponding author), Chinese Acad Sci, Purple Mt Observ, Nanjing 210008, Jiangsu, Peoples R China.</t>
  </si>
  <si>
    <t>xfwu@pmo.ac.cn; leiwh@hust.edu.cn</t>
  </si>
  <si>
    <t>Lei, Weihua/JEO-6506-2023; Lei, Weihua/L-7196-2019; Wu, Xuefeng/G-5316-2015</t>
  </si>
  <si>
    <t>Lei, Weihua/0000-0003-3440-1526; Lei, Weihua/0000-0003-3440-1526; Wu, Xuefeng/0000-0002-6299-1263</t>
  </si>
  <si>
    <t>National Basic Research Program (973 Program) of China [2009CB824800, 2013CB834900]; National Natural Science Foundation of China [11233006, 11003004, 11173011, U1231101]; One-Hundred Talents Program; Youth Innovation Promotion Association of the Chinese Academy of Sciences</t>
  </si>
  <si>
    <t>National Basic Research Program (973 Program) of China(National Basic Research Program of China); National Natural Science Foundation of China(National Natural Science Foundation of China (NSFC)); One-Hundred Talents Program(Chinese Academy of Sciences); Youth Innovation Promotion Association of the Chinese Academy of Sciences</t>
  </si>
  <si>
    <t>We thank the referee for helpful suggestions that improved this Letter. We also thank Zigao Dai, Yizhong Fan, Enwei Liang, Jufu Lu, and Bing Zhang for helpful discussions. This work made use of data supplied by the UK Swift Science Data Centre at the University of Leicester. This work was supported by the National Basic Research Program (973 Program) of China under grant Nos. 2009CB824800 and 2013CB834900, and the National Natural Science Foundation of China (grants 11233006, 11003004, 11173011, and U1231101). X.-F.W. acknowledges support from the One-Hundred Talents Program and the Youth Innovation Promotion Association of the Chinese Academy of Sciences.</t>
  </si>
  <si>
    <t>2041-8205</t>
  </si>
  <si>
    <t>ASTROPHYS J LETT</t>
  </si>
  <si>
    <t>Astrophys. J. Lett.</t>
  </si>
  <si>
    <t>APR 20</t>
  </si>
  <si>
    <t>L36</t>
  </si>
  <si>
    <t>10.1088/2041-8205/767/2/L36</t>
  </si>
  <si>
    <t>123SN</t>
  </si>
  <si>
    <t>WOS:000317411100016</t>
  </si>
  <si>
    <t>Hughes, C; Johnson, M; Utting, R; Turner, S; Malin, G; Clarke, A; Liss, PS</t>
  </si>
  <si>
    <t>Hughes, C.; Johnson, M.; Utting, R.; Turner, S.; Malin, G.; Clarke, A.; Liss, P. S.</t>
  </si>
  <si>
    <t>Microbial control of bromocarbon concentrations in coastal waters of the western Antarctic Peninsula</t>
  </si>
  <si>
    <t>Bromocarbons; Western Antarctic Peninsula; Biogeochemistry</t>
  </si>
  <si>
    <t>HYDROGEN-PEROXIDE; METHYL-BROMIDE; MARINE; BROMOFORM; TRIHALOMETHANES; OXIDATION; BACTERIA; IODINE; CARBON; DIMETHYLSULFIDE</t>
  </si>
  <si>
    <t>The marine environment is known to be a source of CHBr3 and CH2Br2 and hence ozone-depleting inorganic bromine to the troposphere but, to date, the dominant processes controlling their concentrations in seawater remain poorly understood. Here results are reported from a series of laboratory experiments designed to investigate bromocarbon dynamics in cultures of marine diatoms and bacteria isolated recently from the Rothera Time-Series (RaTS) site located in coastal waters of the western Antarctic Peninsula. The main focus of this work was an isolate of the centric diatom Thalassiosira sp. Different processes were found to control the concentrations of CHBr3 and CH2Br2 in this culture. The production of CHBr3 was restricted to the exponential phase of growth suggesting a link with a primary metabolic process and was a factor of 5-6 higher in cultures treated with antibiotics to reduce bacterial activity. (CHBr3)-C-13 additions confirmed that CHBr3 was not subject to significant bacterial breakdown and hence bacteria are likely to be inhibiting the production of this compound. The rate of (CH2Br2)-C-13 appearance in the cultures observed following (CHBr3)-C-13 addition suggests that the major source of CH2Br2 in the diatom culture was transformation from CHBr3. CD2Br2 additions revealed that CH2Br2 was subject to significant breakdown in cultures of both Thalassiosira sp. and a bacterial isolate with apparent loss rate constants ranging from 0.21 to 0.78 day(-1). These findings are used to produce an empirical scheme describing bromocarbon cycling in natural waters which is validated against measured concentration data from the RaTS site. The detailed process information and schemes presented provide a major step forward towards the development of biogeochemical modules that could be coupled to ecosystem models. These could then be used to predict how sea-to-air biogenic bromine emissions will change under future scenarios. (C) 2013 Elsevier B.V. All rights reserved.</t>
  </si>
  <si>
    <t>[Hughes, C.; Johnson, M.; Utting, R.; Turner, S.; Malin, G.; Liss, P. S.] Univ E Anglia, Sch Environm Sci, Lab Global Marine &amp; Atmospher Chem, Norwich NR4 7JB, Norfolk, England; [Clarke, A.] British Antarctic Survey, Cambridge CB3 0ET, England</t>
  </si>
  <si>
    <t>University of East Anglia; UK Research &amp; Innovation (UKRI); Natural Environment Research Council (NERC); NERC British Antarctic Survey</t>
  </si>
  <si>
    <t>Hughes, C (corresponding author), Univ York, Dept Environm, York YO10 5DD, N Yorkshire, England.</t>
  </si>
  <si>
    <t>Malin, Gill/C-6985-2009; LISS, Peter S./A-8219-2013; Johnson, Martin/C-1066-2008</t>
  </si>
  <si>
    <t>Malin, Gill/0000-0002-3639-9215; Johnson, Martin/0000-0002-4706-8294</t>
  </si>
  <si>
    <t>UK Natural Environmental Research Council (NERC) Antarctic Funding Initiative (API) [NE/E013287/1]; British Antarctic Survey personnel in Cambridge; Natural Environment Research Council [NE/E013287/1, NE/B501039/1, bas010011] Funding Source: researchfish; NERC [NE/E013287/1, bas010011] Funding Source: UKRI</t>
  </si>
  <si>
    <t>UK Natural Environmental Research Council (NERC) Antarctic Funding Initiative (API); British Antarctic Survey personnel in Cambridge; Natural Environment Research Council(UK Research &amp; Innovation (UKRI)Natural Environment Research Council (NERC)); NERC(UK Research &amp; Innovation (UKRI)Natural Environment Research Council (NERC))</t>
  </si>
  <si>
    <t>This work was funded by a UK Natural Environmental Research Council (NERC) Antarctic Funding Initiative (API) project NE/E013287/1. Thank you to Gareth Lee (UEA) for his assistance in isolating the cultures during the 2008/2009 summer season at Rothera and to Mike Meredith and Hugh Venables for providing the RaTS data used in the modelling work. The authors acknowledge the help and support of British Antarctic Survey personnel in Cambridge and those based at the Rothera Research Station at this time. Thanks are also given to Martin Miller and Kathy Salisbury in the AFI office for their assistance in planning the project and field campaigns.</t>
  </si>
  <si>
    <t>10.1016/j.marchem.2013.01.007</t>
  </si>
  <si>
    <t>132HQ</t>
  </si>
  <si>
    <t>WOS:000318058900004</t>
  </si>
  <si>
    <t>Houben, AJP; Bijl, PK; Pross, J; Bohaty, SM; Passchier, S; Stickley, CE; Röhl, U; Sugisaki, S; Tauxe, L; van de Flierdt, T; Olney, M; Sangiorgi, F; Sluijs, A; Escutia, C; Brinkhuis, H; Brinkhuis, H; Dotti, CE; Klaus, A; Fehr, A; Williams, T; Bendle, JA; Bijl, PK; Bohaty, SM; Carr, SA; Dunbar, RB; Flores, JA; Gonzàlez, JJ; Hayden, TG; Iwai, M; Jimenez-Espejo, FJ; Katsuki, K; Kong, GS; Mckay, RM; Nakai, M; Olney, MP; Passchier, S; Pekar, SF; Pross, J; Riesselman, C; Röhl, U; Sakai, T; Salzmann, U; Shrivastava, PK; Stickley, CE; Sugisaki, S; Tauxe, L; Tuo, S; van de Flierdt, T; Welsh, K; Yamane, M</t>
  </si>
  <si>
    <t>Houben, Alexander J. P.; Bijl, Peter K.; Pross, Joerg; Bohaty, Steven M.; Passchier, Sandra; Stickley, Catherine E.; Roehl, Ursula; Sugisaki, Saiko; Tauxe, Lisa; van de Flierdt, Tina; Olney, Matthew; Sangiorgi, Francesca; Sluijs, Appy; Escutia, Carlota; Brinkhuis, Henk; Brinkhuis, Henk; Dotti, Carlota Escutia; Klaus, Adam; Fehr, Annick; Williams, Trevor; Bendle, James A. P.; Bijl, Peter K.; Bohaty, Steven M.; Carr, Stephanie A.; Dunbar, Robert B.; Flores, Jose-Abel; Gonzalez, Jhon J.; Hayden, Travis G.; Iwai, Masao; Jimenez-Espejo, Francisco J.; Katsuki, Kota; Kong, Gee Soo; McKay, Robert M.; Nakai, Mutsumi; Olney, Matthew P.; Passchier, Sandra; Pekar, Stephen F.; Pross, Jorg; Riesselman, Christina; Rohl, Ursula; Sakai, Toyosaburo; Salzmann, Ulrich; Shrivastava, Prakash K.; Stickley, Catherine E.; Sugisaki, Saiko; Tauxe, Lisa; Tuo, Shouting; van de Flierdt, Tina; Welsh, Kevin; Yamane, Masako</t>
  </si>
  <si>
    <t>Reorganization of Southern Ocean Plankton Ecosystem at the Onset of Antarctic Glaciation</t>
  </si>
  <si>
    <t>ICE-SHEET EXPANSION; SEA-ICE; SEDIMENTOLOGICAL EVIDENCE; DINOFLAGELLATE CYSTS; INDICATORS; ICEHOUSE</t>
  </si>
  <si>
    <t>The circum-Antarctic Southern Ocean is an important region for global marine food webs and carbon cycling because of sea-ice formation and its unique plankton ecosystem. However, the mechanisms underlying the installation of this distinct ecosystem and the geological timing of its development remain unknown. Here, we show, on the basis of fossil marine dinoflagellate cyst records, that a major restructuring of the Southern Ocean plankton ecosystem occurred abruptly and concomitant with the first major Antarctic glaciation in the earliest Oligocene (similar to 33.6 million years ago). This turnover marks a regime shift in zooplankton-phytoplankton interactions and community structure, which indicates the appearance of eutrophic and seasonally productive environments on the Antarctic margin. We conclude that earliest Oligocene cooling, ice-sheet expansion, and subsequent sea-ice formation were important drivers of biotic evolution in the Southern Ocean.</t>
  </si>
  <si>
    <t>[Houben, Alexander J. P.; Bijl, Peter K.; Sangiorgi, Francesca; Sluijs, Appy; Brinkhuis, Henk] Univ Utrecht, Fac Geosci, Dept Earth Sci, LPP, NL-3584 CD Utrecht, Netherlands; [Pross, Joerg] Goethe Univ Frankfurt, Inst Geosci, Paleoenvironm Dynam Grp, D-60438 Frankfurt, Germany; [Pross, Joerg] Biodivers &amp; Climate Res Ctr, D-60325 Frankfurt, Germany; [Bohaty, Steven M.] Univ Southampton, Natl Oceanog Ctr, Southampton SO14 3ZH, Hants, England; [Passchier, Sandra] Montclair State Univ, Dept Earth &amp; Environm Studies, Montclair, NJ 07043 USA; [Stickley, Catherine E.] Univ Tromso, Dept Geol, N-9037 Tromso, Norway; [Roehl, Ursula] Univ Bremen, MARUM Ctr Marine Environm Sci, D-28359 Bremen, Germany; [Sugisaki, Saiko; Tauxe, Lisa] Univ Calif San Diego, Scripps Inst Oceanog, La Jolla, CA 92093 USA; [van de Flierdt, Tina] Univ London Imperial Coll Sci Technol &amp; Med, Dept Earth Sci &amp; Engn, London SW7 2AZ, England; [Olney, Matthew] Univ S Florida, Dept Geol, Tampa, FL 33620 USA; [Escutia, Carlota] Inst Andaluz Ciencias Terra, Armilla 18100, Granada, Spain; [Brinkhuis, Henk; Bijl, Peter K.] Univ Utrecht, Lab Palaeobot &amp; Palynol, Fac Geosci, Dept Earth Sci, NL-3584 CD Utrecht, Netherlands; [Dotti, Carlota Escutia; Gonzalez, Jhon J.; Jimenez-Espejo, Francisco J.] Univ Granada, CSIC, Inst Andaluz Ciencias Tierra, Granada 18002, Spain; [Klaus, Adam] Texas A&amp;M Univ, Integrated Ocean Drilling Program, US Implementing Org, College Stn, TX 77845 USA; [Fehr, Annick] Univ Aachen, Inst Appl Geophys &amp; Geothermal Energy, D-52074 Aachen, Germany; [Williams, Trevor] Columbia Univ, Lamont Doherty Earth Observ, Borehole Res Grp, Palisades, NY 10964 USA; [Bendle, James A. P.] Univ Glasgow, Geog &amp; Earth Sci, Glasgow G12 8QQ, Lanark, Scotland; [Bohaty, Steven M.] Univ Southampton, Sch Ocean &amp; Earth Sci, Southampton SO14 3ZH, Hants, England; [Carr, Stephanie A.] Colorado Sch Mines, Dept Chem &amp; Geochem, Golden, CO 80401 USA; [Dunbar, Robert B.; Riesselman, Christina] Stanford Univ, Dept Environm Earth Syst Sci, Stanford, CA 94305 USA; [Flores, Jose-Abel] Univ Salamanca, Fac Ciencias, Dept Geol, Geosci Grp, Salamanca 37008, Spain; [Hayden, Travis G.] Western Michigan Univ, Dept Geol, Kalamazoo, MI 49008 USA; [Iwai, Masao] Kochi Univ, Dept Nat Sci, Kochi 7808520, Japan; [Jimenez-Espejo, Francisco J.] Japan Agcy Marine Earth Sci &amp; Technol, Inst Res Earth Evolut, Yokosuka, Kanagawa 2370061, Japan; [Katsuki, Kota] Kochi Univ, Marine Ctr Adv Core Res, Kochi 7838502, Japan; [Kong, Gee Soo] Korea Inst Geosci &amp; Mineral Resources, Petrol &amp; Marine Res Div, Daejeon 305350, South Korea; [McKay, Robert M.] Victoria Univ Wellington, Antarct Res Ctr, Wellington 6140, New Zealand; [Nakai, Mutsumi] Daito Bunka Univ, Educ Dept, Tokyo 1758571, Japan; [Nakai, Mutsumi] Univ S Florida, Dept Geol, Tampa, FL 33620 USA; [Passchier, Sandra] Montclair State Univ, Earth &amp; Environm Studies, Montclair, NJ 07043 USA; [Pekar, Stephen F.] CUNY Queens Coll, Sch Earth &amp; Environm Sci, Flushing, NY 11367 USA; [Pross, Jorg] Goethe Univ Frankfurt, Inst Geosci, Paleoenvironm Dynam Grp, D-60438 Frankfurt, Germany; [Riesselman, Christina] US Geol Survey, Eastern Geol &amp; Paleoclimate Sci Ctr, Reston, VA 20192 USA; [Rohl, Ursula] Univ Bremen, Ctr Marine Environm Sci, MARUM, D-28359 Bremen, Germany; [Sakai, Toyosaburo] Utsunomiya Univ, Dept Geol, Utsunomiya, Tochigi 3218505, Japan; [Salzmann, Ulrich] Northumbria Univ, Sch Built &amp; Nat Environm, Earth &amp; Environm, Newcastle Upon Tyne NE1 8ST, Tyne &amp; Wear, England; [Shrivastava, Prakash K.] NIT, NH5P, Geol Survey India, Antarct Div, Faridabad 121001, Haryana, India; [Stickley, Catherine E.] Univ Tromso, Dept Geol, N-9037 Tromso, Norway; [Sugisaki, Saiko] Japan Agcy Marine Earth Sci &amp; Technol, Yokosuka, Kanagawa 2370061, Japan; [Sugisaki, Saiko; Tauxe, Lisa] Univ Calif San Diego, Scripps Inst Oceanog, La Jolla, CA 92093 USA; [Tuo, Shouting] Tongji Univ, Sch Ocean &amp; Earth Sci, Shanghai 200092, Peoples R China; [van de Flierdt, Tina] Imperial Coll London, Dept Earth Sci &amp; Engn, London SW7 2AZ, England; [Welsh, Kevin] Univ Queensland, Sch Earth Sci, Brisbane, Qld 4072, Australia; [Yamane, Masako] Univ Tokyo, Earth &amp; Planetary Sci, Tokyo 1130033, Japan</t>
  </si>
  <si>
    <t>Utrecht University; Goethe University Frankfurt; NERC National Oceanography Centre; University of Southampton; Montclair State University; UiT The Arctic University of Tromso; University of Bremen; University of California System; University of California San Diego; Scripps Institution of Oceanography; Imperial College London; State University System of Florida; University of South Florida; Utrecht University; Consejo Superior de Investigaciones Cientificas (CSIC); CSIC - Instituto Andaluz de Ciencias de la Tierra (IACT); University of Granada; Texas A&amp;M University System; Texas A&amp;M University College Station; RWTH Aachen University; Columbia University; University of Glasgow; University of Southampton; NERC National Oceanography Centre; Colorado School of Mines; Stanford University; University of Salamanca; Western Michigan University; Kochi University; Japan Agency for Marine-Earth Science &amp; Technology (JAMSTEC); Kochi University; Korea Institute of Geoscience &amp; Mineral Resources (KIGAM); Victoria University Wellington; State University System of Florida; University of South Florida; Montclair State University; City University of New York (CUNY) System; Queens College NY (CUNY); Goethe University Frankfurt; United States Department of the Interior; United States Geological Survey; University of Bremen; Utsunomiya University; Northumbria University; Geological Survey India; UiT The Arctic University of Tromso; Japan Agency for Marine-Earth Science &amp; Technology (JAMSTEC); University of California System; University of California San Diego; Scripps Institution of Oceanography; Tongji University; Imperial College London; University of Queensland; University of Tokyo</t>
  </si>
  <si>
    <t>Houben, AJP (corresponding author), Netherlands Org Appl Sci Res TNO, Princetonlaan 6, NL-3584 CB Utrecht, Netherlands.</t>
  </si>
  <si>
    <t>Alexander.Houben@TNO.nl</t>
  </si>
  <si>
    <t>Flores, José-Abel/D-4218-2009; Jimenez-Espejo, Francisco J/F-4486-2016; Röhl, Ursula/G-5986-2011; Salzmann, Ulrich/H-9929-2017; Williams, Trevor/L-7670-2014; Jimenez-Espejo, Francisco J./AAR-2318-2020; Passchier, Sandra/B-1993-2008; Brinkhuis, Henk/B-4223-2009; McKay, Robert/N-2449-2015; Passchier, Sandra/AAQ-2243-2021; Riesselman, Christina R/H-5037-2012; Passchier, Sandra/GYU-2381-2022; Brinkhuis, Henk/IUO-8165-2023; Escutia, Carlota/B-8614-2015; Sluijs, Appy/B-3726-2009; Welsh, Kevin/A-9808-2012</t>
  </si>
  <si>
    <t>Flores, José-Abel/0000-0003-1909-293X; Jimenez-Espejo, Francisco J/0000-0002-0335-8580; Röhl, Ursula/0000-0001-9469-7053; Salzmann, Ulrich/0000-0001-5598-5327; Passchier, Sandra/0000-0001-7204-7025; McKay, Robert/0000-0002-5602-6985; Passchier, Sandra/0000-0001-7204-7025; Brinkhuis, Henk/0000-0003-0253-6610; Houben, Alexander/0000-0002-9497-1048; Yamane, Masako/0000-0002-5063-0719; Escutia, Carlota/0000-0002-4932-8619; Bijl, Peter/0000-0002-1710-4012; Bendle, James/0000-0002-6826-8658; Riesselman, Christina/0000-0002-2436-4306; Sangiorgi, Francesca/0000-0003-4233-6154; Sluijs, Appy/0000-0003-2382-0215; Dunbar, Robert/0000-0002-9728-5609; Welsh, Kevin/0000-0002-4834-4190</t>
  </si>
  <si>
    <t>NSF [ANT-1245283, OCE 1058858, OCE 1054497]; Statoil; Netherlands Organisation for Scientific Research (NWO) [86610110]; LPP Foundation; German Research Foundation [PR 651/10, RO 1113/6]; Biodiversity and Climate Research Center within the Hessian Initiative for Scientific and Economic Excellence (LOEWE); Post-Expedition Activity award; Natural Environmental Research Council (UK) [NE/H025162/1, NE/H020098/1, NE/J019801/1]; European Commission [IRG 230828]; UK IODP [NE/I006257/1]; European Research Council [259627]; Spanish Ministry for Science and Innovation [CTM2011-2079]; Directorate For Geosciences; Division Of Ocean Sciences [1058858] Funding Source: National Science Foundation; Directorate For Geosciences; Office of Polar Programs (OPP) [1245283] Funding Source: National Science Foundation; Natural Environment Research Council [NE/H014616/1, NE/I006257/1, NE/H025162/1, NE/I00646X/1, NE/J019801/1, NE/I00646X/2, NE/H020098/1] Funding Source: researchfish; NERC [NE/H014616/1, NE/I006257/1, NE/I00646X/1, NE/H025162/1, NE/J019801/1, NE/I00646X/2, NE/H020098/1] Funding Source: UKRI</t>
  </si>
  <si>
    <t>NSF(National Science Foundation (NSF)); Statoil; Netherlands Organisation for Scientific Research (NWO)(Netherlands Organization for Scientific Research (NWO)); LPP Foundation; German Research Foundation(German Research Foundation (DFG)); Biodiversity and Climate Research Center within the Hessian Initiative for Scientific and Economic Excellence (LOEWE); Post-Expedition Activity award; Natural Environmental Research Council (UK)(UK Research &amp; Innovation (UKRI)Natural Environment Research Council (NERC)); European Commission(European Union (EU)European Commission Joint Research Centre); UK IODP; European Research Council(European Research Council (ERC)); Spanish Ministry for Science and Innovation(Spanish Government); Directorate For Geosciences; Division Of Ocean Sciences(National Science Foundation (NSF)NSF - Directorate for Geosciences (GEO));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</si>
  <si>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research used samples from the ODP and the IODP. The ODP was sponsored by the NSF and participating countries under management of Joint Oceanographic Institutions (JOI) Incorporated. A.J.P.H. and H.B. thank Statoil for funding. P.K.B., F.S., and H.B. thank the Netherlands Organisation for Scientific Research (NWO) (grant 86610110) and the LPP Foundation for funding. J.P. and U.R. acknowledge support through the German Research Foundation (grants PR 651/10 and RO 1113/6). J.P. thanks the Biodiversity and Climate Research Center within the Hessian Initiative for Scientific and Economic Excellence (LOEWE) for support. S.P. acknowledges financial support from a Post-Expedition Activity award administered by the U.S. Science Support Program and research support from NSF award ANT-1245283. T.v.d.F. acknowledges the Natural Environmental Research Council (UK) for a cruise participation grant (NE/H025162/1) and the European Commission for a Marie Curie Reintegration grant (IRG 230828). S.M.B. and T.v.d.F. further acknowledge UK IODP funding (grant NE/I006257/1). S.M.B. acknowledges the Natural Environmental Research Council (UK) for a cruise participation grant (NE/H020098/1) and postcruise research support (NE/J019801/1). L.T. acknowledges support from NSF grants OCE 1058858 and OCE 1054497. A.S. thanks the European Research Council for ERC Starting Grant 259627. C.E. thanks the Spanish Ministry for Science and Innovation (grant CTM2011-2079). The reported data are available in the supplementary materials.</t>
  </si>
  <si>
    <t>APR 19</t>
  </si>
  <si>
    <t>10.1126/science.1223646</t>
  </si>
  <si>
    <t>126XZ</t>
  </si>
  <si>
    <t>WOS:000317657500052</t>
  </si>
  <si>
    <t>Chen, C; Chu, XZ; McDonald, AJ; Vadas, SL; Yu, ZB; Fong, WC; Lu, X</t>
  </si>
  <si>
    <t>Chen, Cao; Chu, Xinzhao; McDonald, Adrian J.; Vadas, Sharon L.; Yu, Zhibin; Fong, Weichun; Lu, Xian</t>
  </si>
  <si>
    <t>Inertia-gravity waves in Antarctica: A case study using simultaneous lidar and radar measurements at McMurdo/Scott Base (77.8°S, 166.7°E)</t>
  </si>
  <si>
    <t>inertia-gravity wave; Fe Boltzmann lidar; MF radar; Antarctica; intrinsic wave properties; hodograph analysis</t>
  </si>
  <si>
    <t>POLAR STRATOSPHERIC CLOUDS; STARFIRE OPTICAL-RANGE; MESOPAUSE REGION; LOWER THERMOSPHERE; UPPER MESOSPHERE; SOUTH-POLE; JET-STREAM; GEOSTROPHIC ADJUSTMENT; MIDDLE-ATMOSPHERE; THERMAL STRUCTURE</t>
  </si>
  <si>
    <t>This study presents the first coincident observation of inertia-gravity waves (IGWs) by lidar and radar in the Antarctic mesopause region. This is also the first known observation of two simultaneous IGWs at the same location. An Fe Boltzmann lidar at Arrival Heights (77.8 degrees S, 166.7 degrees E) provides high-resolution temperature data, and a co-located MF radar provides wind data. On 29 June 2011, coherent wave structures are observed in both the Fe lidar temperature and MF radar winds. Two dominant waves are determined from the temperature data with apparent periods of 7.7 +/- 0.2 and 5.0 +/- 0.1 h and vertical wavelengths of 22 +/- 2 and 23 +/- 2 km, respectively. The simultaneous measurements of temperature and wind allow the intrinsic wave properties to be derived from hodograph analyses unambiguously. The analysis shows that the longer-period wave propagates northward with an azimuth of =11 degrees +/- 5 degrees clockwise from north. This wave has a horizontal wavelength of h=2.2 +/- 0.2x103 km and an intrinsic period of I=7.9 +/- 0.3 h. The intrinsic horizontal phase speed (CIh) for this wave is 80 +/- 4 m/s, while the horizontal and vertical group velocities (Cgh and Cgz) are 48 +/- 3 m/s and 0.5 +/- 0.1 m/s, respectively. The shorter-period wave has I=4.5 +/- 0.3 h and =100 degrees +/- 4 degrees with h=1.1 +/- 0.1x103 km and CIh=68 +/- 5 m/s. Its group velocities are Cgh=58 +/- 5 m/s and Cgz=1.1 +/- 0.1 m/s. Therefore, both waves propagate with very shallow elevation angles from the horizon (phi=0.6 degrees +/- 0.1 degrees and phi=1.1 degrees +/- 0.1 degrees for the longer- and shorter-period waves, respectively) but originate from different sources. Our analysis suggests that the longer-period IGW most likely originates from the stratosphere in a region of unbalanced flow.</t>
  </si>
  <si>
    <t>[Chen, Cao; Chu, Xinzhao; Yu, Zhibin; Fong, Weichun; Lu, Xian] Univ Colorado, CIRES, Boulder, CO 80309 USA; [Chen, Cao; Chu, Xinzhao; Yu, Zhibin; Fong, Weichun; Lu, Xian] Univ Colorado, Dept Aerosp Engn Sci, Boulder, CO 80309 USA; [McDonald, Adrian J.] Univ Canterbury, Dept Phys &amp; Astron, Canterbury, New Zealand; [Vadas, Sharon L.] NW Res Associates Inc, Boulder, CO USA</t>
  </si>
  <si>
    <t>University of Colorado System; University of Colorado Boulder; University of Colorado System; University of Colorado Boulder; University of Canterbury; NorthWest Research Associates</t>
  </si>
  <si>
    <t>Chu, XZ (corresponding author), Univ Colorado, CIRES, 216 UCB, Boulder, CO 80309 USA.</t>
  </si>
  <si>
    <t>Cao.Chen@Colorado.edu; Xinzhao.Chu@Colorado.edu</t>
  </si>
  <si>
    <t>Yu, Zhibin/GZA-3374-2022; Chen, Cao/D-9851-2016; Lu, Xian/AAZ-3385-2021; Lu, Xian/A-2980-2015; CHU, XINZHAO/I-5670-2015</t>
  </si>
  <si>
    <t>Yu, Zhibin/0000-0001-5128-809X; Chen, Cao/0000-0002-7780-2787; Lu, Xian/0000-0002-2535-8151; CHU, XINZHAO/0000-0001-6147-1963; McDonald, Adrian/0000-0002-1456-6254</t>
  </si>
  <si>
    <t>USA National Science Foundation OPP grant [ANT-0839091]; NSF [AGS-1139149]; Directorate For Geosciences; Div Atmospheric &amp; Geospace Sciences [1139149, 1136272] Funding Source: National Science Foundation; Directorate For Geosciences; Office of Polar Programs (OPP) [1246405] Funding Source: National Science Foundation; Directorate For Geosciences; Office of Polar Programs (OPP) [0839091] Funding Source: National Science Foundation</t>
  </si>
  <si>
    <t>USA National Science Foundation OPP grant; NSF(National Science Foundation (NSF)); Directorate For Geosciences; Div Atmospheric &amp; Geospace 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</si>
  <si>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We sincerely acknowledge Wentao Huang, Zhangjun Wang, John A. Smith, Brendan Roberts, and Chester S. Gardner for their significant contributions to the McMurdo lidar campaign. We are grateful to Anne Smith, Han-Li Liu, and Mike Nicolls for valuable discussions. We appreciate the staff of McMurdo Station and Scott Base for their superb support. We offer special thanks to Ed Butler of the Antarctica New Zealand and Vladimir Papitashvili of the National Science Foundation for their encouragement and help in this collaborative research. The lidar project is supported by the USA National Science Foundation OPP grant ANT-0839091. AJM thanks Antarctica New Zealand for the logistic support for the MF radar. SLV is supported by NSF grant AGS-1139149. We also acknowledge Global Modeling and Assimilation Office (GMAO) and the GES DISC for the dissemination of MERRA.</t>
  </si>
  <si>
    <t>APR 16</t>
  </si>
  <si>
    <t>10.1002/jgrd.50318</t>
  </si>
  <si>
    <t>153QT</t>
  </si>
  <si>
    <t>WOS:000319618300008</t>
  </si>
  <si>
    <t>Franzke, C</t>
  </si>
  <si>
    <t>Franzke, C.</t>
  </si>
  <si>
    <t>A novel method to test for significant trends in extreme values in serially dependent time series</t>
  </si>
  <si>
    <t>SOUTHERN ANNULAR MODE; LONG-RANGE DEPENDENCE; QUANTILE REGRESSION; CLIMATE NOISE; TEMPERATURE</t>
  </si>
  <si>
    <t>We propose a novel method to investigate the statistical significance of trends of extreme values in serially correlated time series based on quantile regression and surrogate data. This method has the advantage over traditional extreme value methods that it takes into account all data points from the time series. We test this method on a temperature time series from the Antarctic Peninsula (Faraday/Vernadsky station), which is highly non-Gaussian and serially correlated. We find evidence for a significant upward nonlinear trend in the extreme cold temperatures (95th percentile) and that most of the observed warming at Faraday/Vernadsky is due to a reduction in cold extremes. Quantile regression can also be used for multivariate regression with external factors. This multivariate regression analysis suggests that CO2 emissions play a large role in the observed trend at Faraday/Vernadsky while also the ozone hole and solar fluctuations play some role.</t>
  </si>
  <si>
    <t>Franzke, C (corresponding author), British Antarctic Survey, NERC, High Cross,Madingley Rd, Cambridge CB3 0ET, England.</t>
  </si>
  <si>
    <t>Natural Environment Research Council; Natural Environment Research Council [bas0100026] Funding Source: researchfish; NERC [bas0100026]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</si>
  <si>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</si>
  <si>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I thank H. Roscoe for providing me with the OMD data and R. Donner for very helpful comments on an earlier version of the manuscript. This study is part of the British Antarctic Survey Polar Science for Planet Earth Programme. It was funded by the Natural Environment Research Council.</t>
  </si>
  <si>
    <t>10.1002/grl.50301</t>
  </si>
  <si>
    <t>148BP</t>
  </si>
  <si>
    <t>WOS:000319217600025</t>
  </si>
  <si>
    <t>Heuzé, C; Heywood, KJ; Stevens, DP; Ridley, JK</t>
  </si>
  <si>
    <t>Heuze, Celine; Heywood, Karen J.; Stevens, David P.; Ridley, Jeff K.</t>
  </si>
  <si>
    <t>Southern Ocean bottom water characteristics in CMIP5 models</t>
  </si>
  <si>
    <t>PART I; CLIMATE; CIRCULATION; SIMULATION; CONVECTION</t>
  </si>
  <si>
    <t>Southern Ocean deep water properties and formation processes in climate models are indicative of their capability to simulate future climate, heat and carbon uptake, and sea level rise. Southern Ocean temperature and density averaged over 1986-2005 from 15 CMIP5 (Coupled Model Intercomparison Project Phase 5) climate models are compared with an observed climatology, focusing on bottom water. Bottom properties are reasonably accurate for half the models. Ten models create dense water on the Antarctic shelf, but it mixes with lighter water and is not exported as bottom water as in reality. Instead, most models create deep water by open ocean deep convection, a process occurring rarely in reality. Models with extensive deep convection are those with strong seasonality in sea ice. Optimum bottom properties occur in models with deep convection in the Weddell and Ross Gyres. Bottom Water formation processes are poorly represented in ocean models and are a key challenge for improving climate predictions.</t>
  </si>
  <si>
    <t>[Heuze, Celine; Heywood, Karen J.] Univ E Anglia, Sch Environm Sci, Norwich NR4 7TJ, Norfolk, England; [Stevens, David P.] Univ E Anglia, Sch Math, Norwich NR4 7TJ, Norfolk, England; [Ridley, Jeff K.] Met Off Hadley Ctr, Exeter, Devon, England</t>
  </si>
  <si>
    <t>University of East Anglia; University of East Anglia; Met Office - UK; Hadley Centre</t>
  </si>
  <si>
    <t>Heuzé, C (corresponding author), Univ E Anglia, Sch Environm Sci, Norwich Res Pk, Norwich NR4 7TJ, Norfolk, England.</t>
  </si>
  <si>
    <t>c.heuze@uea.ac.uk</t>
  </si>
  <si>
    <t>Heuzé, Céline/U-5058-2017; Heywood, Karen/L-1757-2016; Stevens, David/F-2509-2010</t>
  </si>
  <si>
    <t>Heuzé, Céline/0000-0002-8850-5868; Heywood, Karen/0000-0001-9859-0026; Stevens, David/0000-0002-7283-4405</t>
  </si>
  <si>
    <t>NERC Open Case award; Met Office; Joint DECC/Defra Met Office Hadley Centre Climate Programme [GA01101]; Natural Environment Research Council [1093171] Funding Source: researchfish</t>
  </si>
  <si>
    <t>NERC Open Case award; Met Office; Joint DECC/Defra Met Office Hadley Centre Climate Programme; Natural Environment Research Council(UK Research &amp; Innovation (UKRI)Natural Environment Research Council (NERC))</t>
  </si>
  <si>
    <t>This work is funded by a NERC Open Case award to UEA and the Met Office. Jeff Ridley was supported by the Joint DECC/Defra Met Office Hadley Centre Climate Programme (GA01101). We acknowledge the World Climate Research Programme's Working Group on Coupled Modelling, which is responsible for CMIP, and we thank the climate modeling groups (listed in section 2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</si>
  <si>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10.1002/grl.50287</t>
  </si>
  <si>
    <t>WOS:000319217600028</t>
  </si>
  <si>
    <t>Broecker, WS; McGee, D</t>
  </si>
  <si>
    <t>Broecker, W. S.; McGee, D.</t>
  </si>
  <si>
    <t>The 13C record for atmospheric CO2: What is it trying to tell us?</t>
  </si>
  <si>
    <t>carbon isotopes; carbon cycle; Spero effect; photosynthetic fractionation; nutrient utilization; iron fertilization</t>
  </si>
  <si>
    <t>CARBON-ISOTOPE FRACTIONATION; LAST GLACIAL MAXIMUM; NORTH-ATLANTIC; TERRESTRIAL BIOSPHERE; CLIMATIC CHANGES; GROWTH-RATE; SEA-ICE; OCEAN; CIRCULATION; EXCHANGE</t>
  </si>
  <si>
    <t>Records of the C-13 to C-12 ratio of atmospheric CO2 (delta C-13(atm)) trapped in Antarctic ice may offer important insights into past changes in the carbon cycle and drivers of past fluctuations in atmospheric pCO(2). A recently published record offers the highest resolution delta C-13(atm) record to date covering the last deglaciation (Schmitt et al., 2012). Two features are of particular interest. One is the small magnitude (0.15 +/- 0.05 parts per thousand) of the delta C-13(atm) difference between the last glacial maximum (LGM) and the Holocene. The other is the abrupt drop (0.30 +/- 0.05 parts per thousand) in delta C-13(atm) between 17.5 and 16.0 ka. This drop is coincident with that of dust deposition on the Antarctic ice cap and into the ocean off South Australia, consistent with the hypothesis that increased efficiency of Southern Ocean nutrient utilization during the last glacial period - and the consequent reduction in atmospheric pCO(2) - was driven in part by dust-related iron fertilization. However, in order to further explore either the small LGM-Holocene difference or the rapid drop during the early deglaciation, delta C-13(atm) changes related to the LGM cooling, the LGM upper ocean delta C-13 change, ocean circulation changes, and the LGM change in the photosynthetic fractionation factor must be known. As each is currently the subject of a sizable uncertainty, we present only a roadmap regarding what must be done in order to interpret the Schmitt et al. (2012) record. (C) 2013 Elsevier B.V. All rights reserved.</t>
  </si>
  <si>
    <t>[Broecker, W. S.] Columbia Univ, Lamont Doherty Geol Observ, Palisades, NY 10964 USA; [McGee, D.] MIT, Dept Earth Atmospher &amp; Planetary Sci, Cambridge, MA 02139 USA</t>
  </si>
  <si>
    <t>Columbia University; Massachusetts Institute of Technology (MIT)</t>
  </si>
  <si>
    <t>Broecker, WS (corresponding author), Columbia Univ, Lamont Doherty Geol Observ, 61 Route 9W-POB 1000, Palisades, NY 10964 USA.</t>
  </si>
  <si>
    <t>broecker@ldeo.columbia.edu; davidmcg@mit.edu</t>
  </si>
  <si>
    <t>Comer Science and Education Foundation</t>
  </si>
  <si>
    <t>Discussions with Boaz Luz, Greg Rau, Howie Spero, Jean Lynch-Stieglitz, Ulysses Ninnemann, Taro Takahashi, Jeff Severinghaus, Delia Oppo, and Danny Sigman helped us greatly in tuning our early ideas. Input from editor Jean Lynch-Steiglitz and two reviewers substantially improved the manuscript. Support was provided by the Comer Science and Education Foundation. Lamont-Doherty Earth Observatory Contribution no. 7677.</t>
  </si>
  <si>
    <t>APR 15</t>
  </si>
  <si>
    <t>10.1016/j.epsl.2013.02.029</t>
  </si>
  <si>
    <t>160AH</t>
  </si>
  <si>
    <t>WOS:000320087900018</t>
  </si>
  <si>
    <t>Verma, S; Gupta, AK; Singh, RK</t>
  </si>
  <si>
    <t>Verma, Swati; Gupta, Anil K.; Singh, Raj K.</t>
  </si>
  <si>
    <t>Variations in deep-sea benthic foraminifera at ODP Hole 756B, southeastern Indian Ocean: Evidence for changes in deep ocean circulation</t>
  </si>
  <si>
    <t>Deep-sea benthic foraminifera; Southeastern Indian Ocean; Antarctic Intermediate Water; Antarctic Circumpolar Current</t>
  </si>
  <si>
    <t>STILOSTOMELLA-LEPIDULA SCHWAGER; PLIOCENE BIOGENIC BLOOM; OXYGEN MINIMUM ZONE; BENTHONIC FORAMINIFERA; CONTINENTAL-MARGIN; LATE MIOCENE; PALEOCEANOGRAPHIC EVOLUTION; BATHYMETRIC DISTRIBUTION; ANTARCTIC GLACIATION; CLIMATIC CHANGES</t>
  </si>
  <si>
    <t>Seventy three core samples of 10 cc volume were analysed from Ocean Drilling Program (ODP) Site 756, Hole B with an average interval of 236 kyr per sample. Factor and cluster analyses of 37 high ranking species of benthic foraminifera enabled us to identify four clusters representing four biofacies. Biofacies Sl-Om is characterised by Stilostomella lepidula, Orthomorphina modesta, Robulus gibbus, Bulimina miolaevis and Cibicides cf. lucidus. This biofacies dominates the latest Oligocene to early Miocene interval (24-21 Ma and 18.75-16.5 Ma), indicating low to intermediate dissolved oxygen, organic carbon rich environment, warm and sluggish deep waters. During 21-18.75 Ma, the biofacies Gp-Nu (Globocassidulina pacifica, Nuttallides umbonifera, Trifarina angulosa, Quinqueloculina weaved, Robulus gibbus and Pullenia bulloides) dominates the benthic assemblage at Hole 756B. This biofacies also has a short lived presence at similar to 16.5 Ma. This was an interval of intense circulation of cold and corrosive deep water similar to Antarctic Intermediate Water (AAIW), and intermediate to high flux of organic matter to Hole 756B. The Antarctic Circumpolar Current (ACC) initiated during this time. From 165 to 10.6 Ma, the benthic assemblage at Hole 756B is dominated by biofacies Ub-Gs (characteristic species Uvigerina buzasi, Globocassidulina subglobosa, Laticarina pauperata), indicating intermediate to high food supply and cold deep water. This interval coincides with the middle Miocene positive oxygen isotope shift and permanent build up of Antarctic ice sheets. The late Miocene interval (10.6-6.5) is characterised by biofacies Ec-Bs (dominant species Ehrenbergina carinata, Bolivina spathulata, Osangularia culter and Pullenia osloensis) indicating low oxygen condition with high food supply in the study area. This corresponds to an interval of global biogenic bloom. (C) 2013 Elsevier B.V. All rights reserved.</t>
  </si>
  <si>
    <t>[Verma, Swati; Gupta, Anil K.] Indian Inst Technol, Dept Geol &amp; Geophys, Kharagpur 721302, W Bengal, India; [Gupta, Anil K.; Singh, Raj K.] Wadia Inst Himalayan Geol, Dehra Dun 248001, Uttar Pradesh, India</t>
  </si>
  <si>
    <t>Indian Institute of Technology System (IIT System); Indian Institute of Technology (IIT) - Kharagpur; Department of Science &amp; Technology (India); Wadia Institute of Himalayan Geology (WIHG)</t>
  </si>
  <si>
    <t>Gupta, AK (corresponding author), Indian Inst Technol, Dept Geol &amp; Geophys, Kharagpur 721302, W Bengal, India.</t>
  </si>
  <si>
    <t>anilg@gg.iitkgp.ernet.in</t>
  </si>
  <si>
    <t>Verma, Swati/KCK-1267-2024; Verma, Swati/AAJ-7538-2021; SINGH, RAJ K./HGE-7393-2022; SINGH, RAJ K./ABE-4793-2021</t>
  </si>
  <si>
    <t>SINGH, RAJ K./0000-0003-2900-7145; SINGH, RAJ K./0000-0003-2900-7145; Gupta, Anil/0000-0003-0536-3911</t>
  </si>
  <si>
    <t>IIT, Kharagpur</t>
  </si>
  <si>
    <t>Integrated Ocean Drilling Program is thankfully acknowledged for providing core samples for the present study. This study was supported by IIT, Kharagpur as a part of M.Tech. dissertation to SV. Authors thank two anonymous reviewers and the Editor for constructive comments that helped improve the quality of this manuscript.</t>
  </si>
  <si>
    <t>10.1016/j.palaeo.2013.02.034</t>
  </si>
  <si>
    <t>136RR</t>
  </si>
  <si>
    <t>WOS:000318381600014</t>
  </si>
  <si>
    <t>Glover, KA; Kanda, N; Haug, T; Pastene, LA; Oien, N; Seliussen, BB; Sorvik, AGE; Skaug, HJ</t>
  </si>
  <si>
    <t>Glover, Kevin A.; Kanda, Naohisa; Haug, Tore; Pastene, Luis A.; Oien, Nils; Seliussen, Bjorghild B.; Sorvik, Anne G. E.; Skaug, Hans J.</t>
  </si>
  <si>
    <t>Hybrids between common and Antarctic minke whales are fertile and can back-cross</t>
  </si>
  <si>
    <t>BMC GENETICS</t>
  </si>
  <si>
    <t>BALAENOPTERA-MUSCULUS; POPULATION-STRUCTURE; BLUE WHALE; FIN WHALE; B-PHYSALUS; HYBRIDIZATION; IDENTIFICATION; EXTINCTION; INFERENCE</t>
  </si>
  <si>
    <t>Background: Minke whales are separated into two genetically distinct species: the Antarctic minke whale found in the southern hemisphere, and the common minke whale which is cosmopolitan. The common minke whale is further divided into three allopatric sub-species found in the North Pacific, southern hemisphere, and the North Atlantic. Here, we aimed to identify the genetic ancestry of a pregnant female minke whale captured in the North Atlantic in 2010, and her fetus, using data from the mtDNA control region, 11 microsatellite loci and a sex determining marker. Results: All statistical parameters demonstrated that the mother was a hybrid displaying maternal and paternal contribution from North Atlantic common and Antarctic minke whales respectively. Her female fetus displayed greater genetic similarity to North Atlantic common minke whales than herself, strongly suggesting that the hybrid mother had paired with a North Atlantic common minke whale. Conclusion: This study clearly demonstrates, for the first time, that hybrids between minke whale species may be fertile, and that they can back-cross. Whether contact between these species represents a contemporary event linked with documented recent changes in the Antarctic ecosystem, or has occurred at a low frequency over many years, remains open.</t>
  </si>
  <si>
    <t>[Glover, Kevin A.; Oien, Nils; Seliussen, Bjorghild B.; Sorvik, Anne G. E.; Skaug, Hans J.] Inst Marine Res, N-5817 Bergen, Norway; [Kanda, Naohisa; Pastene, Luis A.] Inst Cetacean Res, Chuo Ku, Tokyo 1040055, Japan; [Haug, Tore] Inst Marine Res, N-9294 Tromso, Norway; [Skaug, Hans J.] Univ Bergen, Dept Math, N-5008 Bergen, Norway</t>
  </si>
  <si>
    <t>Institute of Marine Research - Norway; Institute of Marine Research - Norway; University of Bergen</t>
  </si>
  <si>
    <t>Glover, KA (corresponding author), Inst Marine Res, POB 1870, N-5817 Bergen, Norway.</t>
  </si>
  <si>
    <t>Kevin.glover@imr.no</t>
  </si>
  <si>
    <t>Breistein, Bjorghild/0000-0002-1805-7190</t>
  </si>
  <si>
    <t>Norwegian Ministry of Fisheries and Coastal affairs</t>
  </si>
  <si>
    <t>We would like to acknowledge the assistance of Lotta Lindblom from the Institute of Marine Research in Tromso for organizing tissue samples within the NMDR. We would also like to acknowledge Eric Anderson from NOAA, for assistance in running the program NEWHYBRIDS, Maria Quintela from IMR for commenting on the statistical analyses, and Mutsuo Goto from ICR for his assistance in the mtDNA analyses. We also acknowledge the assistance of two anonymous referees and constructive criticism from Robin Waples. We thank the Norwegian crew of commercial whaling operations and the Japanese researchers of the Japanese whale research programs for their effort in sampling minke whales collected prior to this study. This study was financed by the Norwegian Ministry of Fisheries and Coastal affairs, although they had no participation in the design of the study nor interpretation of the results.</t>
  </si>
  <si>
    <t>1471-2156</t>
  </si>
  <si>
    <t>BMC GENET</t>
  </si>
  <si>
    <t>BMC Genet.</t>
  </si>
  <si>
    <t>10.1186/1471-2156-14-25</t>
  </si>
  <si>
    <t>139QR</t>
  </si>
  <si>
    <t>WOS:000318599400001</t>
  </si>
  <si>
    <t>Lai, CC; Crosbie, PBB; Battaglene, SC; Nowak, BF</t>
  </si>
  <si>
    <t>Lai, Cheng C.; Crosbie, Philip B. B.; Battaglene, Stephen C.; Nowak, Barbara F.</t>
  </si>
  <si>
    <t>Effects of epitheliocystis on serum lysozyme activity and osmoregulation in cultured juvenile striped trumpeter, Latris lineata (Forster)</t>
  </si>
  <si>
    <t>Epitheliocystis; Lysozyme; Osmoregulation; Striped trumpeter; Aquaculture</t>
  </si>
  <si>
    <t>CANDIDATUS-CLAVOCHLAMYDIA-SALMONICOLA; CHARR SALVELINUS-ALPINUS; SERIOLA-DUMERILI RISSO; FARMED ATLANTIC SALMON; ULTRASTRUCTURAL OBSERVATIONS; PISCICHLAMYDIA SALMONIS; BIDYANUS-BIDYANUS; LATES-CALCARIFER; CAUSATIVE AGENT; RAINBOW-TROUT</t>
  </si>
  <si>
    <t>Cultured juvenile striped trumpeter, Latris lineata (Forster), were sampled at two time points in spring (68 fish) and autumn (48 fish) to assess the prevalence and severity of epitheliocystis and associated physiological impacts. Prevalence of epitheliocystis was 49.2% in spring and 100% in autumn. Fish sampled in spring had low mean density of epitheliocystis induced cysts at 0.39 +/- 0.08 per cm(2) whereas those fish sampled in autumn had significantly higher mean cyst density at 134.93 +/- 15.81 (p &lt; 0.05). The mean diameter of cysts did not differ and it was 47.9 +/- 3.41 mu m in spring and 50.7 +/- 0.50 mu m in autumn. The cysts were positioned at the tips or along lamellae. Host response was affected by the severity of infection. Histological examination revealed little host response in striped trumpeter with low densities of cysts; however proliferative responses, including lamellar fusion due to epithelial hyperplasia and inflammation, were present in fish that had higher cyst densities. Serum osmolality and lysozyme activity were positively correlated with the densities of cysts in juvenile striped trumpeter (p &lt; 0.001). Furthermore, the osmolality and lysozyme activity of infected striped trumpeter were significantly elevated compared with the non-infected striped trumpeter (p &lt; 0.05). Histological examination revealed the absence of chloride cells at the base of the gill lamellae in the vicinity of the cysts, which may explain the elevation of osmolality in the individuals affected by epitheliocystis. However, the counts of chloride cells in the interlamellar areas did not differ between the fish with high and normal osmolality (p&gt;0.05). This study describes the first case of epitheliocystis in striped trumpeter and reports associated physiological effects. (C) 2013 Elsevier B.V. All rights reserved.</t>
  </si>
  <si>
    <t>[Lai, Cheng C.; Crosbie, Philip B. B.; Nowak, Barbara F.] Univ Tasmania, Natl Ctr Marine Conservat &amp; Resource Sustainabil, Launceston, Tas 7250, Australia; [Battaglene, Stephen C.] Univ Tasmania, Inst Marine &amp; Antarctic Studies, Hobart, Tas 7001, Australia</t>
  </si>
  <si>
    <t>Nowak, BF (corresponding author), Univ Tasmania, Natl Ctr Marine Conservat &amp; Resource Sustainabil, Locked Bag 1370, Launceston, Tas 7250, Australia.</t>
  </si>
  <si>
    <t>Cheng.Lai@utas.edu.au; Philip.Crosbie@utas.edu.au; Stephen.Battaglene@utas.edu.au; B.Nowak@utas.edu.au</t>
  </si>
  <si>
    <t>Battaglene, Stephen C/H-9683-2014; Nowak, Barbara/J-7261-2014</t>
  </si>
  <si>
    <t>Nowak, Barbara/0000-0002-0347-643X; Crosbie, Philip/0000-0001-8856-1731</t>
  </si>
  <si>
    <t>1873-5622</t>
  </si>
  <si>
    <t>10.1016/j.aquaculture.2013.01.020</t>
  </si>
  <si>
    <t>107DT</t>
  </si>
  <si>
    <t>WOS:000316195600014</t>
  </si>
  <si>
    <t>Pena, LD; Goldstein, SL; Hemming, SR; Jones, KM; Calvo, E; Pelejero, C; Cacho, I</t>
  </si>
  <si>
    <t>Pena, L. D.; Goldstein, S. L.; Hemming, S. R.; Jones, K. M.; Calvo, E.; Pelejero, C.; Cacho, I.</t>
  </si>
  <si>
    <t>Rapid changes in meridional advection of Southern Ocean intermediate waters to the tropical Pacific during the last 30 kyr</t>
  </si>
  <si>
    <t>neodymium isotopes; planktonic foraminifera; intermediate water masses; Eastern Equatorial Pacific; Equatorial Undercurrent; Southern Ocean</t>
  </si>
  <si>
    <t>RARE-EARTH-ELEMENTS; NEODYMIUM ISOTOPE COMPOSITION; ATLANTIC DEEP-WATER; PAPUA-NEW-GUINEA; NORTH-ATLANTIC; THERMOHALINE CIRCULATION; ATMOSPHERIC CO2; CARBON-ISOTOPE; ND-ISOTOPES; OVERTURNING CIRCULATION</t>
  </si>
  <si>
    <t>The Southern Ocean is increasingly recognized as a key player in the general ocean thermohaline circulation and the global climate system during glacial interglacial transitions. In particular, the advection of Southern Ocean intermediate waters (SOIW), like Antarctic Intermediate Water and Sub-Antarctic Mode Water, to the Eastern Equatorial Pacific (EEP), through a so-called oceanic tunnelling mechanism, is an important means for rapid transfer of climatic signals (such as heat, fresh water, salt, and chemical species) from high-to-low latitudes. However, information on how intermediate water advection rates changed in the past, and particularly during deglaciations, is fragmentary. We present new results for Nd isotopes (epsilon(Nd)) in cleaned foraminifera shells (Neogloboquadrina dutertrei) for the last 30 kyr at ODP Site 1240 in the EEP. N. dutertrei preferentially dwells in the lower thermocline, at the core of the Equatorial Undercurrent (EUC), and the epsilon(Nd) variability over time provides a record of the changes in the epsilon(Nd) of the EUC. Through mixing models we show that the EUC record is primarily controlled by changes in the volume transport of intermediate waters and not by Southern Ocean epsilon(Nd) changes. Southern Ocean signals in the EUC are stronger during colder intervals (Younger Dryas, last glacial maximum and Heinrich stadials 1 and 2), in agreement with tropical Atlantic intermediate water records. In addition, covariations between N. dutertrei delta C-13, molecular biomarkers, and diatom productivity at Site 1240 confirm the intermediate water route as an important mechanism for the transfer of climate signals from high-to-low latitudes. Changes in the SOIW chemistry during the deglaciation are likely linked to the upwelling of 'old' deep waters in the Southern Ocean and subsequent export as intermediate waters, which are coeval with the atmospheric CO2 rise. Moreover, a comparison of multiple proxy records for the last 30 kyr indicates a latitudinal shift and/or a change in the convection depth of intermediate waters in the Southern Ocean prior to the onset of the deglaciation. (C) 2013 Elsevier B.V. All rights reserved.</t>
  </si>
  <si>
    <t>[Pena, L. D.; Goldstein, S. L.; Hemming, S. R.; Jones, K. M.] Columbia Univ, Lamont Doherty Earth Observ, Palisades, NY 10964 USA; [Goldstein, S. L.; Hemming, S. R.; Jones, K. M.] Columbia Univ, Dept Earth &amp; Environm Sci, Palisades, NY 10964 USA; [Calvo, E.; Pelejero, C.] CSIC, Inst Ciencies del Mar, E-08003 Barcelona, Spain; [Pelejero, C.] ICREA, Barcelona 08010, Spain; [Cacho, I.] Univ Barcelona, Dept Estratig Paleontol &amp; Geociencies Marines, E-08028 Barcelona, Spain</t>
  </si>
  <si>
    <t>Columbia University; Columbia University; Consejo Superior de Investigaciones Cientificas (CSIC); CSIC - Centro Mediterraneo de Investigaciones Marinas y Ambientales (CMIMA); CSIC - Instituto de Ciencias del Mar (ICM); ICREA; University of Barcelona</t>
  </si>
  <si>
    <t>Pena, LD (corresponding author), Columbia Univ, Lamont Doherty Earth Observ, 61 Rt 9W, Palisades, NY 10964 USA.</t>
  </si>
  <si>
    <t>leopoldo@ldeo.columbia.edu</t>
  </si>
  <si>
    <t>Cacho, Isabel/H-4402-2013; Calvo, Eva/C-2618-2014; Cacho, Isabel/AAX-2610-2021; Pelejero, Carles/AAF-4550-2019; Pena, Leopoldo/B-8140-2013</t>
  </si>
  <si>
    <t>Cacho, Isabel/0000-0002-6512-0770; Calvo, Eva/0000-0003-3659-4499; Cacho, Isabel/0000-0002-6512-0770; Pelejero, Carles/0000-0002-7763-7769; Pena, Leopoldo/0000-0001-6414-6293; Goldstein, Steven L/0000-0001-7252-8064; Hemming, Sidney/0000-0001-8117-2303</t>
  </si>
  <si>
    <t>US National Science Foundation (NSF) [OCE-10-31198]; LDEO Climate Center; Spanish Ministerio de Ciencia e Innovacion [CTM2006-01957/MAR, CTM2009-08849/MAR]; Generalitat de Catalunya (Catalan Government) [2009SGR142]; Ramon y Cajal Contract; Storke Endowment of the Columbia University Department of Earth and Environmental Sciences; LDEO; US NSF; ICREA Funding Source: Custom; Division Of Ocean Sciences; Directorate For Geosciences [1031198] Funding Source: National Science Foundation</t>
  </si>
  <si>
    <t>US National Science Foundation (NSF)(National Science Foundation (NSF)); LDEO Climate Center; Spanish Ministerio de Ciencia e Innovacion(Instituto de Salud Carlos IIISpanish Government); Generalitat de Catalunya (Catalan Government)(Generalitat de Catalunya); Ramon y Cajal Contract(Spanish Government); Storke Endowment of the Columbia University Department of Earth and Environmental Sciences; LDEO; US NSF(National Science Foundation (NSF)); ICREA(ICREA); Division Of Ocean Sciences; Directorate For Geosciences(National Science Foundation (NSF)NSF - Directorate for Geosciences (GEO))</t>
  </si>
  <si>
    <t>We thank J.R Toggweiler and an anonymous reviewer for their valuable comments that led to marked improvement of this paper. L.D.P., S.L.G. and S.R.H. acknowledge support from US National Science Foundation (NSF) Grant OCE-10-31198, and the LDEO Climate Center. E.C., C.P., and I.C. acknowledge funding from the Spanish Ministerio de Ciencia e Innovacion through Grants CTM2006-01957/MAR and CTM2009-08849/MAR, from Generalitat de Catalunya (Catalan Government) through Grant 2009SGR142 and a Ramon y Cajal Contract (to E.C.). I.C. also thanks the Spanish GRACCIE CONSOLIDER (CSD2007-00067). S.L.G. acknowledges support from the Storke Endowment of the Columbia University Department of Earth and Environmental Sciences. L.D.P. was partly supported by a LDEO Postdoctoral Fellowship. This research used samples provided by the Ocean Drilling Program (ODP), which is sponsored by the US NSF and participating countries under management of Joint Oceanographic Institutions (JOI). This is LDEO Contribution number 7673.</t>
  </si>
  <si>
    <t>10.1016/j.epsl.2013.02.028</t>
  </si>
  <si>
    <t>WOS:000320087900003</t>
  </si>
  <si>
    <t>Jerez, S; Motas, M; Benzal, J; Diaz, J; Barbosa, A</t>
  </si>
  <si>
    <t>Jerez, Silvia; Motas, Miguel; Benzal, Jesus; Diaz, Julia; Barbosa, Andres</t>
  </si>
  <si>
    <t>Monitoring trace elements in Antarctic penguin chicks from South Shetland Islands, Antarctica</t>
  </si>
  <si>
    <t>Trace elements; Metals; Pollution; Antarctic penguin chicks; South Shetland Islands</t>
  </si>
  <si>
    <t>KING-GEORGE ISLAND; HEAVY-METAL CONTAMINATION; DECEPTION-ISLAND; TOXICOKINETIC MODELS; MARINE-ENVIRONMENT; MATERNAL TRANSFER; FEATHERS; LEAD; CADMIUM; ACCUMULATION</t>
  </si>
  <si>
    <t>The concentration of human activities in the near-shore ecosystems from the northern Antarctic Peninsula area can cause an increasing bioavailability of pollutants for the vulnerable Antarctic biota. Penguin chicks can reflect this potential impact in the rookeries during the breeding season. They also can reflect biomagnification phenomena since they are on the top of the Antarctic food chain. The concentrations of Al, Cr, Mn, Fe, Ni, Cu, Zn, As, Se, Cd and Pb were measured by ICP-MS in samples of liver, kidney, muscle, bone, feather and stomach content of gentoo, chinstrap and Adelie penguin chicks (n = 15 individuals) collected opportunistically in the Islands of King George and Deception (South Shetland Islands, Antarctica). The detected levels of some trace elements were not as low as it could be expected in the isolated Antarctic region. Penguin chicks can be useful indicators of trace elements abundance in the study areas. Capsule: Carcasses of Antarctic penguin chicks were used to evaluate the bioavailability of trace elements in the Islands of King George and Deception. (C) 2013 Elsevier Ltd. All rights reserved.</t>
  </si>
  <si>
    <t>[Jerez, Silvia; Motas, Miguel] Univ Murcia, Area Toxicol, Fac Vet, E-30100 Murcia, Spain; [Benzal, Jesus; Barbosa, Andres] CSIC, Estn Expt Zonas Aridas, Dept Ecol Func &amp; Evolut, La Canada De San Urbano 04120, Almeria, Spain; [Diaz, Julia] CCT La Plata CONICET UNLP, Ctr Estudios Parasitol &amp; Vectores, RA-1900 La Plata, Buenos Aires, Argentina; [Barbosa, Andres] CSIC, Museo Nacl Ciencias Nat, Dept Ecol Evolut, E-28006 Madrid, Spain</t>
  </si>
  <si>
    <t>University of Murcia; Consejo Superior de Investigaciones Cientificas (CSIC); CSIC - Estacion Experimental de Zonas Aridas (EEZA); National University of La Plata; Consejo Nacional de Investigaciones Cientificas y Tecnicas (CONICET); Consejo Superior de Investigaciones Cientificas (CSIC); CSIC - Museo Nacional de Ciencias Naturales (MNCN)</t>
  </si>
  <si>
    <t>Jerez, S (corresponding author), Univ Murcia, Area Toxicol, Fac Vet, Campus Espinardo, E-30100 Murcia, Spain.</t>
  </si>
  <si>
    <t>Benzal, Jesús/T-4555-2017; Motas, Miguel/L-3061-2014; Barbosa, Andrés/C-3208-2008; JEREZ, SILVIA/Q-8876-2016</t>
  </si>
  <si>
    <t>Spanish Ministry of Science and Innovation; European Regional Development Fund [CGL2004-01348, POL2006-05175, CGL2007-60369, CTM2011-24427]</t>
  </si>
  <si>
    <t>Spanish Ministry of Science and Innovation(Spanish Government); European Regional Development Fund(European Union (EU))</t>
  </si>
  <si>
    <t>We thank the Spanish polar ship Las Palmas, the Spanish Antarctic base Gabriel de Castilla, the Argentinean Antarctic base Carlini, the Instituto Antartico Argentino and the Maritime Technology Unit (CSIC) for providing logistic support. We also thank the Scientific Instrumentation Service (University of Murcia) and the Technological Instrumentation Service (Technical University of Cartagena) for their analytical support. Permissions to work in the study area were given by the Spanish Polar Committee. This study has been funded by the Spanish Ministry of Science and Innovation and the European Regional Development Fund projects CGL2004-01348, POL2006-05175, CGL2007-60369 and CTM2011-24427. This study is a contribution to the International Polar Year project 172 BirdHealth and to Pinguclim project.</t>
  </si>
  <si>
    <t>10.1016/j.marpolbul.2013.01.004</t>
  </si>
  <si>
    <t>136QB</t>
  </si>
  <si>
    <t>WOS:000318377400021</t>
  </si>
  <si>
    <t>Moore, MJ; van der Hoop, J; Barco, SG; Costidis, AM; Gulland, FM; Jepson, PD; Moore, KT; Raverty, S; McLellan, WA</t>
  </si>
  <si>
    <t>Moore, Michael J.; van der Hoop, Julie; Barco, Susan G.; Costidis, Alex M.; Gulland, Frances M.; Jepson, Paul D.; Moore, Kathleen T.; Raverty, Stephen; McLellan, William A.</t>
  </si>
  <si>
    <t>Criteria and case definitions for serious injury and death of pinnipeds and cetaceans caused by anthropogenic trauma</t>
  </si>
  <si>
    <t>Seal; Dolphin; Whale; Marine mammal; Entrapment; Entanglement; Vessel strike; Gunshot</t>
  </si>
  <si>
    <t>BOTTLE-NOSED DOLPHINS; ATLANTIC RIGHT WHALES; PORPOISES PHOCOENA-PHOCOENA; BEAKED COMMON DOLPHINS; ANTARCTIC FUR SEALS; MAN-MADE DEBRIS; HARBOR PORPOISES; DELPHINUS-DELPHIS; SHIP STRIKES; MEGAPTERA-NOVAEANGLIAE</t>
  </si>
  <si>
    <t>Post-mortem examination of dead and live stranded beach-cast pinnipeds and cetaceans for determination of a cause of death provides valuable information for the management, mitigation and prosecution of unintentional and sometimes malicious human impacts, such as vessel collision, fishing gear entanglement and gunshot. Delayed discovery, inaccessibility, logistics, human safety concerns, and weather make these events challenging. Over the past 3 decades, in response to public concern and federal and state or provincial regulations mandating such investigations to inform mitigation efforts, there has been an increasing effort to objectively and systematically investigate these strandings from a diagnostic and forensic perspective. This Theme Section provides basic investigative methods, and case definitions for each of the more commonly recognized case presentations of human interactions in pinnipeds and cetaceans. Wild animals are often adversely affected by factors such as parasitism, anthropogenic contaminants, biotoxins, subclinical microbial infections and competing habitat uses, such as prey depletion and elevated background and episodic noise. Understanding the potential contribution of these subclinical factors in predisposing or contributing to a particular case of trauma of human origin is hampered, especially where putrefaction is significant and resources as well as expertise are limited. These case criteria descriptions attempt to acknowledge those confounding factors to enable an appreciation of the significance of the observed human-derived trauma in that broader context where possible.</t>
  </si>
  <si>
    <t>[Moore, Michael J.; van der Hoop, Julie] Woods Hole Oceanog Inst, Woods Hole, MA 02543 USA; [Barco, Susan G.] Virginia Marine Aquarium &amp; Marine Sci Program, Virginia Beach, VA 23451 USA; [Costidis, Alex M.] Univ Florida, Coll Vet Med, Gainesville, FL 32610 USA; [Gulland, Frances M.] Marine Mammal Ctr, Sausalito, CA 94965 USA; [Jepson, Paul D.] Zool Soc London, Inst Zool, London NW1 4RY, England; [Moore, Kathleen T.] Internat Fund Anim Welf, Yarmouth Port, MA 02675 USA; [Raverty, Stephen] British Columbia Minist Agr, Abbotsford, BC V3G 2M3, Canada; [McLellan, William A.] Univ N Carolina, Wilmington, NC 28403 USA</t>
  </si>
  <si>
    <t>Woods Hole Oceanographic Institution; State University System of Florida; University of Florida; Zoological Society of London; University of North Carolina; University of North Carolina Wilmington</t>
  </si>
  <si>
    <t>Moore, MJ (corresponding author), Woods Hole Oceanog Inst, Woods Hole, MA 02543 USA.</t>
  </si>
  <si>
    <t>mmoore@whoi.edu</t>
  </si>
  <si>
    <t>Raverty, Stephen/AGE-7437-2022; Moore, Michael J./E-1707-2015; Bernaldo de Quiros, Yara/A-3628-2015</t>
  </si>
  <si>
    <t>Moore, Michael J./0000-0003-3074-6631; van der Hoop, Julie/0000-0003-2327-9000; Bernaldo de Quiros, Yara/0000-0002-2611-0406</t>
  </si>
  <si>
    <t>NOAA [NA09OAR4320129]</t>
  </si>
  <si>
    <t>NOAA(National Oceanic Atmospheric Admin (NOAA) - USA)</t>
  </si>
  <si>
    <t>This Theme Section resulted from a workshop on this topic held at the Woods Hole Oceanographic Institution, Woods Hole, MA 02543, USA, February 1/2, 2012. Such a document would not have been possible without the extraordinary efforts of a multitude of dedicated marine mammal stranding response personnel, and we sincerely thank them. Funded by NOAA Cooperative Agreement NA09OAR4320129. All images were taken under NOAA Permit No. 932-1905-001MA-009526, unless otherwise noted.</t>
  </si>
  <si>
    <t>APR 11</t>
  </si>
  <si>
    <t>10.3354/dao02566</t>
  </si>
  <si>
    <t>130RY</t>
  </si>
  <si>
    <t>WOS:000317938100006</t>
  </si>
  <si>
    <t>Persson, O; Dastidar, PG</t>
  </si>
  <si>
    <t>Persson, Olle; Dastidar, Prabir G.</t>
  </si>
  <si>
    <t>Citation analysis to reconstruct the dynamics of Antarctic ozone hole research and formulation of the Montreal Protocol</t>
  </si>
  <si>
    <t>Bibexcel; ozone hole; policy research; protocol; scientometrics; weighted direct citation</t>
  </si>
  <si>
    <t>[Persson, Olle] Umea Univ, Inforsk, S-90187 Umea, Sweden; [Dastidar, Prabir G.] Minist Earth Sci, New Delhi 110003, India</t>
  </si>
  <si>
    <t>Umea University; Ministry of Earth Sciences (MoES) - India</t>
  </si>
  <si>
    <t>Dastidar, PG (corresponding author), Minist Earth Sci, Lodi Rd, New Delhi 110003, India.</t>
  </si>
  <si>
    <t>prabirgd11@gmail.com</t>
  </si>
  <si>
    <t>Dastidar, Prabir G/A-4803-2014</t>
  </si>
  <si>
    <t>Dastidar, Prabir G/0000-0001-5871-6261</t>
  </si>
  <si>
    <t>APR 10</t>
  </si>
  <si>
    <t>133HG</t>
  </si>
  <si>
    <t>WOS:000318128900014</t>
  </si>
  <si>
    <t>Suparta, W; Abu Bakar, FN; Abdullah, M</t>
  </si>
  <si>
    <t>Suparta, Wayan; Abu Bakar, Faizatul Noor; Abdullah, Mardina</t>
  </si>
  <si>
    <t>Remote sensing of Antarctic ozone depletion using GPS meteorology</t>
  </si>
  <si>
    <t>INTERNATIONAL JOURNAL OF REMOTE SENSING</t>
  </si>
  <si>
    <t>PRECIPITABLE WATER-VAPOR; VARIABILITY; DECLINE; SPLIT; HOLE</t>
  </si>
  <si>
    <t>The Antarctic ozone depletion has been characterized for the first time using global positioning system (GPS) meteorology through atmospheric precipitable water vapour (PWV). Based on observations conducted during 2009 at four selected stations in Antarctica, the PWV showed a few significant high peaks, and their variations agreed very well with the physical properties of the surface temperature. The relative humidity variation was relatively flat, and the pressure trend tended to decrease from August, lasting until spring, probably reflecting the warming air column and the influence of lower latitude air over the stations. Throughout the ozone depletion period, the PWV variability has been marked low compared to that of the total column ozone (TCO). This implies that more water vapour condenses in cold temperatures to form clouds that could annihilate ozone in the stratosphere. Based on a detailed comparison of PWV with TCO variation, we confirmed that the effect of GPS signals on the PWV variability during periods of ozone depletion was strongest in the troposphere compared to the stratosphere because of the polar vortex.</t>
  </si>
  <si>
    <t>[Suparta, Wayan; Abu Bakar, Faizatul Noor; Abdullah, Mardina] Univ Kebangsaan Malaysia, Inst Space Sci ANGKASA, Bangi, Malaysia</t>
  </si>
  <si>
    <t>Universiti Kebangsaan Malaysia</t>
  </si>
  <si>
    <t>Suparta, W (corresponding author), Univ Kebangsaan Malaysia, Inst Space Sci ANGKASA, Bangi, Malaysia.</t>
  </si>
  <si>
    <t>wayan@ukm.my</t>
  </si>
  <si>
    <t>SUPARTA, WAYAN/K-3110-2013; Abdullah, Mardina/J-9781-2016</t>
  </si>
  <si>
    <t>SUPARTA, WAYAN/0000-0002-6193-1867; Abdullah, Mardina/0000-0003-0725-2852</t>
  </si>
  <si>
    <t>Ministry of Higher Education (MOHE) [UKM-LL-07-FRGS0211-2010]; Ministry of Science, Technology and Innovation (MOSTI) [PKT1/2003]; Academy of Sciences Malaysia [ANZ K141B]</t>
  </si>
  <si>
    <t>Ministry of Higher Education (MOHE)(Ministry of Higher Education &amp; Scientific Research (MHESR)); Ministry of Science, Technology and Innovation (MOSTI)(Ministry of Energy, Science, Technology, Environment and Climate Change (MESTECC), Malaysia); Academy of Sciences Malaysia</t>
  </si>
  <si>
    <t>This work was supported by the Ministry of Higher Education (MOHE) under grants UKM-LL-07-FRGS0211-2010 and Ministry of Science, Technology and Innovation (MOSTI) under PKT1/2003. The author would like to express gratitude to the Academy of Sciences Malaysia under ANZ K141B grant, the managerial staff and science technicians of Antarctica New Zealand (ANZ) for their full support and kind hospitality at Scott Base Antarctica and Andrew R. Harper at the National Institute of Water and Atmospheric Research Ltd., New Zealand (NIWA) for supporting the surface meteorological data. We are also grateful to the SOPAC for the GPS data archives, the British Antarctic Survey (BAS) for the meteorology data archives, and the World Ozone and Ultraviolet Radiation Data Centre (WOUDC) for the ozone data archives. We would like to thank the two anonymous reviewers for providing us with constructive comments and suggestions.</t>
  </si>
  <si>
    <t>0143-1161</t>
  </si>
  <si>
    <t>1366-5901</t>
  </si>
  <si>
    <t>INT J REMOTE SENS</t>
  </si>
  <si>
    <t>Int. J. Remote Sens.</t>
  </si>
  <si>
    <t>10.1080/01431161.2012.746485</t>
  </si>
  <si>
    <t>Remote Sensing; Imaging Science &amp; Photographic Technology</t>
  </si>
  <si>
    <t>100SJ</t>
  </si>
  <si>
    <t>WOS:000315722200016</t>
  </si>
  <si>
    <t>Gupta, AK; Singh, RK; Verma, S</t>
  </si>
  <si>
    <t>Gupta, Anil K.; Singh, Raj K.; Verma, Swati</t>
  </si>
  <si>
    <t>Deep-sea palaeoceanographic evolution of the eastern Indian Ocean during the late Oligocene-Pleistocene: species diversity trends in benthic foraminifera</t>
  </si>
  <si>
    <t>Benthic foraminifera; palaeoceanography; species diversity; water mass stratification</t>
  </si>
  <si>
    <t>CARBON ISOTOPE STRATIGRAPHY; MIOCENE OXYGEN; CLIMATE-CHANGE; NEOGENE; PRODUCTIVITY; BIODIVERSITY; MA; ZOOPLANKTON; CIRCULATION; VENTILATION</t>
  </si>
  <si>
    <t>Latest Oligocene-Pleistocene deep sea benthic foraminiferal species diversity parameters, including information function (H), equitability (E) and number of species (S) were analysed at Deep Sea Drilling Project sites 214 and 216 and Ocean Drilling Program holes 758A, 757B, 756B and 752A, presently located between 30.53 degrees S and 5.23 degrees N at lower bathyal to abyssal depths, in the eastern Indian Ocean. The values of these parameters have enabled us to understand deep-sea palaeoceanographic changes in the eastern Indian Ocean during the studied interval. The major changes In diversity parameters show close linkages to changes in the location of sites/holes, water mass stratification, productivity and high-latitude glaciations. Major Antarctic glaciations and intensification of the Indian Ocean oxygen minimum zone appear to have impacted deep-sea benthic foraminiferal diversity during the middle Miocene-early Pliocene. The water mass stratification in the eastern Indian Ocean appears to have intensified at similar to 17 Ma and peaked at similar to 12 Ma. The number of species, in general, is higher at low-latitude hole 758A and lower at high-latitude hole 756B, supporting the earlier hypothesis that S has an inverse relation with the latitudes.</t>
  </si>
  <si>
    <t>[Gupta, Anil K.; Verma, Swati] Indian Inst Technol, Dept Geol &amp; Geophys, Kharagpur 721302, W Bengal, India; [Gupta, Anil K.; Singh, Raj K.] Wadia Inst Himalayan Geol, Dehra Dun 248001, Uttar Pradesh, India</t>
  </si>
  <si>
    <t>anilg@wihg.res.in</t>
  </si>
  <si>
    <t>SINGH, RAJ K./ABE-4793-2021; SINGH, RAJ K./HGE-7393-2022; Verma, Swati/AAJ-7538-2021; Verma, Swati/KCK-1267-2024</t>
  </si>
  <si>
    <t>DST, New Delhi [ESS/CA/A-16/94]; CSIR, New Delhi [24(0256)/02/EMR-II]</t>
  </si>
  <si>
    <t>DST, New Delhi(Department of Science &amp; Technology (India)); CSIR, New Delhi(Council of Scientific &amp; Industrial Research (CSIR) - India)</t>
  </si>
  <si>
    <t>We thank the Ocean Drilling Program for providing samples for the present study. This study was supported by funds to A.K.G. by DST, New Delhi (ESS/CA/A-16/94) to R.K.S. by CSIR, New Delhi (24(0256)/02/EMR-II) to S.V. by IIT, Kharagpur as part of M.Tech. dissertation. We thank D. K. Sinha and A. K. Rai for their constructive comments that helped improve the manuscript.</t>
  </si>
  <si>
    <t>WOS:000318128900021</t>
  </si>
  <si>
    <t>Luan, BW; Shan, B; Baiz, C; Tokmakoff, A; Raleigh, DP</t>
  </si>
  <si>
    <t>Luan, Bowu; Shan, Bing; Baiz, Carlos; Tokmakoff, Andrei; Raleigh, Daniel P.</t>
  </si>
  <si>
    <t>Cooperative Cold Denaturation: The Case of the C-Terminal Domain of Ribosomal Protein L9</t>
  </si>
  <si>
    <t>LOW-TEMPERATURE; STATE ENSEMBLE; ANTARCTIC FISH; YEAST FRATAXIN; STABILITY; SCATTERING; UBIQUITIN; DYNAMICS; COMPACT; SYSTEM</t>
  </si>
  <si>
    <t>Cold denaturation is a general property of globular proteins, but it is difficult to directly characterize because the transition temperature of protein cold denaturation, T-c, is often below the freezing point of water. As a result, studies of protein cold denaturation are often facilitated by addition of denaturants, using destabilizing pHs or extremes of pressure, or reverse micelle encapsulation, and there are few studies of cold-induced unfolding under near native conditions. The thermal and denaturant-induced unfolding of single-domain proteins is usually cooperative, but the cooperativity of cold denaturation is controversial. The issue is of both fundamental and practical importance because cold unfolding may reveal information about otherwise inaccessible partially unfolded states and because many therapeutic proteins need to be stabilized against cold unfolding. It is thus desirable to obtain more information about the process under nonperturbing conditions. The ability to access cold denaturation in native buffer is also very useful for characterizing protein thermodynamics, especially when other methods are not applicable. In this work, we study a point mutant of the C-terminal domain of ribosomal protein L9 (CTL9), which has a T-c above 0 degrees C. The mutant was designed to allow the study of cold denaturation under near native conditions. The cold denaturation process of I98A CTL9 was characterized by nuclear magnetic resonance, circular dichroism, and Fourier transform infrared spectroscopy. The results are consistent with apparently cooperative, two-state cold unfolding. Small-angle X-ray scattering studies show that the unfolded state expands as the temperature is lowered.</t>
  </si>
  <si>
    <t>[Luan, Bowu; Shan, Bing; Raleigh, Daniel P.] SUNY Stony Brook, Dept Chem, Stony Brook, NY 11794 USA; [Baiz, Carlos; Tokmakoff, Andrei] MIT, Dept Chem, Cambridge, MA 02139 USA; [Raleigh, Daniel P.] SUNY Stony Brook, Grad Program Biochem &amp; Struct Biol, Stony Brook, NY 11794 USA; [Raleigh, Daniel P.] SUNY Stony Brook, Grad Program Biophys, Stony Brook, NY 11794 USA</t>
  </si>
  <si>
    <t>State University of New York (SUNY) System; State University of New York (SUNY) Stony Brook; Massachusetts Institute of Technology (MIT); State University of New York (SUNY) System; State University of New York (SUNY) Stony Brook; State University of New York (SUNY) System; State University of New York (SUNY) Stony Brook</t>
  </si>
  <si>
    <t>Raleigh, DP (corresponding author), SUNY Stony Brook, Dept Chem, Stony Brook, NY 11794 USA.</t>
  </si>
  <si>
    <t>daniel.raleigh@stonybrook.edu</t>
  </si>
  <si>
    <t>Shan, Bing/G-5460-2011</t>
  </si>
  <si>
    <t>raleigh, daniel/0000-0003-3248-7493</t>
  </si>
  <si>
    <t>National Science Foundation [MCB-0919860, CHE-1212557]; U.S. Department of Energy, Office of Science, Office of Basic Energy Sciences [DE-AC02-98CH10886]; Direct For Biological Sciences; Div Of Molecular and Cellular Bioscience [0919860] Funding Source: National Science Foundation; Direct For Mathematical &amp; Physical Scien; Division Of Chemistry [1212557] Funding Source: National Science Foundation; Division Of Chemistry; Direct For Mathematical &amp; Physical Scien [1414486] Funding Source: National Science Foundation</t>
  </si>
  <si>
    <t>National Science Foundation(National Science Foundation (NSF)); U.S. Department of Energy, Office of Science, Office of Basic Energy Sciences(United States Department of Energy (DOE)); Direct For Biological Sciences; Div Of Molecular and Cellular Bioscience(National Science Foundation (NSF)NSF - Directorate for Biological Sciences (BIO)); Direct For Mathematical &amp; Physical Scien; Division Of Chemistry(National Science Foundation (NSF)NSF - Directorate for Mathematical &amp; Physical Sciences (MPS)); Division Of Chemistry; Direct For Mathematical &amp; Physical Scien(National Science Foundation (NSF)NSF - Directorate for Mathematical &amp; Physical Sciences (MPS))</t>
  </si>
  <si>
    <t>Supported by National Science Foundation Grants MCB-0919860 to D.P.R. and CHE-1212557 to A.T.; We thank Dr. Vadim Patsalo for helpful discussions and performing the SVD analysis of the far-UV CD data and Dr. Marc Allaire for the help of SAXS experiments. Use of the National Synchrotron Light Source, Brookhaven National Laboratory, was supported by the U.S. Department of Energy, Office of Science, Office of Basic Energy Sciences, under Contract DE-AC02-98CH10886.</t>
  </si>
  <si>
    <t>APR 9</t>
  </si>
  <si>
    <t>10.1021/bi3016789</t>
  </si>
  <si>
    <t>124BJ</t>
  </si>
  <si>
    <t>WOS:000317438500003</t>
  </si>
  <si>
    <t>Cohuo-Durán, S; Elías-Gutiérrez, M; Karanovic, I</t>
  </si>
  <si>
    <t>Cohuo-Duran, Sergio; Elias-Gutierrez, Manuel; Karanovic, Ivana</t>
  </si>
  <si>
    <t>On three new species of Cypretta Vavra, 1895 (Crustacea: Ostracoda) from the Yucatan Peninsula, Mexico</t>
  </si>
  <si>
    <t>Biodiversity; Zoogeography; Systematics; Freshwater Ostracods</t>
  </si>
  <si>
    <t>FRESH-WATER OSTRACODS</t>
  </si>
  <si>
    <t>Three new species of the genus Cypretta Vavra, 1985 are described from Southern Mexico, representing the first record of the genus in the country. Cypretta campechensis n. sp. is closely related to Florida and North Carolina species such as C. nigra Furtos, 1936, C. brevisaepta Furtos, 1934 and C. bilicis Furtos, 1936. Cypretta spinosa n. sp. is related to the North and South American species C. intonsa Furtos, 1936 and C. vivacis Wurdig &amp; Pinto, 1993, but also to some Australian and South-East Asian Islands ones, such as C. obfuscata Victor &amp; Fernando, 1981 and C. raciborskii (Grochmalicki, 1915). The last species described herein, Cypretta maya n. sp., is closely related to the South-East Asia islands, Australian and north Indian species, in particular to C. hirsuta Henry, 1923, C. longidactyla Victor &amp; Fernando, 1981, and C. patialensis Battish, 1982.</t>
  </si>
  <si>
    <t>[Cohuo-Duran, Sergio] Univ Nacl Autonoma Mexico, Mexico City 04510, DF, Mexico; [Elias-Gutierrez, Manuel] Colegio Frontera Sur, Chetmal 77014, Quintana Roo, Mexico; [Karanovic, Ivana] Univ Tasmania, Inst Marine &amp; Antarctic Studies, Hobart, Tas 7001, Australia</t>
  </si>
  <si>
    <t>Universidad Nacional Autonoma de Mexico; El Colegio de la Frontera Sur (ECOSUR); University of Tasmania</t>
  </si>
  <si>
    <t>Elías-Gutiérrez, M (corresponding author), Colegio Frontera Sur, Av Centenario Km 5-5, Chetmal 77014, Quintana Roo, Mexico.</t>
  </si>
  <si>
    <t>Sergiocd@comunidad.unam.mx; melias@ecosur.mx; Ivana.Karanovic@utas.edu.au</t>
  </si>
  <si>
    <t>Elias-Gutierrez, Manuel/A-8952-2013</t>
  </si>
  <si>
    <t>Elias-Gutierrez, Manuel/0000-0003-2562-4584; Cohuo, Sergio/0000-0002-7826-5303</t>
  </si>
  <si>
    <t>CONACYT; Mexican Barcode of Life (MEXBOL) network</t>
  </si>
  <si>
    <t>CONACYT(Consejo Nacional de Ciencia y Tecnologia (CONACyT)); Mexican Barcode of Life (MEXBOL) network</t>
  </si>
  <si>
    <t>This work is part of the M.Sc. thesis at Posgrado en Ciencias del Mar y Limnologia in the Universidad Nacional Autonoma de Mexico of the first author funded by a CONACYT fellowship. Patricia Quiroz-Vazquez assisted with field collections. The research was carried out to solve the taxonomical part of the Mexican Barcode of Life (MEXBOL) network, which partially funded a visit for the first author to the Laboratory of Biodiversity, Department of Life Sciences, Hanyang University, Seoul. We also thank Dr. Wonchoel Lee for his hospitality and for providing the laboratory space.</t>
  </si>
  <si>
    <t>APR 8</t>
  </si>
  <si>
    <t>10.11646/zootaxa.3636.4.1</t>
  </si>
  <si>
    <t>119KW</t>
  </si>
  <si>
    <t>WOS:000317097200001</t>
  </si>
  <si>
    <t>Leray, M; Agudelo, N; Mills, SC; Meyer, CP</t>
  </si>
  <si>
    <t>Leray, Matthieu; Agudelo, Natalia; Mills, Suzanne C.; Meyer, Christopher P.</t>
  </si>
  <si>
    <t>Effectiveness of Annealing Blocking Primers versus Restriction Enzymes for Characterization of Generalist Diets: Unexpected Prey Revealed in the Gut Contents of Two Coral Reef Fish Species</t>
  </si>
  <si>
    <t>POLYMERASE-CHAIN-REACTION; SECONDARY PREDATION; ANTARCTIC KRILL; DNA-SEQUENCES; PCR; AMPLIFICATION; IDENTIFICATION; DIVERSITY; IDENTIFY; TRACKING</t>
  </si>
  <si>
    <t>Characterization of predator-prey interactions is challenging as researchers have to rely on indirect methods that can be costly, biased and too imprecise to elucidate the complexity of food webs. DNA amplification and sequencing techniques of gut and fecal contents are promising approaches, but their success largely depends on the ability to amplify the taxonomic array of prey consumed and then match prey amplicons with reference sequences. When little a priori information on diet is available or a generalist predator is targeted, versatile primer sets (also referred to as universal or general primers) as opposed to group- or species-specific primer sets are the most powerful to unveil the full range of prey consumed. However, versatile primers are likely to preferentially amplify the predominant, less degraded predator DNA if no manipulation is performed to exclude this confounding DNA template. In this study we compare two approaches that eliminate the confounding predator template: restriction digestion and the use of annealing blocking primers. First, we use a preliminary DNA barcode library provided by the Moorea BIOCODE project to 1) evaluate the cutting frequency of commercially available restriction enzymes and 2) design predator specific annealing blocking primers. We then compare the performance of the two predator removal strategies for the detection of prey templates using two versatile primer sets from the gut contents of two generalist coral reef fish species sampled in Moorea. Our study demonstrates that blocking primers should be preferentially used over restriction digestion for predator DNA removal as they recover greater prey diversity. We also emphasize that a combination of versatile primers may be required to best represent the breadth of a generalist's diet.</t>
  </si>
  <si>
    <t>[Leray, Matthieu; Mills, Suzanne C.] Univ Perpignan, CBETM, USR CRIOBE CNRS EPHE 3278, Lab Excellence Corail, F-66025 Perpignan, France; [Leray, Matthieu; Agudelo, Natalia; Meyer, Christopher P.] Smithsonian Inst, Natl Museum Nat Hist, Dept Invertebrate Zool, Washington, DC 20560 USA</t>
  </si>
  <si>
    <t>Universite Perpignan Via Domitia; Smithsonian Institution; Smithsonian National Museum of Natural History</t>
  </si>
  <si>
    <t>Leray, M (corresponding author), Univ Perpignan, CBETM, USR CRIOBE CNRS EPHE 3278, Lab Excellence Corail, F-66025 Perpignan, France.</t>
  </si>
  <si>
    <t>leray.upmc@gmail.com</t>
  </si>
  <si>
    <t>Mills, Suzanne/K-5538-2012</t>
  </si>
  <si>
    <t>Mills, Suzanne/0000-0001-8948-3384; Leray, Matthieu/0000-0002-7327-1878; Meyer, Christopher/0000-0003-2501-7952</t>
  </si>
  <si>
    <t>Gordon and Betty Moore Foundation; Smithsonian Institution Fellowship Program; France American Cultural Exchange program (FACE - puf)</t>
  </si>
  <si>
    <t>Gordon and Betty Moore Foundation(Gordon and Betty Moore Foundation); Smithsonian Institution Fellowship Program(Smithsonian InstitutionSmithsonian National Museum of Natural History); France American Cultural Exchange program (FACE - puf)</t>
  </si>
  <si>
    <t>This work was funded by the Gordon and Betty Moore Foundation, Smithsonian Institution Fellowship Program and France American Cultural Exchange program (FACE - puf). The funders had no role in study design, data collection and analysis, decision to publish, or preparation of the manuscript.</t>
  </si>
  <si>
    <t>e58076</t>
  </si>
  <si>
    <t>10.1371/journal.pone.0058076</t>
  </si>
  <si>
    <t>130FG</t>
  </si>
  <si>
    <t>WOS:000317898000002</t>
  </si>
  <si>
    <t>McCormick, ML; Seraichick, AD; Bucceri, EM; Huebner, EJ; Shimizu, M; Antonopoulos, DA; Koval, JC; Cape, M; Vernet, M; Grange, L; Smith, CR; Domack, E; Leventer, A</t>
  </si>
  <si>
    <t>McCormick, Michael L.; Seraichick, Andrew D.; Bucceri, Elizabeth M.; Huebner, Elizabeth J.; Shimizu, Megumi; Antonopoulos, Dionysios A.; Koval, Jason C.; Cape, Mattias; Vernet, Maria; Grange, Laura; Smith, Craig R.; Domack, Eugene; Leventer, Amy</t>
  </si>
  <si>
    <t>Impact of ice-shelf loss on geochemical profiles and microbial community composition in marine sediments of the Larsen A embayment, Antarctic Peninsula</t>
  </si>
  <si>
    <t>ABSTRACTS OF PAPERS OF THE AMERICAN CHEMICAL SOCIETY</t>
  </si>
  <si>
    <t>245th National Spring Meeting of the American-Chemical-Society (ACS)</t>
  </si>
  <si>
    <t>APR 07-11, 2013</t>
  </si>
  <si>
    <t>New Orleans, LA</t>
  </si>
  <si>
    <t>[McCormick, Michael L.; Seraichick, Andrew D.; Bucceri, Elizabeth M.; Huebner, Elizabeth J.] Hamilton Coll, Clinton, NY 13323 USA; [Shimizu, Megumi] Duke Univ, Nicholas Sch Environm, Marine Lab, Beaufort, NC 28516 USA; [Antonopoulos, Dionysios A.; Koval, Jason C.] Argonne Natl Lab, Inst Genom &amp; Syst Biol, Argonne, IL 60439 USA; [Cape, Mattias; Vernet, Maria] Univ Calif San Diego, Scripps Inst Oceanog, Integrat Oceanog Div, La Jolla, CA 92093 USA; [Grange, Laura; Smith, Craig R.] Univ Hawaii, Dept Oceanog, Honolulu, HI 96822 USA; [Domack, Eugene] Hamilton Coll, Dept Geosci, Clinton, NY 13323 USA; [Leventer, Amy] Colgate Univ, Dept Geol, Hamilton, NY 13346 USA</t>
  </si>
  <si>
    <t>Hamilton College; Duke University; United States Department of Energy (DOE); Argonne National Laboratory; University of California System; University of California San Diego; Scripps Institution of Oceanography; University of Hawaii System; Hamilton College; Colgate University</t>
  </si>
  <si>
    <t>mmccormi@hamilton.edu</t>
  </si>
  <si>
    <t>Cape, Mattias/KCK-4444-2024; McCormick, Michael L/A-2308-2008; Antonopoulos, Dionysios/ABE-6212-2020</t>
  </si>
  <si>
    <t>Antonopoulos, Dionysios/0000-0002-2238-5031</t>
  </si>
  <si>
    <t>0065-7727</t>
  </si>
  <si>
    <t>ABSTR PAP AM CHEM S</t>
  </si>
  <si>
    <t>Abstr. Pap. Am. Chem. Soc.</t>
  </si>
  <si>
    <t>APR 7</t>
  </si>
  <si>
    <t>329-ENVR</t>
  </si>
  <si>
    <t>Chemistry, Multidisciplinary</t>
  </si>
  <si>
    <t>216SF</t>
  </si>
  <si>
    <t>WOS:000324303600164</t>
  </si>
  <si>
    <t>McElhoney, KM; Kounaves, SP</t>
  </si>
  <si>
    <t>McElhoney, Kyle M.; Kounaves, Samuel P.</t>
  </si>
  <si>
    <t>Effect of leaching parameters on soluble inorganic ionic species in Antarctic soil</t>
  </si>
  <si>
    <t>[McElhoney, Kyle M.; Kounaves, Samuel P.] Tufts Univ, Dept Chem, Medford, MA 02155 USA</t>
  </si>
  <si>
    <t>kyle.mcelhoney@tufts.edu</t>
  </si>
  <si>
    <t>78-GEOC</t>
  </si>
  <si>
    <t>WOS:000324303600520</t>
  </si>
  <si>
    <t>Pearce, F</t>
  </si>
  <si>
    <t>Pearce, Fred</t>
  </si>
  <si>
    <t>Antarctic ice grows as climate warms</t>
  </si>
  <si>
    <t>APR 6</t>
  </si>
  <si>
    <t>123GV</t>
  </si>
  <si>
    <t>WOS:000317377300010</t>
  </si>
  <si>
    <t>LaRue, MA; Ainley, DG; Swanson, M; Dugger, KM; Lyver, PO; Barton, K; Ballard, G</t>
  </si>
  <si>
    <t>LaRue, Michelle A.; Ainley, David G.; Swanson, Matt; Dugger, Katie M.; Lyver, Phil O'B.; Barton, Kerry; Ballard, Grant</t>
  </si>
  <si>
    <t>Climate Change Winners: Receding Ice Fields Facilitate Colony Expansion and Altered Dynamics in an Adelie Penguin Metapopulation</t>
  </si>
  <si>
    <t>ANTARCTIC PENINSULA; SOUTHERN-OCEAN; ROSS SEA; PYGOSCELIS-ADELIAE; POPULATION; SIZE; SURVIVAL; MODELS</t>
  </si>
  <si>
    <t>There will be winners and losers as climate change alters the habitats of polar organisms. For an Adelie penguin (Pygoscelis adeliae) colony on Beaufort Island (Beaufort), part of a cluster of colonies in the southern Ross Sea, we report a recent population increase in response to increased nesting habitat as glaciers have receded. Emigration rates of birds banded as chicks on Beaufort to colonies on nearby Ross Island decreased after 2005 as available habitat on Beaufort increased, leading to altered dynamics of the metapopulation. Using aerial photography beginning in 1958 and modern satellite imagery, we measured change in area of available nesting habitat and population size of the Beaufort colony. Population size varied with available habitat, and both increased rapidly since the 1990s. In accord with glacial retreat, summer temperatures at nearby McMurdo Station increased by similar to 0.50 degrees C per decade since the mid-1980s. Although the Ross Sea is likely to be the last ocean with an intact ecosystem, the recent retreat of ice fields at Beaufort that resulted in increased breeding habitat exemplifies a process that has been underway in the Ross Sea during the entire Holocene. Furthermore, our results are in line with predictions that major ice shelves and glaciers will retreat rapidly elsewhere in the Antarctic, potentially leading to increased breeding habitat for Adelie penguins. Results further indicated that satellite imagery may be used to estimate large changes in Adelie penguin populations, facilitating our understanding of metapopulation dynamics and environmental factors that influence regional populations.</t>
  </si>
  <si>
    <t>[LaRue, Michelle A.; Swanson, Matt] Univ Minnesota, Dept Earth Sci, Polar Geospatial Ctr, St Paul, MN 55108 USA; [Ainley, David G.] HT Harvey &amp; Associates, Los Gatos, CA USA; [Dugger, Katie M.] Oregon State Univ, Dept Fisheries &amp; Wildlife, Oregon Cooperat Fish &amp; Wildlife Res Unit, US Geol Survey, Corvallis, OR 97331 USA; [Lyver, Phil O'B.] Landcare Res, Lincoln, New Zealand; [Barton, Kerry] Bartonk Solut, Nelson, New Zealand; [Ballard, Grant] PRBO Conservat Sci, Petaluma, CA USA</t>
  </si>
  <si>
    <t>University of Minnesota System; University of Minnesota Twin Cities; United States Department of the Interior; United States Geological Survey; Oregon State University; Landcare Research - New Zealand</t>
  </si>
  <si>
    <t>LaRue, MA (corresponding author), Univ Minnesota, Dept Earth Sci, Polar Geospatial Ctr, St Paul, MN 55108 USA.</t>
  </si>
  <si>
    <t>larue010@umn.edu</t>
  </si>
  <si>
    <t>National Science Foundation [ANT-1043681, ANT-0944411, ANT-0440643]; New Zealand's Ministry for Business, Innovation and Employment [C09X0510, C01X0505, C01X1001]; Helicopters NZ; NZ Defense Force (Squadron 40); Directorate For Geosciences; Office of Polar Programs (OPP) [0944358, 0944411] Funding Source: National Science Foundation</t>
  </si>
  <si>
    <t>National Science Foundation(National Science Foundation (NSF)); New Zealand's Ministry for Business, Innovation and Employment(New Zealand Ministry of Business, Innovation and Employment (MBIE)); Helicopters NZ; NZ Defense Force (Squadron 40); Directorate For Geosciences; Office of Polar Programs (OPP)(National Science Foundation (NSF)NSF - Directorate for Geosciences (GEO))</t>
  </si>
  <si>
    <t>This work was supported by the National Science Foundation (ANT-1043681, ANT-0944411, ANT-0440643) and New Zealand's Ministry for Business, Innovation and Employment (C09X0510, C01X0505, C01X1001). PRBO contribution # 1926. The funders had no role in study design, data collection and analysis, decision to publish, or preparation of the manuscript.; Field logistics were provided by the US Antarctic Program, and for the New Zealand team by Antarctica New Zealand, supported by Helicopters NZ and the NZ Defense Force (Squadron 40). We thank C. Kelleher for creating the location map, and J. Pundsack for reviewing previous drafts of this manuscript. The Polar Geospatial Center facilitated the use of imagery for analysis. All penguin survey, capture and handling methods performed during data collection for this study were approved under appropriate ACA permits and by Oregon State University's Institutional Animal Care and Use Committee (ACUP # 3049, 3672, 4130). The use of trade names or products does not constitute endorsement by the U.S. Government.</t>
  </si>
  <si>
    <t>APR 3</t>
  </si>
  <si>
    <t>e60568</t>
  </si>
  <si>
    <t>10.1371/journal.pone.0060568</t>
  </si>
  <si>
    <t>143BA</t>
  </si>
  <si>
    <t>WOS:000318840100085</t>
  </si>
  <si>
    <t>Reid, T; Hindell, M; Lavers, JL; Wilcox, C</t>
  </si>
  <si>
    <t>Reid, Tim; Hindell, Mark; Lavers, Jennifer L.; Wilcox, Chris</t>
  </si>
  <si>
    <t>Re-Examining Mortality Sources and Population Trends in a Declining Seabird: Using Bayesian Methods to Incorporate Existing Information and New Data</t>
  </si>
  <si>
    <t>FLESH-FOOTED SHEARWATERS; PUFFINUS-CARNEIPES; LONGLINE FISHERY; BYCATCH; ISLAND; IMPACT; TUNA</t>
  </si>
  <si>
    <t>The population of flesh-footed shearwaters (Puffinus carneipes) breeding on Lord Howe Island was shown to be declining from the 1970's to the early 2000's. This was attributed to destruction of breeding habitat and fisheries mortality in the Australian Eastern Tuna and Billfish Fishery. Recent evidence suggests these impacts have ceased; presumably leading to population recovery. We used Bayesian statistical methods to combine data from the literature with more recent, but incomplete, field data to estimate population parameters and trends. This approach easily accounts for sources of variation and uncertainty while formally incorporating data and variation from different sources into the estimate. There is a 70% probability that the flesh-footed shearwater population on Lord Howe continued to decline during 2003-2009, and a number of possible reasons for this are suggested. During the breeding season, road-based mortality of adults on Lord Howe Island is likely to result in reduced adult survival and there is evidence that breeding success is negatively impacted by marine debris. Interactions with fisheries on flesh-footed shearwater winter grounds should be further investigated.</t>
  </si>
  <si>
    <t>[Reid, Tim; Hindell, Mark; Lavers, Jennifer L.] Univ Tasmania, Inst Marine &amp; Antarctic Studies, Sandy Bay, Tas, Australia; [Reid, Tim; Lavers, Jennifer L.; Wilcox, Chris] Commonwealth Sci &amp; Ind Res Org Marine &amp; Atmospher, Wealth Oceans Natl Flagship, Hobart, Tas, Australia</t>
  </si>
  <si>
    <t>Reid, T (corresponding author), Univ Cape Town, Percy Fitzpatrick Inst African Ornithol, ZA-7700 Rondebosch, South Africa.</t>
  </si>
  <si>
    <t>treid@utas.edu.au</t>
  </si>
  <si>
    <t>Lavers, Jennifer/O-4831-2017; Hindell, Mark A/K-1131-2013; Fennell, Hannah/AAI-1408-2019; Lavers, Jennifer/IWM-5417-2023</t>
  </si>
  <si>
    <t>Lavers, Jennifer/0000-0001-7596-6588; Hindell, Mark/0000-0002-7823-7185</t>
  </si>
  <si>
    <t>Australian Government Postgraduates Award; University of Tasmania; CSIRO; Commonwealth Environment Research Facilities Programme; Government of Australia Endeavour Research Fellowship; Gould League of NSW Centenary Cayley Memorial Scholarship; Department of Environment, Water, Heritage and Arts</t>
  </si>
  <si>
    <t>Australian Government Postgraduates Award(Australian Government); University of Tasmania; CSIRO(Commonwealth Scientific &amp; Industrial Research Organisation (CSIRO)); Commonwealth Environment Research Facilities Programme; Government of Australia Endeavour Research Fellowship(Australian GovernmentDepartment of Industry, Innovation and Science); Gould League of NSW Centenary Cayley Memorial Scholarship; Department of Environment, Water, Heritage and Arts</t>
  </si>
  <si>
    <t>This work was funded by Australian Government Postgraduates Award and a joint University of Tasmania and CSIRO scholarship. Funding for J.L.L. was provided by the Commonwealth Environment Research Facilities Programme, Government of Australia Endeavour Research Fellowship, and a Gould League of NSW Centenary 2010 Cayley Memorial Scholarship. CSIRO and the Department of Environment, Water, Heritage and Arts supplied additional funding. The funders had no role in study design, data collection and analysis, decision to publish, or preparation of the manuscript.</t>
  </si>
  <si>
    <t>e58230</t>
  </si>
  <si>
    <t>10.1371/journal.pone.0058230</t>
  </si>
  <si>
    <t>WOS:000318840100008</t>
  </si>
  <si>
    <t>Ding, X; Wang, XM; Xie, ZQ; Zhang, Z; Sun, LG</t>
  </si>
  <si>
    <t>Ding, Xiang; Wang, Xinming; Xie, Zhouqing; Zhang, Zhou; Sun, Liguang</t>
  </si>
  <si>
    <t>Impacts of Siberian Biomass Burning on Organic Aerosols over the North Pacific Ocean and the Arctic: Primary and Secondary Organic Tracers</t>
  </si>
  <si>
    <t>2-METHYLGLYCERIC ACID; SOURCE APPORTIONMENT; PARTICULATE MATTER; ALPHA-PINENE; CARBON; ISOPRENE; PHOTOOXIDATION; EMISSIONS; LEVOGLUCOSAN; HYDROCARBONS</t>
  </si>
  <si>
    <t>During the 2003 Chinese Arctic Research Expedition (CHINARE2003) from the Bohai Sea to the high Arctic (37 degrees N-80 degrees N), filter-based particle samples were collected and analyzed for tracers of primary and secondary organic aerosols (SOA) as well as water-soluble organic carbon (WSOC). Biomass burning (BB) tracer levoglucosan had comparatively much higher summertime average levels (476 +/- 367pg/m(3)) during our cruise due to the influence of intense forest fires then in Siberia. On the basis of 5-day back trajectories, samples with air masses passing through Siberia had organic tracers 1.3-4.4 times of those with air masses transporting only over the oceans, suggesting substantial contribution of continental emissions to organic aerosols in the marine atmosphere. SOA tracers from anthropogenic aromatics were negligible or not detected, while those from biogenic terpenenoids were ubiquitously observed with the sum of SOA tracers from isoprene (623 +/- 414pg/m(3)) 1 order of magnitude higher than that from monoterpenes (63 +/- 49 pg/m(3)). 2-Methylglyceric acid as a product of isoprene oxidation under high-NOx conditions was dominant among SOA tracers, implying that these BSOA tracers were not formed over the oceans but mainly transported from the adjacent Siberia where a high-NOx environment could be induced by intense forest fires. The carbon fractions shared by biogenic SOA tracers and levoglucosan in WSOC in our ocean samples were 1-2 orders of magnitude lower than those previously reported in continental samples, BB emissions or chamber simulation samples, largely due to the chemical evolution of organic tracers during transport. As a result of the much faster decline in levels of organic tracers than that of WSOC during transport, the trace-based approach, which could well reconstruct WSOC using biogenic SOA and BB tracers for continental samples, only explained similar to 4% of measured WSOC during our expedition if the same tracer-WSOC or tracer-SOC relationships were applied.</t>
  </si>
  <si>
    <t>[Ding, Xiang; Wang, Xinming; Zhang, Zhou] Chinese Acad Sci, Guangzhou Inst Geochem, State Key Lab Organ Geochem, Guangzhou 510640, Peoples R China; [Xie, Zhouqing; Sun, Liguang] Univ Sci &amp; Technol China, Sch Earth &amp; Space Sci, Hefei 230026, Peoples R China</t>
  </si>
  <si>
    <t>Chinese Academy of Sciences; Guangzhou Institute of Geochemistry, CAS; Chinese Academy of Sciences; University of Science &amp; Technology of China, CAS</t>
  </si>
  <si>
    <t>Wang, XM (corresponding author), Chinese Acad Sci, Guangzhou Inst Geochem, State Key Lab Organ Geochem, Guangzhou 510640, Peoples R China.</t>
  </si>
  <si>
    <t>wangxm@gig.ac.cn</t>
  </si>
  <si>
    <t>Wang, Xinming/A-7388-2014; Zhang, Zhou/E-1227-2015; xie, zhouqing/P-9661-2019; Ding, Xiang/C-7018-2012</t>
  </si>
  <si>
    <t>Wang, Xinming/0000-0002-1982-0928; Zhang, Zhou/0000-0003-2906-9450; Ding, Xiang/0000-0002-1218-1879</t>
  </si>
  <si>
    <t>National Science Foundation of China (NSFC) [41003045/41025012/41273116]; NSFC-Guangdong Joint Funds [U0833003]; Provincial Natural Science Foundation of Guangdong [10451064004004999]</t>
  </si>
  <si>
    <t>National Science Foundation of China (NSFC)(National Natural Science Foundation of China (NSFC)); NSFC-Guangdong Joint Funds(National Natural Science Foundation of China (NSFC)); Provincial Natural Science Foundation of Guangdong</t>
  </si>
  <si>
    <t>This research was supported by the National Science Foundation of China (NSFC) (41003045/41025012/41273116), NSFC-Guangdong Joint Funds (U0833003), and the Provincial Natural Science Foundation of Guangdong (10451064004004999). We are grateful for the technical assistance and convenience offered by the Chinese Antarctic and Arctic Administration and the crew of Xuelong.</t>
  </si>
  <si>
    <t>APR 2</t>
  </si>
  <si>
    <t>10.1021/es3037093</t>
  </si>
  <si>
    <t>120LZ</t>
  </si>
  <si>
    <t>WOS:000317173100020</t>
  </si>
  <si>
    <t>Cato, DH; Noad, MJ; Dunlop, RA; McCauley, RD; Gales, NJ; Kent, CPS; Kniest, H; Paton, D; Jenner, KCS; Noad, J; Maggi, AL; Parnum, IM; Duncan, AJ</t>
  </si>
  <si>
    <t>Cato, Douglas H.; Noad, Michael J.; Dunlop, Rebecca A.; McCauley, Robert D.; Gales, Nicholas J.; Kent, Chandra P. Salgado; Kniest, Hendrik; Paton, David; Jenner, K. Curt S.; Noad, John; Maggi, Amos L.; Parnum, Iain M.; Duncan, Alec J.</t>
  </si>
  <si>
    <t>A STUDY OF THE BEHAVIOURAL RESPONSE OF WHALES TO THE NOISE OF SEISMIC AIR GUNS: DESIGN, METHODS AND PROGRESS</t>
  </si>
  <si>
    <t>ACOUSTICS AUSTRALIA</t>
  </si>
  <si>
    <t>HUMPBACK WHALES; MEGAPTERA-NOVAEANGLIAE; AMBIENT NOISE; STOCK; SONGS</t>
  </si>
  <si>
    <t>The concern about the effects of the noise of human activities on marine mammals, particularly whales, has led to a substantial amount of research but there is still much that is not understood, particularly in terms of the behavioural responses to noise and the longer term biological consequences of these responses. There are many challenges in conducting experiments that adequately assess behavioural reactions of whales to noise. These include the need to obtain an adequate sample size with the necessary controls and to measure the range of variables likely to affect the observed response. Analysis is also complex. Well designed experiments are complex and logistically difficult, and thus expensive. This paper discusses the challenges involved and how these are being met in a major series of experiments in Australian waters on the response of humpback whales to the noise of seismic airgun arrays. The project is known as BRAHSS (Behavioural Response of Australian Humpback whales to Seismic Surveys) and aims to provide the information that will allow seismic surveys to be conducted efficiently with minimal impact on whales. It also includes a study of the response to ramp-up in sound level which is widely used at the start of operations, but for which there is little information to show that it is effective. BRAHSS also aims to infer the longer term biological significance of the responses from the results and the knowledge of normal behaviour. The results are expected to have relevance to other sources and species.</t>
  </si>
  <si>
    <t>[Cato, Douglas H.] Def Sci &amp; Technol Org, Maritime Operat Div, Sydney, NSW, Australia; [Cato, Douglas H.] Univ Sydney, Sydney, NSW 2006, Australia; [Noad, Michael J.; Dunlop, Rebecca A.; Noad, John] Univ Queensland, Cetacean Ecol &amp; Acoust Lab, Sch Vet Sci, Gatton, Qld, Australia; [Dunlop, Rebecca A.; Kent, Chandra P. Salgado; Maggi, Amos L.; Parnum, Iain M.; Duncan, Alec J.] Curtin Univ Technol, Ctr Marine Sci &amp; Technol, Perth, WA, Australia; Australian Marine Mammal Ctr, Australian Antarctic Div, Kingston, Tas, Australia; [Gales, Nicholas J.; Kniest, Hendrik] Univ Newcastle, Newcastle, NSW 2300, Australia; [Paton, David] Blue Planet Marine, Canberra, ACT, Australia; [Jenner, K. Curt S.] Ctr Whale Res, Harbor, WA USA</t>
  </si>
  <si>
    <t>Defence Science &amp; Technology; University of Sydney; University of Queensland; Curtin University; Australian Antarctic Division; University of Newcastle</t>
  </si>
  <si>
    <t>Cato, DH (corresponding author), Def Sci &amp; Technol Org, Maritime Operat Div, Sydney, NSW, Australia.</t>
  </si>
  <si>
    <t>Paton, David/AAV-2543-2020; Salgado Kent, Chandra/HHZ-2367-2022; Salgado Kent, Chandra/B-9872-2015; Parnum, Iain M/B-2428-2013; Duncan, Alec/B-7514-2015; Noad, Michael/D-7975-2013</t>
  </si>
  <si>
    <t>Paton, David/0000-0001-6255-1869; Salgado Kent, Chandra/0000-0002-3460-609X; Salgado Kent, Chandra/0000-0002-3460-609X; Parnum, Iain/0000-0003-4491-3445; Duncan, Alec/0000-0002-2179-727X; Noad, Michael/0000-0002-2799-8320</t>
  </si>
  <si>
    <t>Joint Industry Programme on E&amp;P Sound and Marine Life (JIP); United States Bureau of Ocean Energy Management (BOEM); ExxonMobil; Chevron; Eni; Statoil; ConocoPhillips; BG Group; BHP Billiton; Santos; Woodside; Origin Energy; Beach Energy; AWE</t>
  </si>
  <si>
    <t>Joint Industry Programme on E&amp;P Sound and Marine Life (JIP); United States Bureau of Ocean Energy Management (BOEM); ExxonMobil(Exxon Mobil Corporation); Chevron; Eni; Statoil; ConocoPhillips; BG Group(Royal Dutch Shell); BHP Billiton; Santos; Woodside; Origin Energy; Beach Energy; AWE</t>
  </si>
  <si>
    <t>BRAHSS is funded by the Joint Industry Programme on E&amp;P Sound and Marine Life (JIP) and by the United States Bureau of Ocean Energy Management (BOEM). This is part of the JP broad investigation into the potential interaction between the sounds that are generated by the offshore industry and the marine environment. The JIP is managed by the International Association of Oil and Gas Producers (OGP). The Joint Industry Sponsors are ExxonMobil, Chevron, Eni, Statoil, ConocoPhillips, BG Group, BHP Billiton, Santos and Woodside. The International Association of Geophysical Contractors (IAGC) is also a contributor. Additional sponsors are Origin Energy, Beach Energy and AWE.</t>
  </si>
  <si>
    <t>AUSTRALIAN ACOUSTICAL SOC</t>
  </si>
  <si>
    <t>SYDNEY</t>
  </si>
  <si>
    <t>UNIV NEW SOUTH WALES, SCH PHYSICS, SYDNEY, 2052, AUSTRALIA</t>
  </si>
  <si>
    <t>0814-6039</t>
  </si>
  <si>
    <t>ACOUST AUST</t>
  </si>
  <si>
    <t>Acoust. Aust.</t>
  </si>
  <si>
    <t>APR</t>
  </si>
  <si>
    <t>Acoustics</t>
  </si>
  <si>
    <t>AB3BQ</t>
  </si>
  <si>
    <t>WOS:000331666700014</t>
  </si>
  <si>
    <t>An, ML; Mou, SL; Zhang, XW; Ye, NH; Zheng, Z; Cao, SN; Xu, D; Fan, X; Wang, YT; Miao, JL</t>
  </si>
  <si>
    <t>An, Meiling; Mou, Shanli; Zhang, Xiaowen; Ye, Naihao; Zheng, Zhou; Cao, Shaona; Xu, Dong; Fan, Xiao; Wang, Yitao; Miao, Jinlai</t>
  </si>
  <si>
    <t>Temperature regulates fatty acid desaturases at a transcriptional level and modulates the fatty acid profile in the Antarctic microalga Chlamydomonas sp ICE-L</t>
  </si>
  <si>
    <t>BIORESOURCE TECHNOLOGY</t>
  </si>
  <si>
    <t>Chlamydomonas sp ICE-L; FADs; PUFAs; Temperature stress</t>
  </si>
  <si>
    <t>PHOTOSYNTHETIC ENERGY-CONVERSION; EXTREME CONDITIONS; LIMITED GROWTH; LIPID-CONTENT; TOLERANCE; ACCLIMATION; ARABIDOPSIS; STABILITY</t>
  </si>
  <si>
    <t>Chlamydomonas sp. ICE-L which can thrive in extreme environments of the Antarctic is a major biomass producer. The FAD genes in Chlamydomonas sp. ICE-L were obtained and sequence alignment showed that these genes are homologous to known FADs with conserved histidine motifs. In this study, we analyzed the transcription of five FADs and FA compositions at different temperatures. The results showed that the expressions of Delta 9CiFAD, omega 3CiFAD1 and omega 3CiFAD2 were apparently up-regulated at 0 degrees C, however, the up-regulation of Delta 6CiFAD intensified with rising temperature. Meanwhile, analysis of the FA compositions showed that PUFAs were dominant compositions, accounting for more than 75% TFA in Chlamydomonas sp. ICE-L Furthermore, PUFAs were significantly increased at 0 and 5 degrees C, which may be attributed to higher proportions of C18:3 and C20:3. Moreover, PUFAs were significantly decreased at 15 degrees C whereas SFAs were significantly increased. (C) 2013 Elsevier Ltd. All rights reserved.</t>
  </si>
  <si>
    <t>[An, Meiling; Zheng, Zhou; Miao, Jinlai] State Ocean Adm, Inst Oceanog 1, Key Lab Marine Bioact Subst, Qingdao, Peoples R China; [Mou, Shanli; Zhang, Xiaowen; Ye, Naihao; Cao, Shaona; Xu, Dong; Fan, Xiao; Wang, Yitao] Chinese Acad Fishery Sci, Yellow Sea Fisheries Res Inst, Qingdao, Peoples R China</t>
  </si>
  <si>
    <t>First Institute of Oceanography, Ministry of Natural Resources; Chinese Academy of Fishery Sciences; Yellow Sea Fisheries Research Institute, CAFS</t>
  </si>
  <si>
    <t>Ye, NH (corresponding author), Chinese Acad Fishery Sci, Yellow Sea Fisheries Res Inst, Qingdao, Peoples R China.</t>
  </si>
  <si>
    <t>yenh@ysfri.ac.cn; miaojinlai@163.com</t>
  </si>
  <si>
    <t>Zheng, Zhou/JJD-0602-2023</t>
  </si>
  <si>
    <t>National Natural Science Foundation of China [31200187, 41176153, 40876107, 31200097, 31200272]; Hi-Tech Research and Development Program (863) of China [2012AA052103]; Shandong Science and Technology plan project [2011GHY11528]; Specialized Fund for the Basic Research Operating expenses Program [20603022012004]; Natural Science Foundation of Shandong Province [2009ZRA02075]; Qingdao Municipal Science and Technology plan project [10-3-4-11-1-jch, 11-3-1-5-hy]; National Marine Public Welfare Research Project [200805069]</t>
  </si>
  <si>
    <t>This work was supported by National Natural Science Foundation of China (31200187, 41176153, 40876107, 31200097, 31200272), Hi-Tech Research and Development Program (863) of China (2012AA052103), Shandong Science and Technology plan project (2011GHY11528), the Specialized Fund for the Basic Research Operating expenses Program (20603022012004), Natural Science Foundation of Shandong Province (2009ZRA02075), Qingdao Municipal Science and Technology plan project (10-3-4-11-1-jch, 11-3-1-5-hy), National Marine Public Welfare Research Project (200805069).</t>
  </si>
  <si>
    <t>0960-8524</t>
  </si>
  <si>
    <t>1873-2976</t>
  </si>
  <si>
    <t>BIORESOURCE TECHNOL</t>
  </si>
  <si>
    <t>Bioresour. Technol.</t>
  </si>
  <si>
    <t>10.1016/j.biortech.2013.01.142</t>
  </si>
  <si>
    <t>Agricultural Engineering; Biotechnology &amp; Applied Microbiology; Energy &amp; Fuels</t>
  </si>
  <si>
    <t>Agriculture; Biotechnology &amp; Applied Microbiology; Energy &amp; Fuels</t>
  </si>
  <si>
    <t>273CQ</t>
  </si>
  <si>
    <t>WOS:000328512800012</t>
  </si>
  <si>
    <t>Blagoveshchenskii, DV; Rogov, DD; Ulich, T</t>
  </si>
  <si>
    <t>Blagoveshchenskii, D. V.; Rogov, D. D.; Ulich, T.</t>
  </si>
  <si>
    <t>Variations in the Horizontal Correlation Radius of the Ionosphere during a Magnetospheric Substorm</t>
  </si>
  <si>
    <t>A change in the correlation radius of the ionosphere during the magnetospheric substorm of February 14, 2011, which is considered to be 500 km at midlatitudes, has been estimated. The vertical sounding (VS) data from the St. Petersburg and Sodankyla (Finland) observatories, as well as the data of oblique incidence sounding (OIS) at the Sodankyla-St. Petersburg path with a length of 790 km, have been analyzed. A specific feature of the experiment consisted in that the signals of a VS transmitter from Sodankyla were synchronously received at the receiving point on the OIS path in St. Petersburg. The OIS path reflection point is located at a distance of similar to 400 km from the VS reflection point. Ionograms typical of the VS and OIS signal reflection points in the ionosphere, the distance between which was slightly smaller than the correlation radius of the ionosphere (500 km), and the data of the Sodankyla and St. Petersburg ionosondes have been compared. It has been indicated that a horizontal correlation radius of 400 km can only be considered acceptable during three disturbance phases: the initial phase before the reconfiguration of the ionosphere; the explosion phase (the disturbance maximum), when only the sporadic Es layer is the reflecting ionospheric layer; and the recovery phase, when a disturbance already ceases and the ionosphere returns to its initial undisturbed state. During other disturbance phases, the correlation radius (if it exists) is much smaller than 400 km.</t>
  </si>
  <si>
    <t>[Blagoveshchenskii, D. V.] State Univ Aerosp Instrumentat GUAP, St Petersburg, Russia; [Rogov, D. D.] Russian Acad Sci, Arctic &amp; Antarctic Res Inst, St Petersburg 199397, Russia; [Ulich, T.] Sodankyla Geophys Observ, Sodankyla 99600, Finland</t>
  </si>
  <si>
    <t>Saint Petersburg State University of Aerospace Instrumentation; Arctic &amp; Antarctic Research Institute; Russian Academy of Sciences</t>
  </si>
  <si>
    <t>Blagoveshchenskii, DV (corresponding author), State Univ Aerosp Instrumentat GUAP, St Petersburg, Russia.</t>
  </si>
  <si>
    <t>dvb@aanet.ru</t>
  </si>
  <si>
    <t>Ulich, Thomas/G-3727-2018; Rogov, Denis/AAH-2763-2020</t>
  </si>
  <si>
    <t>Ulich, Thomas/0000-0001-8217-022X;</t>
  </si>
  <si>
    <t>10.1134/S0016793213020035</t>
  </si>
  <si>
    <t>253HB</t>
  </si>
  <si>
    <t>WOS:000327073800004</t>
  </si>
  <si>
    <t>Barbosa, A; Palacios, MJ; Negro, JJ; Cuervo, JJ</t>
  </si>
  <si>
    <t>Barbosa, A.; Palacios, M. J.; Negro, J. J.; Cuervo, J. J.</t>
  </si>
  <si>
    <t>Plasma carotenoid depletion during fasting in moulting penguins</t>
  </si>
  <si>
    <t>JOURNAL OF ORNITHOLOGY</t>
  </si>
  <si>
    <t>Antarctica; Carotenoid; Fasting; Gentoo Penguin; Moulting; Pygoscelis papua</t>
  </si>
  <si>
    <t>PYGOSCELIS-PAPUA; GENTOO PENGUINS; FAT STORES; PIGMENTS; BIRD; RED; COLORATION</t>
  </si>
  <si>
    <t>The questions of whether carotenoids are mobilized from storage organs or the blood during food shortages or in stressful situations and the amount of carotenoids available in these situations remain contentious. We study the amount of carotenoids circulating in the blood stream in Gentoo Penguins (Pygoscelis papua), taking advantage of the physiological stress produced by fasting during moulting. Carotenoids are not detectable in the blood after 1 week of fasting during moulting in Gentoo Penguins, whereas breeding adults and chicks show a high concentration of astaxanthin. Our results suggest that carotenoids are consumed in physiologically stressful processes other than ornamentation.</t>
  </si>
  <si>
    <t>[Barbosa, A.; Palacios, M. J.; Cuervo, J. J.] CSIC, Dept Ecol Func &amp; Evolut, Estn Expt Zonas Aridas, La Canada San Urbano Alm 04120, Spain; [Negro, J. J.] CSIC, Dept Ecol Evolut, Estn Biol Donana, Seville 41092, Spain</t>
  </si>
  <si>
    <t>Consejo Superior de Investigaciones Cientificas (CSIC); CSIC - Estacion Experimental de Zonas Aridas (EEZA); Consejo Superior de Investigaciones Cientificas (CSIC); CSIC - Estacion Biologica de Donana (EBD)</t>
  </si>
  <si>
    <t>Barbosa, A (corresponding author), CSIC, Dept Ecol Func &amp; Evolut, Estn Expt Zonas Aridas, Carretera Sacramento S-N, La Canada San Urbano Alm 04120, Spain.</t>
  </si>
  <si>
    <t>barbosa@mncn.csic.es</t>
  </si>
  <si>
    <t>Barbosa, Andrés/C-3208-2008; Cuervo, José Javier/K-1646-2014; Negro, juan/I-2653-2015</t>
  </si>
  <si>
    <t>Barbosa, Andrés/0000-0001-8434-3649; Cuervo, José Javier/0000-0001-7943-7835; Negro, juan/0000-0002-8697-5647</t>
  </si>
  <si>
    <t>Spanish Ministry of Science and Innovation; European Regional Development Fund [CGL2004-01348, POL2006-05175, CGL2007-60369, CGL2008-00137, CGL2009-10652]</t>
  </si>
  <si>
    <t>We thank the Argentine Antarctic Institute and the Carlini Antarctic Base for their hospitality. The Spanish polar ship Las Palmas and the Marine Technology Unit (CSIC) provided transport and logistic support. We also thank the Avian and Mammal groups of the Argentine Antarctic Institute for fieldwork assistance. Permits for working in the study area and for penguin handling were issued by the Spanish Polar Committee. Deborah Fuldauer revised the language of this manuscript. This study was funded by the Spanish Ministry of Science and Innovation and by the European Regional Development Fund (grants CGL2004-01348, POL2006-05175, CGL2007-60369 and CGL2008-00137, and specifically to JJN for carotenoid analyses, grant CGL2009-10652).</t>
  </si>
  <si>
    <t>2193-7192</t>
  </si>
  <si>
    <t>2193-7206</t>
  </si>
  <si>
    <t>J ORNITHOL</t>
  </si>
  <si>
    <t>J. Ornithol.</t>
  </si>
  <si>
    <t>10.1007/s10336-012-0918-z</t>
  </si>
  <si>
    <t>211RY</t>
  </si>
  <si>
    <t>WOS:000323929100025</t>
  </si>
  <si>
    <t>Bolton, A; Marr, JP</t>
  </si>
  <si>
    <t>Bolton, Annette; Marr, Julene P.</t>
  </si>
  <si>
    <t>Trace element variability in crust-bearing and non crust-bearing Neogloboquadrina incompta, P-D intergrade and Globoconella inflata from the Southwest Pacific Ocean: Potential paleoceanographic implications</t>
  </si>
  <si>
    <t>Neogloboquadrina incompta; P-D intergrade; Globoconella inflata; Laser ablation inductively coupled plasma mass spectrometry; Trace elements; Calcite crust; Southwest Pacific Ocean</t>
  </si>
  <si>
    <t>STABLE-ISOTOPE COMPOSITION; PLANKTONIC-FORAMINIFERA; SECONDARY CALCIFICATION; SUBTROPICAL FRONT; CHATHAM RISE; NEW-ZEALAND; MG/CA; PACHYDERMA; OCEANOGRAPHY; TEMPERATURE</t>
  </si>
  <si>
    <t>Mg/Ca and Sr/Ca ratios were measured in the sub-surface dwelling planktonic foraminifera Neogloboquadrina incompta, Neogloboquadrina pachyderma-Neogloboquadrina dutertrei (P-D) intergrades and Globoconella inflata from core-top, dredge and plankton tow material from the Southwest Pacific Ocean. The presence of outer crusts on each foraminifera test was determined using a scanning electron microscope, after trace element analysis using laser ablation inductively coupled plasma mass spectrometry (LA-ICPMS). Our laser ablation profiles allow an arbitrary distinction between crust and inner calcite Mg/Ca values, with the former exhibiting consistently lower Mg/Ca by up to 56% depending on both the species and core-top location analyzed. The lower crust Mg/Ca values suggest that 1) crust formation may be initiated at a specific (low) temperature or, 2) crust-calcite no longer follows the Mg to Ca thermodynamic relationship typically associated with foraminiferal primary calcite. For Sr/Ca ratios, we did not observe any difference between crust in and inner calcite. The thickness of the crust between measured individual chambers varied, such that whole test Mg/Ca were affected by variable crustal thickness across all chambers. This study shows that increasing ratios of crust to non crust-bearing tests in N. incompta, P-D intergrades and G. inflates have the potential to lower the bulk composition of Mg/Ca, thus resulting in biased cooler temperature reconstructions. Crown Copyright (C) 2013 Published by Elsevier B.V. All rights reserved.</t>
  </si>
  <si>
    <t>[Bolton, Annette; Marr, Julene P.] Victoria Univ Wellington, Antarctic Res Ctr, Wellington, New Zealand; [Bolton, Annette] Earth Observ Singapore, Div Earth Sci, Singapore 639798, Singapore</t>
  </si>
  <si>
    <t>Victoria University Wellington; Nanyang Technological University</t>
  </si>
  <si>
    <t>Bolton, A (corresponding author), Earth Observ Singapore, Div Earth Sci, 50 Nanyang Ave, Singapore 639798, Singapore.</t>
  </si>
  <si>
    <t>annetteb@ntu.edu.sg</t>
  </si>
  <si>
    <t>Marr, Julene/O-2382-2013; Bolton, Annette/C-6520-2013</t>
  </si>
  <si>
    <t>Marr, Julene/0000-0001-6441-2838; Bolton, Annette/0000-0002-7252-2049</t>
  </si>
  <si>
    <t>Cushman Foundation; Commonwealth Scholarships in New Zealand</t>
  </si>
  <si>
    <t>The authors thank the Cushman Foundation and Commonwealth Scholarships in New Zealand (awarded to AB) for financial support. We thank Gregg Burnsville and Irena Zagorskis (Australian Institute of Marine Sciences) for provision of sample material. We also thank Martin Crundwell and George Scott (Geological and Nuclear Sciences) and Helen Bostock and Lisa Northcote (National Institute of Water and Atmospheric Research) for provision of material, comments and discussion of results and analyses. We thank Richard Tilley and David Flynn for the use of the JEOL Scanning Electron Microscope at the Victoria University of Wellington (VUW). We also thank Stephen Eggins for the use of the LA-ICPMS at the Australian National University and Joel Baker, Lionel Carter and Gavin Dunbar (VUW) for their informative and constructive contributions to this work Finally, we are grateful to the editor Richard Jordan, and two anonymous reviewers for their constructive and encouraging feedback</t>
  </si>
  <si>
    <t>10.1016/j.marmicro.2013.03.008</t>
  </si>
  <si>
    <t>179QO</t>
  </si>
  <si>
    <t>WOS:000321536600004</t>
  </si>
  <si>
    <t>Ali, MSM; Ganasen, M; Abd Rahman, RNZR; Chor, ALT; Salleh, AB; Basri, M</t>
  </si>
  <si>
    <t>Ali, Mohd Shukuri Mohamad; Ganasen, Menega; Abd Rahman, Raja Noor Zaliha Raja; Chor, Adam Leow Thean; Salleh, Abu Bakar; Basri, Mahiran</t>
  </si>
  <si>
    <t>Cold-Adapted RTX Lipase from Antarctic Pseudomonas sp Strain AMS8: Isolation, Molecular Modeling and Heterologous Expression</t>
  </si>
  <si>
    <t>PROTEIN JOURNAL</t>
  </si>
  <si>
    <t>lipAMS8; Cold-adapted; Signal peptide; RTX repeats</t>
  </si>
  <si>
    <t>SEA PSYCHROTROPHIC BACTERIUM; PROTEIN EXPRESSION; CRYSTAL-STRUCTURE; ALPHA-AMYLASE; CLONING; GENE; ACTIVATION; PURIFICATION; STRATEGIES</t>
  </si>
  <si>
    <t>A new strain of psychrophilic bacteria (designated strain AMS8) from Antarctic soil was screened for extracellular lipolytic activity and further analyzed using molecular approach. Analysis of 16S rDNA showed that strain AMS8 was similar to Pseudomonas sp. A lipase gene named lipAMS8 was successfully isolated from strain AMS8, cloned, sequenced and overexpressed in Escherichia coli. Sequence analysis revealed that lipAMS8 consist of 1,431 bp nucleotides that encoded a polypeptide consisting of 476 amino acids. It lacked an N-terminal signal peptide and contained a glycine-and aspartate-rich nonapeptide sequence at the C-terminus, which are known to be the characteristics of repeats-in-toxin bacterial lipases. Furthermore, the substrate binding site of lipAMS8 was identified as S-207, D-255 and H-313, based on homology modeling and multiple sequence alignment. Crude lipase exhibited maximum activity at 20 degrees C and retained almost 50 % of its activity at 10 degrees C. The molecular weight of lipAMS8 was estimated to be 50 kDa via sodium dodecyl sulfate-polyacrylamide gel electrophoresis (SDS-PAGE). The optimal expression level was attained using the recombinant plasmid pET32b/BL21(DE3) expressed at 15 degrees C for 8 h, induced by 0.1 mM isopropyl beta-D thiogalactoside (IPTG) at E. coli growth optimal density of 0.5.</t>
  </si>
  <si>
    <t>[Ali, Mohd Shukuri Mohamad; Ganasen, Menega; Abd Rahman, Raja Noor Zaliha Raja; Chor, Adam Leow Thean; Salleh, Abu Bakar; Basri, Mahiran] Univ Putra Malaysia, Enzyme &amp; Microbial Technol Res Ctr, Fac Biotechnol &amp; Biomol Sci, Serdang 43400, Selangor, Malaysia; [Ali, Mohd Shukuri Mohamad; Ganasen, Menega; Salleh, Abu Bakar] Univ Putra Malaysia, Dept Biochem, Fac Biotechnol &amp; Biomol Sci, Serdang 43400, Selangor, Malaysia; [Chor, Adam Leow Thean] Univ Putra Malaysia, Dept Cell &amp; Mol Biol, Fac Biotechnol &amp; Biomol Sci, Serdang 43400, Selangor, Malaysia</t>
  </si>
  <si>
    <t>Universiti Putra Malaysia; Universiti Putra Malaysia; Universiti Putra Malaysia</t>
  </si>
  <si>
    <t>Ali, MSM (corresponding author), Univ Putra Malaysia, Dept Biochem, Fac Biotechnol &amp; Biomol Sci, Serdang 43400, Selangor, Malaysia.</t>
  </si>
  <si>
    <t>shukuri@biotech.upm.edu.my</t>
  </si>
  <si>
    <t>Rahman, Raja Noor Zaliha Raja Abd/I-5556-2019; ALI, MOHD/IUM-6916-2023; Ali, Mohd Shukuri Mohamad/AAG-5453-2021</t>
  </si>
  <si>
    <t>Rahman, Raja Noor Zaliha Raja Abd/0000-0002-6316-6177; Ali, Mohd Shukuri Mohamad/0000-0003-2751-9649</t>
  </si>
  <si>
    <t>Ministry of Higher Education [01-04-10-766FR]</t>
  </si>
  <si>
    <t>Ministry of Higher Education(Science and Technology Development Fund (STDF)Ministry of Higher Education &amp; Scientific Research (MHESR))</t>
  </si>
  <si>
    <t>This research was funded by Ministry of Higher Education (Fundamental Research Grant Scheme 01-04-10-766FR).</t>
  </si>
  <si>
    <t>1572-3887</t>
  </si>
  <si>
    <t>1875-8355</t>
  </si>
  <si>
    <t>PROTEIN J</t>
  </si>
  <si>
    <t>Protein J.</t>
  </si>
  <si>
    <t>10.1007/s10930-013-9488-z</t>
  </si>
  <si>
    <t>180UV</t>
  </si>
  <si>
    <t>WOS:000321625200010</t>
  </si>
  <si>
    <t>Di Roberto, A; Giorgetti, G; Iacoviello, F; Pompilio, M</t>
  </si>
  <si>
    <t>Di Roberto, Alessio; Giorgetti, Giovanna; Iacoviello, Francesco; Pompilio, Massimo</t>
  </si>
  <si>
    <t>Alteration of volcanic deposits in the ANDRILL AND-1B core: Influence of paleodeposition, eruptive style, and magmatic composition</t>
  </si>
  <si>
    <t>MCMURDO SOUND; VICTORIA LAND; DRILL CORE; ANTARCTICA; CLAY; GEOCHRONOLOGY; DISSOLUTION; GLASSES; GEOLOGY; GEOCHEMISTRY</t>
  </si>
  <si>
    <t>Alteration minerals, assemblages, and textures were studied in a 175-m-thick volcanic sequence found between 759.32 and 584.19 m below seafloor within the 1285-m-long ANDRILL (Antarctic Geological Drilling project) McMurdo Ice Shelf core (MIS AND-1B). Three main alteration zones were identified through the application of different analytical methods (optical and scanning electron microscopy, electron microprobe, and X-ray diffraction). Alteration zoning is guided by the texture of the volcanic deposits, which is in turn determined by the eruptive style, transport mechanisms, and paleodepositional conditions. In particular, alteration reflects the evolution of paleodepositional conditions from submarine or shallow water to subaerial due to the growth of a nearby volcanic edifice. The general alteration trend is also influenced by the contribution of volcanogenic sediments derived from the reworking of silica-rich pyroclasts from earlier volcanic activity.</t>
  </si>
  <si>
    <t>[Di Roberto, Alessio; Pompilio, Massimo] Ist Nazl Geofis &amp; Vulcanol, Sez Pisa, I-56126 Pisa, Italy; [Giorgetti, Giovanna; Iacoviello, Francesco] Univ Siena, Dipartimento Sci Terra, I-53100 Siena, Italy</t>
  </si>
  <si>
    <t>Istituto Nazionale Geofisica e Vulcanologia (INGV); University of Siena</t>
  </si>
  <si>
    <t>Di Roberto, A (corresponding author), Ist Nazl Geofis &amp; Vulcanol, Sez Pisa, Via Faggiola 32, I-56126 Pisa, Italy.</t>
  </si>
  <si>
    <t>Iacoviello, Francesco/AAW-9047-2020; Pompilio, Massimo N/C-5892-2008; Di Roberto, Alessio/C-3547-2014; Pompilio, Massimo/M-5380-2019; Iacoviello, Francesco/D-5492-2014; Di Roberto, Alessio/AAH-1595-2019</t>
  </si>
  <si>
    <t>Iacoviello, Francesco/0000-0003-3564-2380; Di Roberto, Alessio/0000-0003-1167-8290; Pompilio, Massimo/0000-0002-0742-0679; Iacoviello, Francesco/0000-0003-3564-2380; Di Roberto, Alessio/0000-0003-1167-8290; Giorgetti, Giovanna/0000-0001-6233-4485</t>
  </si>
  <si>
    <t>U.S. National Science Foundation; New Zealand Foundation for Research Science and Technology; Italian Antarctic Research Programme; German Research Foundation; Alfred Wegener Institute for Polar and Marine Research; Programme for Antarctic Research</t>
  </si>
  <si>
    <t>U.S. National Science Foundation(National Science Foundation (NSF)); New Zealand Foundation for Research Science and Technology(New Zealand Foundation for Research, Science and Technology); Italian Antarctic Research Programme; German Research Foundation(German Research Foundation (DFG)); Alfred Wegener Institute for Polar and Marine Research; Programme for Antarctic Research</t>
  </si>
  <si>
    <t>The ANDRILL (Antarctic Geological Drilling) project is a multinational collaboration between the Antarctic programs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The scientific studies are jointly supported by the U.S. National Science Foundation, the New Zealand Foundation for Research Science and Technology, the Italian Antarctic Research Programme, the German Research Foundation, and the Alfred Wegener Institute for Polar and Marine Research. We are grateful for the detailed core logging by the McMurdo Ice Shelf Sedimentology Team and for helpful discussions with Phil Kyle during the drilling. We thank cochiefs Tim Naish and Ross Powell and staff scientist Richard Levy for coordinating efforts, and A. Cavallo (Istituto Nazionale di Geofisica e Vulcanologia, Rome) for assistance with electron microprobe analyses. Di Roberto benefited from a Programme for Antarctic Research postdoctoral fellowship. K.S. Panter and an anonymous reviewer are also acknowledged for their accurate and critical comments that greatly improved the manuscript.</t>
  </si>
  <si>
    <t>10.1130/GES00812.1</t>
  </si>
  <si>
    <t>168JH</t>
  </si>
  <si>
    <t>WOS:000320701200007</t>
  </si>
  <si>
    <t>Snauwaert, I; Hoste, B; De Bruyne, K; Peeters, K; De Vuyst, L; Willems, A; Vandamme, P</t>
  </si>
  <si>
    <t>Snauwaert, Isabel; Hoste, Bart; De Bruyne, Katrien; Peeters, Karolien; De Vuyst, Luc; Willems, Anne; Vandamme, Peter</t>
  </si>
  <si>
    <t>Carnobacterium iners sp nov., a psychrophilic, lactic acid-producing bacterium from the littoral zone of an Antarctic pond</t>
  </si>
  <si>
    <t>SEQUENCE-ANALYSIS; IDENTIFICATION; PHES; RPOA; DNA; HYBRIDIZATION; ENVIRONMENT</t>
  </si>
  <si>
    <t>Two lactic acid-producing, Gram-stain-positive rods were isolated from a microbial mat actively growing in the littoral zone of an Antarctic lake (Forlidas Pond) in the Pensacola mountains and studied using a polyphasic taxonomic approach. The isolates were examined by phylogenetic analysis of the 16S rRNA gene, multilocus sequence analysis of pheS, rpoA and atpA, and biochemical and genotypic characteristics. One strain, designated LMG 26641, belonged to Carnobacterium alterfunditum and the other strain, designated LMG 26642(T), could be assigned to a novel species, with Carnobacterium funditum DSM 5970(T) as its closest phylogenetic neighbour (99.2% 16S rRNA gene sequence similarity). Carnobacterium iners sp. nov. could be distinguished biochemically from other members of the genus Carnobacterium by the lack of acid production from carbohydrates. DNA-DNA relatedness confirmed that strain LMG 26642(T) represented a novel species, for which we propose the name Carnobacterium iners sp. nov. (type strain is LMG 26642(T) =CCUG 62000(T)).</t>
  </si>
  <si>
    <t>[Snauwaert, Isabel; Hoste, Bart; Peeters, Karolien; Willems, Anne; Vandamme, Peter] Univ Ghent, Microbiol Lab, B-9000 Ghent, Belgium; [De Bruyne, Katrien] Appl Maths NV, B-9830 Sint Martens Latem, Belgium; [De Vuyst, Luc] Vrije Univ Brussel, Dept Bioengn Sci, Res Grp Ind Microbiol &amp; Food Biotechnol IMDO, B-1050 Brussels, Belgium</t>
  </si>
  <si>
    <t>Ghent University; Vrije Universiteit Brussel</t>
  </si>
  <si>
    <t>Vandamme, P (corresponding author), Univ Ghent, Microbiol Lab, KL Ledeganckstr 35, B-9000 Ghent, Belgium.</t>
  </si>
  <si>
    <t>Peter.Vandamme@Ugent.be</t>
  </si>
  <si>
    <t>Vandamme, Peter AR/B-7967-2009; Vandamme, Peter/ABG-3431-2021; Willems, Anne/B-2872-2010</t>
  </si>
  <si>
    <t>Vandamme, Peter AR/0000-0002-5581-7937; De Vuyst, Luc/0000-0002-7534-7186; Willems, Anne/0000-0002-8421-2881; De Bruyne, Katrien/0000-0001-7105-3001</t>
  </si>
  <si>
    <t>Research Foundation-Flanders; Belgian Science Policy Office (BelSPO AMBIO project)</t>
  </si>
  <si>
    <t>Research Foundation-Flanders(FWO); Belgian Science Policy Office (BelSPO AMBIO project)</t>
  </si>
  <si>
    <t>We acknowledge financial support from the Research Foundation-Flanders and the Belgian Science Policy Office (BelSPO AMBIO project). We thank Dominic Hodgson and Peter Convey (British Antarctic Survey) who provided the environmental sample from which the isolate was obtained.</t>
  </si>
  <si>
    <t>14-16 MEREDITH ST, LONDON, ENGLAND</t>
  </si>
  <si>
    <t>10.1099/ijs.0.042861-0</t>
  </si>
  <si>
    <t>155YF</t>
  </si>
  <si>
    <t>WOS:000319785700025</t>
  </si>
  <si>
    <t>Petersen, MR; Williams, SJ; Maltrud, ME; Hecht, MW; Hamann, B</t>
  </si>
  <si>
    <t>Petersen, Mark R.; Williams, Sean J.; Maltrud, Mathew E.; Hecht, Matthew W.; Hamann, Bernd</t>
  </si>
  <si>
    <t>A three-dimensional eddy census of a high-resolution global ocean simulation</t>
  </si>
  <si>
    <t>eddy census; eddy characteristics</t>
  </si>
  <si>
    <t>NORTH-ATLANTIC; MESOSCALE EDDIES; LABRADOR SEA; QUANTIFICATION; IDENTIFICATION; EVOLUTION; TRANSPORT; DYNAMICS; PACIFIC; CELLS</t>
  </si>
  <si>
    <t>A three-dimensional eddy census data set was obtained from a global ocean simulation with one-tenth degree resolution and a duration of 7years. The census includes 6.7 million eddies in daily data, which comprise 152,000 eddies tracked over their lifetimes, using a minimum lifetime cutoff of 28days. Variables of interest include eddy diameter, thickness (vertical extent), minimum and maximum depth, location, rotational direction, lifetime, and translational speed. Distributions of these traits show a predominance of small, thin, short-lived, and slow eddies. Still, a significant number of eddies possess traits at the opposite extreme; thousands of eddies larger than 200km in diameter appeared in daily data each year. A tracking algorithm found hundreds of eddies with lifetimes longer than 200days. A third of the eddies are at least 1000m tall and many penetrate the full depth of the water column. The Antarctic Circumpolar Current contains the thickest and highest density of eddies. Thick eddies are also common in the Gulf Stream, Kuroshio Current, and Agulhas ring pathway. The great majority of eddies extend all the way to the surface, confirming that eddy censuses from surface observations are a good proxy for the full-depth ocean. Correlations between variables show that larger-diameter eddies tend to be thicker and longer lived than small eddies.</t>
  </si>
  <si>
    <t>[Petersen, Mark R.; Williams, Sean J.; Maltrud, Mathew E.; Hecht, Matthew W.] Los Alamos Natl Lab, Los Alamos, NM 87545 USA; [Williams, Sean J.; Hamann, Bernd] Univ Calif Davis, Dept Comp Sci, Inst Data Anal &amp; Visualizat, Davis, CA 95616 USA</t>
  </si>
  <si>
    <t>United States Department of Energy (DOE); Los Alamos National Laboratory; University of California System; University of California Davis</t>
  </si>
  <si>
    <t>Petersen, MR (corresponding author), Los Alamos Natl Lab, MS B296, Los Alamos, NM 87545 USA.</t>
  </si>
  <si>
    <t>mpetersen@lanl.gov</t>
  </si>
  <si>
    <t>Petersen, Mark R/J-9017-2019</t>
  </si>
  <si>
    <t>Petersen, Mark R/0000-0001-7170-7511; Hecht, Matthew/0000-0003-0946-4007</t>
  </si>
  <si>
    <t>Regional Climate Modeling program; Global Climate Modeling program; UV-CDAT; LANL-UC Davis Materials Design Institute</t>
  </si>
  <si>
    <t>The authors thank Milena Veneziani and Wilbert Weijer for early comments on the manuscript and Neesha Regmi Schnepf for assistance with the literature search on vortex identification methods. We also thank Richard Strelitz and Samantha Oestricher for insightful discussions. Dudley Chelton and Michael Schlax generously gave us access to their altimetry-derived eddy census data. M. R. P., M. W. H., and M. E. M. were supported by the Regional and Global Climate Modeling programs; S.J.W. was supported by the UV-CDAT project in the Climate and Earth System Modeling programs. Both of these are within the Office of Biological and Environmental Research of the US Department of Energy's Office of Science. We acknowledge the support of the LANL-UC Davis Materials Design Institute for S.J.W. and B.H.</t>
  </si>
  <si>
    <t>10.1002/jgrc.20155</t>
  </si>
  <si>
    <t>163GN</t>
  </si>
  <si>
    <t>WOS:000320324100009</t>
  </si>
  <si>
    <t>Zelenchuk, AV; Zelenchuk, VA; Krylenkov, VA</t>
  </si>
  <si>
    <t>Zelenchuk, A. V.; Zelenchuk, V. A.; Krylenkov, V. A.</t>
  </si>
  <si>
    <t>The autonomous sampler probe for the Arctic and Antarctic water areas</t>
  </si>
  <si>
    <t>Proposed is the Zelenchuk's hermetic bathometer, where the water sample is taken using a membrane operating as the sucking-in piston and a static pressure equalizer outside and inside the bathometer at any depth. Stated is a new principle of constructing the mobile and safe autonomous sampler measuring probes based on membrane bathometers for the extreme conditions of hard-to-reach water areas in the Arctic and Antarctic. Proposed is a project of the sampler probe without external energy sources and complex supporting equipment and the scheme is presented of water sampling at different levels in subglacial Lake Vostok in Antarctica using this probe.</t>
  </si>
  <si>
    <t>[Zelenchuk, A. V.; Zelenchuk, V. A.] SVIT Sci Tech Firm, Moscow 123458, Russia; [Krylenkov, V. A.] St Petersburg State Univ, St Petersburg 199034, Russia</t>
  </si>
  <si>
    <t>Saint Petersburg State University</t>
  </si>
  <si>
    <t>Zelenchuk, AV (corresponding author), SVIT Sci Tech Firm, Ul Tallinskaya 26, Moscow 123458, Russia.</t>
  </si>
  <si>
    <t>10.3103/S1068373913040110</t>
  </si>
  <si>
    <t>159KF</t>
  </si>
  <si>
    <t>WOS:000320043600011</t>
  </si>
  <si>
    <t>Hu, ZJ; Yang, HG; Hu, HQ; Zhang, BC; Huang, DH; Chen, ZT; Wang, Q</t>
  </si>
  <si>
    <t>Hu, Ze-Jun; Yang, Hui-Gen; Hu, Hong-Qiao; Zhang, Bei-Chen; Huang, De-Hong; Chen, Zhuo-Tian; Wang, Q.</t>
  </si>
  <si>
    <t>The hemispheric conjugate observation of postnoon bright spots/auroral spirals</t>
  </si>
  <si>
    <t>hemispheric conjugacy; bright spots; auroral spirals; postnoon arcs; field-aligned currents</t>
  </si>
  <si>
    <t>FIELD-ALIGNED CURRENTS; AURORAL DISTRIBUTION; MAGNETIC-FIELD; IMAGER; SPOTS; OVAL; CONVECTION; NORTHERN; REGION; LINES</t>
  </si>
  <si>
    <t>Using the Polar ultraviolet imager (UVI) above the Arctic and the all-sky camera (ASC) at Chinese Zhongshan Station (ZHS) in Antarctica, an outstanding hemispheric conjugate observation of postnoon bright spots in the Arctic and auroral spirals in Antarctica is presented. Multiple bright auroral spirals, which are counterclockwise rotation viewed along the direction of the magnetic field, in postnoon auroral arcs are seen on the field of view (FOV) of ASC at ZHS in the Southern Hemisphere, while multiple bright spots are seen at the conjugate FOV of ASC on postnoon auroral oval in the Northern Hemisphere by Polar UVI. We consider that the auroral spirals in postnoon arcs are the visible characteristic of postnoon UV bright spots on ground-based observation and suggest that the current sheet instability above the parallel electric field region, which could produce the arcs, is the origin for bright spots occurring at the ionosphere, and the hemispheric symmetry/asymmetry of postnoon upward field-aligned currents, which is affected by the IMF BY and season, can control the conjugacy/nonconjugacy of postnoon bright spots/auroral spirals between the two hemispheres.</t>
  </si>
  <si>
    <t>[Hu, Ze-Jun; Yang, Hui-Gen; Hu, Hong-Qiao; Zhang, Bei-Chen; Huang, De-Hong; Chen, Zhuo-Tian; Wang, Q.] Polar Res Inst China, SOA Key Lab Polar Sci, Shanghai 200136, Peoples R China; [Wang, Q.] Xian Univ Posts &amp; Telecommun, Image &amp; Informat Proc Res Ctr, Xian, Shaanxi, Peoples R China</t>
  </si>
  <si>
    <t>Polar Research Institute of China; Xi'an University of Posts &amp; Telecommunications</t>
  </si>
  <si>
    <t>Hu, ZJ (corresponding author), Polar Res Inst China, SOA Key Lab Polar Sci, 451 Jinqiao Rd, Shanghai 200136, Peoples R China.</t>
  </si>
  <si>
    <t>huzejun@pric.gov.cn</t>
  </si>
  <si>
    <t>Hu, Ze-Jun/X-8090-2019</t>
  </si>
  <si>
    <t>Hu, Ze-Jun/0000-0003-2448-2094; Zhang, Beichen/0000-0002-0927-9568</t>
  </si>
  <si>
    <t>National Natural Science Foundation of China [41274164, 41031064, 41274148]; Public Science and Technology Research Funds Projects of Ocean [201005017]; Chinese Arctic and Antarctic Administration [IC201205]; Foundation of Shaanxi Educational Committee [12JK0543]</t>
  </si>
  <si>
    <t>National Natural Science Foundation of China(National Natural Science Foundation of China (NSFC)); Public Science and Technology Research Funds Projects of Ocean; Chinese Arctic and Antarctic Administration; Foundation of Shaanxi Educational Committee</t>
  </si>
  <si>
    <t>The authors thank G. Parks and M. O. Fillingim for the Polar UVI data and for their help. The Wind magnetometer (MFI) and particle (SWE) data are from the Coordinated Data Analysis Web (CDAWeb) (http://cdaweb.gsfc.nasa.gov/istp_public/). We thank them for their works. This research was supported by the National Natural Science Foundation of China (41274164, 41031064, and 41274148) and Public Science and Technology Research Funds Projects of Ocean (201005017). Thanks are also given for the financial support of the Chinese Arctic and Antarctic Administration (Grant No.: IC201205) and the Foundation of Shaanxi Educational Committee (12JK0543).</t>
  </si>
  <si>
    <t>10.1002/jgra.50243</t>
  </si>
  <si>
    <t>157UJ</t>
  </si>
  <si>
    <t>WOS:000319924400006</t>
  </si>
  <si>
    <t>Jiang, S; Li, YS; Sun, B</t>
  </si>
  <si>
    <t>Jiang, Su; Li, Yuan-Sheng; Sun, Bo</t>
  </si>
  <si>
    <t>Determination of trace level of perchlorate in Antarctic snow and ice by ion chromatography coupled with tandem mass spectrometry using an automated sample on-line preconcentration method</t>
  </si>
  <si>
    <t>CHINESE CHEMICAL LETTERS</t>
  </si>
  <si>
    <t>Perchlorate; Ion chromatography; Tandem mass spectrometry; Antarctic snow and ice</t>
  </si>
  <si>
    <t>DRINKING-WATER; DOME-A; MILK</t>
  </si>
  <si>
    <t>A new ion chromatography coupled with tandem mass spectrometry (IC-ESI-MS/MS) method, with automated sampling and on-line preconcentration, has been developed for the determination of perchlorate in Antarctic snow and ice at low part-per-trillion (ng/L) levels. To the best of our knowledge, this is the first time that an analytical method is used for the determination of perchlorate in Antarctic snow and ice. The IC-ESI-MS/MS instrumentation consisted of an ICS2000 ion chromatography (IC) system coupled to an API3200 electrospray tandem mass spectrometer (ESI-MS/MS). On-line preconcentration was realized through a six-port injector valve, a TAC-ULP1 concentrator column and an AS auto-sampler. Multiple reaction monitoring (MRM) mode was used to quantify the perchlorate anion. The transition of (ClO4-)-Cl-35-O-16 (m/z 98.9) into (ClO3-)-Cl-35-O-16 (m/z 82.9) was monitored for quantifying the main analyte, and the transition of (ClO4-)-Cl-37-O-16 (m/z 100.9) into (ClO3-)-Cl-37-O-16 (m/z 84.9) was monitored for examining a proper isotopic abundance ratio of Cl-35 to Cl-37, which was used as a confirmation tool. The limit of detection (LOD) and limit of quantitation (LOQ) for the method was 0.2 ng/L and 0.5 ng/L, respectively. And this new method exhibited acceptable accuracy and precision for samples at ng/L levels. All the tested snow and ice samples were found to contain measurable amount of perchlorate, ranging from 10 ng/L to 340 ng/L. (C) 2013 Su Jiang. Published by Elsevier B.V. on behalf of Chinese Chemical Society. All rights reserved.</t>
  </si>
  <si>
    <t>[Jiang, Su; Li, Yuan-Sheng; Sun, Bo] Polar Res Inst China, Key Lab Polar Sci State Ocean Adm, Shanghai 200136, Peoples R China</t>
  </si>
  <si>
    <t>Polar Research Institute of China</t>
  </si>
  <si>
    <t>Jiang, S (corresponding author), Polar Res Inst China, Key Lab Polar Sci State Ocean Adm, Shanghai 200136, Peoples R China.</t>
  </si>
  <si>
    <t>jiangsu@pric.gov.cn</t>
  </si>
  <si>
    <t>sun, bo/JFA-9978-2023</t>
  </si>
  <si>
    <t>Jiang, Su/0000-0001-6712-7979</t>
  </si>
  <si>
    <t>National Natural Science Foundation of China [40906098]; Synthetic Investigation on the Environment in Polar Region [CHINARE 2013-02-02]; National Key Scientific Instrument and Equipment Development Project [2012YQ09022907]</t>
  </si>
  <si>
    <t>National Natural Science Foundation of China(National Natural Science Foundation of China (NSFC)); Synthetic Investigation on the Environment in Polar Region; National Key Scientific Instrument and Equipment Development Project</t>
  </si>
  <si>
    <t>This research was financially supported by the National Natural Science Foundation of China (No. 40906098), the Synthetic Investigation on the Environment in Polar Region (No. CHINARE 2013-02-02) and the National Key Scientific Instrument and Equipment Development Project (No. 2012YQ09022907).</t>
  </si>
  <si>
    <t>1001-8417</t>
  </si>
  <si>
    <t>CHINESE CHEM LETT</t>
  </si>
  <si>
    <t>Chin. Chem. Lett.</t>
  </si>
  <si>
    <t>10.1016/j.cclet.2013.02.011</t>
  </si>
  <si>
    <t>149GV</t>
  </si>
  <si>
    <t>WOS:000319307900012</t>
  </si>
  <si>
    <t>Lloyd, AJ; Nyblade, AA; Wiens, DA; Shore, PJ; Hansen, SE; Kanao, M; Zhao, DP</t>
  </si>
  <si>
    <t>Lloyd, Andrew J.; Nyblade, Andrew A.; Wiens, Douglas A.; Shore, Patrick J.; Hansen, Samantha E.; Kanao, Masaki; Zhao, Dapeng</t>
  </si>
  <si>
    <t>Upper mantle seismic structure beneath central East Antarctica from body wave tomography: Implications for the origin of the Gamburtsev Subglacial Mountains</t>
  </si>
  <si>
    <t>East Antarctica; Gamburtsev Subglacial Mountains; upper mantle</t>
  </si>
  <si>
    <t>VELOCITY STRUCTURE BENEATH; PRINCE-CHARLES MOUNTAINS; TRANSANTARCTIC MOUNTAINS; PRYDZ BAY; ROSS SEA; LANDSCAPE EVOLUTION; BASEMENT PROVINCES; LARSEMANN-HILLS; LAMBERT GRABEN; ARRIVAL TIMES</t>
  </si>
  <si>
    <t>The Gamburtsev Subglacial Mountains (GSM), located near the center of East Antarctica, are the highest feature within the East Antarctic highlands and have been investigated seismically for the first time during the 2007/2008 International Polar Year by the Gamburtsev Mountains Seismic Experiment. Using data from a network of 26 broadband seismic stations and body wave tomography, the P and S wave velocity structure of the upper mantle beneath the GSM and adjacent regions has been examined. Tomographic images produced from teleseismic P and S phases reveal several large-scale, small amplitude anomalies (Vp=1.0%, Vs=2.0%) in the upper 250 km of the mantle. The lateral distributions of these large-scale anomalies are similar in both the P and S wave velocity models and resolution tests show that they are well resolved. Velocity anomalies indicate slower, thinner lithosphere beneath the likely Meso- or Neoproterozoic Polar Subglacial Basin and faster, thicker lithosphere beneath the likely Archean/Paleoproterozoic East Antarctic highlands. Within the region of faster, thicker lithosphere, a lower amplitude (Vp=0.5%, Vs=1.0%) slow to fast velocity pattern is observed beneath the western flank of the GSM, suggesting a suture between two lithospheric blocks possibly of similar age. These findings point to a Precambrian origin for the high topography of the GSM, corroborating other studies invoking a long-lived highland landscape in central East Antarctica, as opposed to uplift caused by Permian/Cretaceous rifting or Cenozoic magmatism. The longevity of the GSM makes them geologically unusual; however, plausible analogs exist, such as the 550 Ma Petermann Ranges in central Australia. Additional uplift may have occurred by the reactivation of pre-existing faults, for example, during the Carboniferous-Permian collision of Gondwana and Laurussia.</t>
  </si>
  <si>
    <t>[Lloyd, Andrew J.; Nyblade, Andrew A.] Penn State Univ, Dept Geosci, University Pk, PA 16802 USA; [Lloyd, Andrew J.; Wiens, Douglas A.; Shore, Patrick J.] Washington Univ, Dept Earth &amp; Planetary Sci, St Louis, MO 63130 USA; [Hansen, Samantha E.] Univ Alabama, Dept Geol Sci, Tuscaloosa, AL USA; [Kanao, Masaki] Natl Inst Polar Res, Geosci Res Grp, Tokyo, Japan; [Kanao, Masaki] Natl Inst Polar Res, Polar Data Ctr, Tokyo, Japan; [Zhao, Dapeng] Tohoku Univ, Dept Geophys, Sendai, Miyagi 980, Japan</t>
  </si>
  <si>
    <t>Pennsylvania Commonwealth System of Higher Education (PCSHE); Pennsylvania State University; Pennsylvania State University - University Park; Washington University (WUSTL); University of Alabama System; University of Alabama Tuscaloosa; Research Organization of Information &amp; Systems (ROIS); National Institute of Polar Research (NIPR) - Japan; Research Organization of Information &amp; Systems (ROIS); National Institute of Polar Research (NIPR) - Japan; Tohoku University</t>
  </si>
  <si>
    <t>Lloyd, AJ (corresponding author), Penn State Univ, Dept Geosci, University Pk, PA 16802 USA.</t>
  </si>
  <si>
    <t>a.j.lloyd@go.wustl.edu</t>
  </si>
  <si>
    <t>DeClerck, Yves A/H-1173-2011; Wiens, Douglas/J-9259-2016</t>
  </si>
  <si>
    <t>Hansen, Samantha/0000-0001-7608-5715; Wiens, Douglas/0000-0002-5169-4386; Lloyd, Andrew/0000-0002-2253-1342; Zhao, Dapeng/0000-0003-2096-5195</t>
  </si>
  <si>
    <t>United States National Science Foundation [ANT-0537597, ANT-0537371, ANT-0838934, ANT-0838973]; Japanese National Institute of Polar Research</t>
  </si>
  <si>
    <t>United States National Science Foundation(National Science Foundation (NSF)); Japanese National Institute of Polar Research</t>
  </si>
  <si>
    <t>We wish to thank IRIS-PASSCAL for providing both instrumentation and field support during the operation of the GAMSEIS array in Antarctica, as well as the pilots and staff of Kenn Borek Air and the New York Air National Guard for flight support. We thank Raytheon Polar Services and the staff at AGAP-S camp, South Pole Station, and McMurdo Station for logistical support. We also thank Anya Reading, Karin Sigloch, Thorsten Becker, and an anonymous reviewer for their critiques on this manuscript. This work was completed with supported from the United States National Science Foundation (grants ANT-0537597, ANT-0537371, ANT-0838934, and ANT-0838973) and the Japanese National Institute of Polar Research. Figures in this paper were created using GMT [Wessel and Smith, 1998].</t>
  </si>
  <si>
    <t>10.1002/ggge.20098</t>
  </si>
  <si>
    <t>150SA</t>
  </si>
  <si>
    <t>WOS:000319410100009</t>
  </si>
  <si>
    <t>Elmore, CR; Gulick, SPS; Willems, B; Powell, R</t>
  </si>
  <si>
    <t>Elmore, Christopher R.; Gulick, Sean P. S.; Willems, Bryce; Powell, Ross</t>
  </si>
  <si>
    <t>Seismic stratigraphic evidence for glacial expanse during glacial maxima in the Yakutat Bay Region, Gulf of Alaska</t>
  </si>
  <si>
    <t>Alaska; glacier; Last Glacial Maximum; Little Ice Age; seismic stratigraphy; grounding zone wedges</t>
  </si>
  <si>
    <t>ANTARCTIC ICE-SHEET; NORTH PACIFIC; CONTINENTAL MARGINS; MALASPINA GLACIER; HUBBARD GLACIER; SVALBARD; LANDFORMS; SEDIMENT; STREAMS; MODEL</t>
  </si>
  <si>
    <t>Modern shelf bathymetry bordering the Gulf of Alaska exhibits shelf-crossing sea valleys that suggest focused pathways for ice flow during glacial conditions. Using an integrated seismic data set between the present Yakutat and Alsek Sea Valleys, we investigate the glacial stratigraphic record in order to improve our understanding of the regional glacial system during maximum glacial conditions. Our investigations reveal four glacial unconformities, of which, the latter two are overlain by sediment packages hundreds of meters thick. We suggest that these unconformities are indicative of ice advance phases during the Little Ice Age (LIA), the Last Glacial Maxima (LGM), and two pre-LGM advances with glacial retreat sequences preserved from the youngest two. The advances were dominated by ice expanse from the Malaspina Glacial system and Alsek River districts rather than the Hubbard Glacial system and only show distinctive morainal bank development near the shelf edge and near the mouth of, or within, modern bays, fjords, or river valleys. This observation strongly supports rapid and continuous retreat from glacial maxima conditions during climatic warming. All, except the inferred LIA sequence, transgress the shelf and exhibit concentrated erosion in overdeepened troughs, analogous to cross-shelf troughs similar to those observed on other high-latitude glaciated shelves. The two Alaskan troughs discussed here may be end-member examples of high-sediment flux systems due to the temperate glacial setting combined with an actively exhuming orogen.</t>
  </si>
  <si>
    <t>[Elmore, Christopher R.; Gulick, Sean P. S.] Univ Texas Austin, Inst Geophys, Jackson Sch Geosci, Austin, TX USA; [Willems, Bryce; Powell, Ross] No Illinois Univ, Dept Geol &amp; Environm Geosci, De Kalb, IL USA</t>
  </si>
  <si>
    <t>University of Texas System; University of Texas Austin; Northern Illinois University</t>
  </si>
  <si>
    <t>Elmore, CR (corresponding author), Marathon Oil Co, Houston, TX 77056 USA.</t>
  </si>
  <si>
    <t>relmore@marathonoil.com; sean@ig.utexas.edu</t>
  </si>
  <si>
    <t>Gulick, Sean/GNH-2042-2022</t>
  </si>
  <si>
    <t>Gulick, Sean/0000-0003-4740-9068</t>
  </si>
  <si>
    <t>NSF [OCE-0351620, EAR-0408584]; UT Institute for Geophysics</t>
  </si>
  <si>
    <t>NSF(National Science Foundation (NSF)); UT Institute for Geophysics</t>
  </si>
  <si>
    <t>We thank the captain and crew of the R/V Maurice Ewing for the assistance in acquiring the 2004 high-resolution seismic data. The research supported by NSF Ocean Drilling Program award OCE-0351620 and Continental Dynamics award EAR-0408584. Christopher R. Elmore is supported by a UT Institute for Geophysics, Gale White student fellowship. Manuscript benefitted from a review by John Anderson. This is University of Texas Institute for Geophysics Contribution #2558. The authors thank John Jaeger for assistance with the bathymetry of Yakutat Bay.</t>
  </si>
  <si>
    <t>10.1002/ggge.20097</t>
  </si>
  <si>
    <t>WOS:000319410100031</t>
  </si>
  <si>
    <t>Kuebler, KE</t>
  </si>
  <si>
    <t>Kuebler, Karla E.</t>
  </si>
  <si>
    <t>A comparison of the iddingsite alteration products in two terrestrial basalts and the Allan Hills 77005 martian meteorite using Raman spectroscopy and electron microprobe analyses</t>
  </si>
  <si>
    <t>JOURNAL OF GEOPHYSICAL RESEARCH-PLANETS</t>
  </si>
  <si>
    <t>olivine alteration; martian meteorites; iddingsite; ALHA 77005; jarosite; goethite</t>
  </si>
  <si>
    <t>CRATER VOLCANIC FIELD; ALUNITE-JAROSITE; MERIDIANI-PLANUM; OLIVINE; MARS; MINERALOGY; CHEMISTRY; SPECTRA; ROCKS; AKAGANEITE</t>
  </si>
  <si>
    <t>We document the secondary mineral assemblages in two occurrences of terrestrial iddingsite, Lunar Crater, Nevada (LC) and Mauna Kea, Hawaii (MK), and compare these with the iddingsite in Allan Hills (ALHA) 77005. Short Raman spectroscopic traverses across olivine alteration fronts provide information about changes in mineralogy with alteration. Data from the Raman traverses are combined with electron microprobe (EMP) traverses at the same locations which provide information regarding element mobility and confirm mineral identifications made by Raman spectroscopy. This information is used with petrographic observations to argue for the martian origin of the iddingsite and jarosite, infer the sequence of alteration, and deliberate on the conditions and settings of alteration. Raman spectra indicate the presence of different iron oxides/oxyhydroxides in each sample (goethite in LC, maghemite in MK, and akaganeite in ALHA), and the terrestrial samples show different element mobility trends (loss of MgO and SiO2, retention of FeO) than ALHA (loss of MgO and FeO, influx of SiO2), whose trends reflect the deposition of jarosite. Altered olivine occur throughout the LC samples but only in the exteriors of the MK samples. The LC and MK alteration products formed by surface alteration, but ALHA 77005 is a lherzolite, and the olivine hosting the iddingsite are enclosed by orthopyroxene (appear to be restricted to the light lithology), suggesting that it formed at depth during magma consolidation. The ALHA iddingsite is an example of deuteric alteration (reaction with fluids that separated from the magma as crystallization progressed towards completion).</t>
  </si>
  <si>
    <t>kkuebler820@att.net</t>
  </si>
  <si>
    <t>LPI; Allan Treiman; Mars Fundamental Research Program [NNX07AQ34G]</t>
  </si>
  <si>
    <t>LPI; Allan Treiman; Mars Fundamental Research Program</t>
  </si>
  <si>
    <t>I gratefully acknowledge the LPI and Allan Treiman for supporting my research during the summer of 2006 and the Johnson Space Center for the use of their electron microprobe facilities and for access to the Antarctic Meteorite Collection. I would like to thank Alian Wang for her assistance and advice and for granting me access to the Raman spectrometer at Washington University. Drs. Randy Korotev, Brad Jolliff, Alian Wang, Bob Dymek, and Jill Pasteris at Washington University in St. Louis all provided constructive reviews. The reviewers from JGR, Mark Fries and Melanie Kaliwoda, were also helpful. I would also like to extend my appreciation to everyone in the Earth &amp; Planetary Sciences Department at WashU and especially the Planetary Surface Materials Research Group for their guidance and support. This research was supported in part by grant NNX07AQ34G (Mars Fundamental Research Program) to Dr. Brad Jolliff.</t>
  </si>
  <si>
    <t>2169-9097</t>
  </si>
  <si>
    <t>2169-9100</t>
  </si>
  <si>
    <t>J GEOPHYS RES-PLANET</t>
  </si>
  <si>
    <t>J. Geophys. Res.-Planets</t>
  </si>
  <si>
    <t>10.1029/2012JE004243</t>
  </si>
  <si>
    <t>147GR</t>
  </si>
  <si>
    <t>WOS:000319155000012</t>
  </si>
  <si>
    <t>Lee, J; Park, I; Cho, J</t>
  </si>
  <si>
    <t>Lee, Jaekoo; Park, Inkyung; Cho, Jaiesoon</t>
  </si>
  <si>
    <t>Immobilization of the Antarctic Bacillus sp LX-1 α-Galactosidase on Eudragit L-100 for the Production of a Functional Feed Additive</t>
  </si>
  <si>
    <t>ASIAN-AUSTRALASIAN JOURNAL OF ANIMAL SCIENCES</t>
  </si>
  <si>
    <t>alpha-Galactosidase; Bacillus; Eudragit L-100; Immobilization; alpha-Galacto-oligosaccharides; Feed Industry</t>
  </si>
  <si>
    <t>XYLAN-DEGRADING ENZYMES; COVALENT IMMOBILIZATION; POLYMER; OLIGOSACCHARIDES; HYDROLYSIS; FLATULENCE; AMYLASE; SOYMILK; ACID</t>
  </si>
  <si>
    <t>Partially purified alpha-galactosidase from Bacillus sp. LX-1 was non-covalently immobilized on a reversibly solubleinsoluble polymer, Eudragit L-100, and an immobilization efficiency of 0.93 was obtained. The optimum pH of the free and immobilized enzyme was 6.5 to 7.0 and 7.0, respectively, while there was no change in optimum temperature between the free and immobilized alpha-galactosidase. The immobilized alpha-galactosidase was reutilized six times without significant loss in activity. The immobilized enzyme showed good storage stability at 37 degrees C, retaining about 50% of its initial activity even after 18 d at this temperature, while the free enzyme was completely inactivated. The immobilization of alpha-galactosidase from Bacillus sp. LX-1 on Eudragit L-100 may be a promising strategy for removal of alpha-galacto-oligosaccharides such as raffmose and stachyose from soybean meal and other legume in feed industry.</t>
  </si>
  <si>
    <t>[Lee, Jaekoo; Park, Inkyung; Cho, Jaiesoon] Konkuk Univ, Dept Anim Sci &amp; Environm, Coll Anim Biosci &amp; Technol, Seoul 143701, South Korea</t>
  </si>
  <si>
    <t>Konkuk University</t>
  </si>
  <si>
    <t>Cho, J (corresponding author), Konkuk Univ, Dept Anim Sci &amp; Environm, Coll Anim Biosci &amp; Technol, 120 Neungdong Ro, Seoul 143701, South Korea.</t>
  </si>
  <si>
    <t>chojs70@konkuk.ac.kr</t>
  </si>
  <si>
    <t>Ministry for Food, Agriculture, Forestry and Fisheries, Korea</t>
  </si>
  <si>
    <t>This research was supported by Bio-industry Technology Development Program, Ministry for Food, Agriculture, Forestry and Fisheries, Korea.</t>
  </si>
  <si>
    <t>ASIAN-AUSTRALASIAN ASSOC ANIMAL PRODUCTION SOC</t>
  </si>
  <si>
    <t>ROOM 708 SAMMO SPOREX, 1638-32, SEOWON-DONG, GWANAK-GU, SEOUL 151-730, SOUTH KOREA</t>
  </si>
  <si>
    <t>1011-2367</t>
  </si>
  <si>
    <t>1976-5517</t>
  </si>
  <si>
    <t>ASIAN AUSTRAL J ANIM</t>
  </si>
  <si>
    <t>Asian Australas. J. Anim. Sci.</t>
  </si>
  <si>
    <t>10.5713/ajas.2012.12557</t>
  </si>
  <si>
    <t>Agriculture, Dairy &amp; Animal Science</t>
  </si>
  <si>
    <t>Agriculture</t>
  </si>
  <si>
    <t>146LX</t>
  </si>
  <si>
    <t>WOS:000319093700014</t>
  </si>
  <si>
    <t>Howkins, A</t>
  </si>
  <si>
    <t>Howkins, Adrian</t>
  </si>
  <si>
    <t>JOURNAL OF BRITISH STUDIES</t>
  </si>
  <si>
    <t>[Howkins, Adrian] Colorado State Univ, Ft Collins, CO 80523 USA</t>
  </si>
  <si>
    <t>Colorado State University</t>
  </si>
  <si>
    <t>Howkins, A (corresponding author), Colorado State Univ, Ft Collins, CO 80523 USA.</t>
  </si>
  <si>
    <t>0021-9371</t>
  </si>
  <si>
    <t>1545-6986</t>
  </si>
  <si>
    <t>J BRIT STUD</t>
  </si>
  <si>
    <t>J. Br. Stud.</t>
  </si>
  <si>
    <t>10.1017/jbr.2013.45</t>
  </si>
  <si>
    <t>Social Science Citation Index (SSCI); Arts &amp; Humanities Citation Index (A&amp;HCI)</t>
  </si>
  <si>
    <t>137MS</t>
  </si>
  <si>
    <t>WOS:000318440600053</t>
  </si>
  <si>
    <t>Coria, RA; Moly, JJ; Reguero, M; Santillana, S; Marenssi, S</t>
  </si>
  <si>
    <t>Coria, Rodolfo A.; Moly, Juan J.; Reguero, Marcelo; Santillana, Sergio; Marenssi, Sergio</t>
  </si>
  <si>
    <t>A new ornithopod (Dinosauria; Ornithischia) from Antarctica</t>
  </si>
  <si>
    <t>Trinisaura; Ornithopoda; Dinosaurs; Cretaceous; Antarctica</t>
  </si>
  <si>
    <t>LATE CRETACEOUS STRATIGRAPHY; JAMES-ROSS-BASIN; ISLAND; REAPPRAISAL</t>
  </si>
  <si>
    <t>A new ornithopod dinosaur from Antarctica, Trinisaura santamartaensis n. gen. et n. sp. is diagnosed by a unique combination of characters that includes a scapula with a spike-like acromial process with a strong and sharp lateral crest and longer than other ornithopods, a humerus with a rudimentary deltopectoral crest represented as a thickening on the anterolateral margin of the humerus, and shaft strongly bowed laterally, and an ischium gently curved along its entire length. The holotype specimen comprises vertebral and appendicular elements. The presence of axially elongate distal caudal vertebrae, pubis with long prepubic and postpubic processes, as well as a femur with a distinct anterior trochanter, pendant 4th trochanter and shallow anterior intercondylar groove constitute a combination of characters present in the Late Cretaceous Patagonian Gasparinisaura, Anabisetia and Talenkahuen. The materials were found on the surface enclosed in a hard sandstone concretion collected near the Santa Marta Cove, James Ross Island, from the lower levels of the Snow Hill Island Formation (Campanian). This is the first ornithopod taxon identified from this unit, and the second ornithischian dinosaur, after the ankylosaur Antarctopelta oliveroi. However, other ornithopod reports from nearby localities of James Ross and Vega islands in outcrops of the overlying Lopez de Bertodano Formation suggest that this clade was widely represented in the Campanian and Maastrichtian of the James Ross Basin, Antarctic continent. (c) 2012 Elsevier Ltd. All rights reserved.</t>
  </si>
  <si>
    <t>[Coria, Rodolfo A.; Reguero, Marcelo; Marenssi, Sergio] Consejo Nacl Invest Cient &amp; Tecn, RA-1033 Buenos Aires, DF, Argentina; [Coria, Rodolfo A.] Univ Nacl Rio Negro, Subsecretaria Cultura Neuquen, Museo Carmen Funes, RA-8318 Plaza Huincul, Neuquen, Argentina; [Moly, Juan J.; Reguero, Marcelo] Museo La Plata, RA-1900 La Plata, Buenos Aires, Argentina; [Reguero, Marcelo; Santillana, Sergio; Marenssi, Sergio] Inst Antartico Argentina, Buenos Aires, DF, Argentina</t>
  </si>
  <si>
    <t>Consejo Nacional de Investigaciones Cientificas y Tecnicas (CONICET); National University of La Plata; Museo La Plata; Instituto Antartico Argentino</t>
  </si>
  <si>
    <t>Coria, RA (corresponding author), Univ Nacl Rio Negro, Subsecretaria Cultura Neuquen, Museo Carmen Funes, Av Cordoba 55, RA-8318 Plaza Huincul, Neuquen, Argentina.</t>
  </si>
  <si>
    <t>coriarod@copelnet.com.ar; juanjomoly@hotmail.com; regui@fcnym.unlp.edu.ar; ssantillana@dna.gov.ar; smarenssi@dna.gov.ar</t>
  </si>
  <si>
    <t>Reguero, Marcelo A./JHS-4893-2023; Coria, Rodolfo/JXM-9875-2024</t>
  </si>
  <si>
    <t>Reguero, Marcelo A./0000-0003-0875-8484</t>
  </si>
  <si>
    <t>Instituto Antartico Argentino (PICTA); ANCYPT PICT [0365]; Consejo Nacional de Investigaciones Cientificas y Tecnicas (CONICET)</t>
  </si>
  <si>
    <t>Instituto Antartico Argentino (PICTA); ANCYPT PICT; Consejo Nacional de Investigaciones Cientificas y Tecnicas (CONICET)(Consejo Nacional de Investigaciones Cientificas y Tecnicas (CONICET))</t>
  </si>
  <si>
    <t>Thanks to the Instituto Antartico Argentino for its permanent support on Antarctic scientific research. To Dr. P.J. Currie (University of Alberta, Canada) for reviewing both language and content of the manuscript. To Dr. A.B. Arcucci (Universidad Nacional de San Luis, Argentina) for her insightful comments and to two anonymous reviewers for their useful suggestions. The specimen was skillfully prepared by E. Gomez (MCF). The research was supported by Instituto Antartico Argentino (PICTA 2004 and 2008), ANCYPT PICT 0365 (to M.R.) and Consejo Nacional de Investigaciones Cientificas y Tecnicas (CONICET).</t>
  </si>
  <si>
    <t>10.1016/j.cretres.2012.12.004</t>
  </si>
  <si>
    <t>112HG</t>
  </si>
  <si>
    <t>WOS:000316582700016</t>
  </si>
  <si>
    <t>Wang, CW; Hong, HL; Li, ZH; Yin, K; Xie, J; Liang, GJ; Song, BW; Song, EP; Zhang, KX</t>
  </si>
  <si>
    <t>Wang, Chaowen; Hong, Hanlie; Li, Zhaohui; Yin, Ke; Xie, Jin; Liang, Guojun; Song, Bowen; Song, E-Ping; Zhang, Kexin</t>
  </si>
  <si>
    <t>The Eocene-Oligocene climate transition in the Tarim Basin, Northwest China: Evidence from clay mineralogy</t>
  </si>
  <si>
    <t>APPLIED CLAY SCIENCE</t>
  </si>
  <si>
    <t>Clay minerals; Eocene-Oligocene climate transition; Paleoclimate; Qinghai-Tibetan Plateau; Tarim Basin</t>
  </si>
  <si>
    <t>STABLE-ISOTOPE RECORDS; TIBETAN PLATEAU; TAKLIMAKAN DESERT; ANTARCTIC GLACIATION; RIVER SEDIMENTS; GLOBAL CLIMATE; WEST KUNLUN; TIEN-SHAN; UPLIFT; EVOLUTION</t>
  </si>
  <si>
    <t>Clay mineralogy analyses were carried out on Cenozoic sedimentary rocks collected from the southwestern margin of the Tarim Basin, northwest China, using X-ray diffraction (XRD) and scanning electron microscopy (SEM) methods. These investigations were aimed at determining the paleoclimate of the area in early Cenozoic times, especially during the late Eocene to early Oligocene. The proportion of clay mineral species and clay mineral indices, as well as the proportion of non-clay minerals, gypsum, and morphology of the clays showed that the paleoclimate of the Tarim Basin underwent a distinct change from warm and humid to cold and dry during the late Eocene to early Oligocene. The climate evolution derived from the clay mineralogical study in the Tarim Basin is consistent with the effects of Eocene-Oligocene climate cooling. Combined with the retreat of the Neo-Tethys Sea, cooling of global ocean temperatures reduced the moisture supply to continental interiors, leading to cooling and aridification in the Asian interior. (C) 2012 Elsevier B.V. All rights reserved.</t>
  </si>
  <si>
    <t>[Wang, Chaowen; Hong, Hanlie; Yin, Ke; Xie, Jin; Liang, Guojun; Song, Bowen; Zhang, Kexin] China Univ Geosci, State Key Lab Biogeol &amp; Environm Geol, Wuhan 430074, Peoples R China; [Wang, Chaowen; Hong, Hanlie; Li, Zhaohui; Yin, Ke; Xie, Jin; Liang, Guojun] China Univ Geosci, Fac Earth Sci, Wuhan 430074, Peoples R China; [Li, Zhaohui] Univ Wisconsin Parkside, Dept Geosci, Kenosha, WI 53141 USA; [Song, Bowen; Zhang, Kexin] China Univ Geosci, State Key Lab Geol Proc &amp; Mineral Resources, Wuhan 430074, Peoples R China; [Song, E-Ping; Zhang, Kexin] China Univ Geosci, Wuhan 430074, Peoples R China</t>
  </si>
  <si>
    <t>China University of Geosciences; China University of Geosciences; University of Wisconsin System; University of Wisconsin Parkside; China University of Geosciences; China University of Geosciences</t>
  </si>
  <si>
    <t>Wang, CW (corresponding author), China Univ Geosci, State Key Lab Biogeol &amp; Environm Geol, Wuhan 430074, Peoples R China.</t>
  </si>
  <si>
    <t>cwwang_cug@yahoo.cn</t>
  </si>
  <si>
    <t>Wang, Chaowen/GVS-0595-2022; li, zh/HII-5698-2022; zhang, ke/AAH-8217-2019; Li, Zhaohui/A-5412-2010; Song, Bowen/ABA-6950-2021</t>
  </si>
  <si>
    <t>Li, Zhaohui/0000-0003-1762-9676; Wang, Chaowen/0000-0003-1254-872X</t>
  </si>
  <si>
    <t>Key Project Foundation of China Geological Survey [1212011121261]; National Natural Science Foundation of China [41072030, 408720387]</t>
  </si>
  <si>
    <t>Key Project Foundation of China Geological Survey; National Natural Science Foundation of China(National Natural Science Foundation of China (NSFC))</t>
  </si>
  <si>
    <t>This work was financially supported by the Key Project Foundation of China Geological Survey (no. 1212011121261) and the National Natural Science Foundation of China (nos. 41072030 and 408720387). Acknowledgment goes to the guest editor, John Keeling and the reviewers, Dr. Hemmo A. Abels and an anonymous reviewer for their constructive comments and suggestions.</t>
  </si>
  <si>
    <t>0169-1317</t>
  </si>
  <si>
    <t>1872-9053</t>
  </si>
  <si>
    <t>APPL CLAY SCI</t>
  </si>
  <si>
    <t>Appl. Clay Sci.</t>
  </si>
  <si>
    <t>10.1016/j.clay.2012.09.003</t>
  </si>
  <si>
    <t>Chemistry, Physical; Materials Science, Multidisciplinary; Mineralogy</t>
  </si>
  <si>
    <t>Chemistry; Materials Science; Mineralogy</t>
  </si>
  <si>
    <t>130UH</t>
  </si>
  <si>
    <t>WOS:000317945100003</t>
  </si>
  <si>
    <t>Briani, G; Pace, E; Shore, SN; Pupillo, G; Passaro, A; Aiello, S</t>
  </si>
  <si>
    <t>Briani, G.; Pace, E.; Shore, S. N.; Pupillo, G.; Passaro, A.; Aiello, S.</t>
  </si>
  <si>
    <t>Simulations of micrometeoroid interactions with the Earth atmosphere</t>
  </si>
  <si>
    <t>meteorites, meteors, meteoroids; Earth</t>
  </si>
  <si>
    <t>METEOROID ABLATION; ANTARCTIC SNOW; GRAINS; GAS; PHYSICS; MODEL; DUST; COLLECTION; SHOCKS; ENTRY</t>
  </si>
  <si>
    <t>Aims. Micrometeoroids (cosmic dust with size between a few mu m and similar to 1 mm) dominate the annual extraterrestrial mass flux to the Earth. We investigate the range of physical processes occurring when micrometeoroids traverse the atmosphere. We compute the time (and altitude) dependent mass loss, energy balance, and dynamics to identify which processes determine their survival for a range of entry conditions. Methods. We develop a general numerical model for the micrometeoroid-atmosphere interaction. The equations of motion, energy, and mass balance are simultaneously solved for different entry conditions (e. g. initial radii, incident speeds and angles). Several different physical processes are taken into account in the equation of energy and in the mass balance, in order to understand their relative roles and evolution during the micrometeoroid-atmosphere interaction. In particular, to analyze the micrometeoroid thermal history we include in the energy balance: collisions with atmospheric particles, micrometeoroid radiation emission, evaporation, melting, sputtering and kinetic energy of the ablated mass. Results. Low entry velocities and grazing incidence angles favor micrometeoroid survival. Among those that survive, our model distinguishes (1) micrometeoroids who reach the melting temperature and for which melting is the most effective mass loss mechanism, and (2) micrometeoroids for which ablation due to evaporation causes most of the the mass loss. Melting is the most effective cooling mechanism. Sputtering-induced mass loss is negligible.</t>
  </si>
  <si>
    <t>[Briani, G.; Pace, E.; Aiello, S.] Univ Florence, Dipartimento Fis &amp; Astron, I-50125 Florence, Italy; [Shore, S. N.] Univ Pisa, Dipartimento Fis, I-50127 Pisa, Italy; [Shore, S. N.] Ist Nazl Fis Nucl, Sez Pisa, I-50127 Pisa, Italy; [Pupillo, G.] INAF Ist Radioastron, I-40129 Bologna, Italy; [Passaro, A.] Alta SpA, I-56121 Pisa, Italy</t>
  </si>
  <si>
    <t>University of Florence; University of Pisa; Istituto Nazionale di Fisica Nucleare (INFN); Istituto Nazionale Astrofisica (INAF)</t>
  </si>
  <si>
    <t>Briani, G (corresponding author), Univ Paris 11, Ctr Spectrometrie Nucl &amp; Spectrometrie Masse, IN2P3, CNRS,UMR 8609, Batiment 104, F-91405 Orsay, France.</t>
  </si>
  <si>
    <t>giacomo.briani@csnsm.in2p3.fr</t>
  </si>
  <si>
    <t>Pupillo, Giuseppe/0000-0003-2172-1336; Pace, Emanuele/0000-0001-5870-1772</t>
  </si>
  <si>
    <t>MIUR</t>
  </si>
  <si>
    <t>MIUR(Ministry of Education, Universities and Research (MIUR))</t>
  </si>
  <si>
    <t>We thank M. D'Orazio and L. Folco for valuable discussions and F. Savini for assistance. We thank F. Rietmeijer for a careful review of a first version of the manuscript. This work was supported in part by MIUR.</t>
  </si>
  <si>
    <t>A53</t>
  </si>
  <si>
    <t>10.1051/0004-6361/201219658</t>
  </si>
  <si>
    <t>130JW</t>
  </si>
  <si>
    <t>WOS:000317912000053</t>
  </si>
  <si>
    <t>Rakleova, G; Pouneva, I; Dobrev, N; Tchorbadjieva, M</t>
  </si>
  <si>
    <t>Rakleova, Goritsa; Pouneva, Irina; Dobrev, Nikolay; Tchorbadjieva, Magdalena</t>
  </si>
  <si>
    <t>DIFFERENTIALLY SECRETED PROTEINS OF ANTARCTIC AND MESOPHILIC STRAINS OF SYNECHOCYSTIS SALINA AND CHLORELLA VULGARIS AFTER UV-B AND TEMPERATURE STRESS TREATMENT</t>
  </si>
  <si>
    <t>BIOTECHNOLOGY &amp; BIOTECHNOLOGICAL EQUIPMENT</t>
  </si>
  <si>
    <t>Antarctic algae; Antarctic cyanobacteria; Chlorella; extracellular proteins; proteases; stress response; Synechocystis</t>
  </si>
  <si>
    <t>NOSTOC-COMMUNE CYANOBACTERIA; HEAT-SHOCK RESPONSE; SUPEROXIDE-DISMUTASE; SP PCC-6803; PROTEOMIC ANALYSIS; PLASMA-MEMBRANES; PLANT-PROTEINS; GREEN-ALGA; CELL-DEATH; PCC 6803</t>
  </si>
  <si>
    <t>Exponential-phase cell cultures from Antarctic and mesophilic strains of the cyanobacterium Synechocystis salina and the unicellular green alga Chlorella vulgaris were subjected to UV-B and temperature stress and investigated for alterations in the spectrum of secreted proteins. In addition to constitutively secreted proteins, strain-specific stress proteins were detected on silver-stained gels. Extracellular protein patterns within a given strain, as well as between strains after exposure to each UV-B and temperature stress were notably different. UV-B exposure induced only moderate changes of the secreted proteins in both Antarctic and mesophilic Synechocystis sauna strains. However, a 21 kDa protein band present in Antarctic Synechocystis salina only was identified using LC-MS/MS analysis, to contain two proteins - a peroxiredoxin and Fe-superoxide dismutase (Fe-SOD). Their presence might modulate the level of reactive oxygen species generated in membranes during UV-B stress and, thus, contribute to the higher survival rate of Antarctic Synechocystis sauna. In addition, proteolytic activity in the extracellular protein samples of both species was detected on ID zymography in a polyacrylamide gel containing gelatin as substrate. Antarctic Synechocystis sauna secreted cysteine-, serine-, and metalloproteases, while mesophilic Synechocystis salina secreted mainly cysteine proteases. Subtle changes of the protease activity bands in Antarctic Synechocystis salina and Chlorella vulgaris were observed after UV-B and temperature stress. In contrast, mesophilic Synechocystis salina responded with a considerable increase in protease activity and number of activity bands after 30 min and 60 min exposure to UV-B, as well as when grown at 35 degrees C and 40 degrees C. Peptidases are key players in structuring and adapting cells under various stressful conditions. The varying pattern of secreted proteases among the Antarctic and mesophilic strains of Synechocystis sauna and Chlorella vulgaris suggests different mechanisms for coping with UV-B and temperature stress. Characterization of extracellular proteins discovered in the present study will provide further understanding of the rich defense arsenal and mechanisms of survival of cyanobacteria and microalgae. Biotechnol. &amp; Biotechnol. Eq. 2013, 27(2), 3669-3680</t>
  </si>
  <si>
    <t>[Rakleova, Goritsa; Dobrev, Nikolay; Tchorbadjieva, Magdalena] Sofia Univ St Kl Ohridski, Fac Biol, Sofia, Bulgaria; [Pouneva, Irina] Bulgarian Acad Sci, Inst Plant Physiol &amp; Genet, Sofia, Bulgaria</t>
  </si>
  <si>
    <t>University of Sofia; Bulgarian Academy of Sciences</t>
  </si>
  <si>
    <t>Tchorbadjieva, M (corresponding author), Sofia Univ St Kl Ohridski, Fac Biol, Sofia, Bulgaria.</t>
  </si>
  <si>
    <t>magd@biofac.uni-sofia.bg</t>
  </si>
  <si>
    <t>Dobrev, Nikolay/0000-0002-8144-4599</t>
  </si>
  <si>
    <t>National Science Fund of Bulgaria [NSF/D002-317/2008]</t>
  </si>
  <si>
    <t>National Science Fund of Bulgaria(National Science Fund of Bulgaria)</t>
  </si>
  <si>
    <t>This work was supported by a grant (NSF/D002-317/2008) from the National Science Fund of Bulgaria.</t>
  </si>
  <si>
    <t>1310-2818</t>
  </si>
  <si>
    <t>1314-3530</t>
  </si>
  <si>
    <t>BIOTECHNOL BIOTEC EQ</t>
  </si>
  <si>
    <t>Biotechnol. Biotechnol. Equip.</t>
  </si>
  <si>
    <t>10.5504/BBEQ.2013.0002</t>
  </si>
  <si>
    <t>131MI</t>
  </si>
  <si>
    <t>WOS:000317997400010</t>
  </si>
  <si>
    <t>Zhang, H; Ai, Y; Zhang, YG; Hu, GY</t>
  </si>
  <si>
    <t>Zhang Hong; Ai Yong; Zhang YanGe; Hu GuoYuan</t>
  </si>
  <si>
    <t>First observation of thermospheric neutral wind at Chinese Yellow River Station in Ny-Alesund, Svalbard</t>
  </si>
  <si>
    <t>CHINESE SCIENCE BULLETIN</t>
  </si>
  <si>
    <t>Fabry-Perot interferometer; thermosphere; winds; polar region; aurora</t>
  </si>
  <si>
    <t>INTERFEROMETER</t>
  </si>
  <si>
    <t>A compact and cost-effective all-sky Fabry-Perot interferometer, which is produced by Wuhan University and used for the observation of the thermospheric neutral wind, was installed at Chinese Yellow River Station in Ny-Alesund, Svalbard in November 2010, and continuously operated in last two winter seasons. The 92-day all-sky interference data acquired from November 1, 2011 to February 26, 2012 were collected to get the velocity of thermospheric neutral wind, which was calculated from the Doppler shift caused by the movement of oxygen atom at the different layers. The database was divided into two periods: (1) The 01 557.7 nm emission was observed from November 1, 2011 to January 12, 2012. Observations showed that the velocity of horizontal wind is normally less than similar to 40 m/s on the quiet condition, and exceeded 100 m/s on the disturbed condition; and (2) the OI 630.0 nm emission was observed from January 13, 2012 to February 26, 2012. Observations showed that the velocity of horizontal wind is normally less than similar to 200 m/s, and enhanced to over 300 m/s on strong magnetic activities. It shows that the velocities of meridional and zonal wind are more consistent with the velocities calculated from the model HWM07 at the higher layer, especially for the zonal direction at nightside auroral regions. Ion drag and Joule heating were the two important processes considered in the analysis of the relationship between the wind pattern and aurora, suggesting that wind speed would be increased and accelerated in the direction perpendicular to the aurora arc when the aurora activity becomes strong.</t>
  </si>
  <si>
    <t>[Zhang Hong; Ai Yong; Zhang YanGe; Hu GuoYuan] Wuhan Univ, Sch Elect Informat, Wuhan 430072, Peoples R China</t>
  </si>
  <si>
    <t>Wuhan University</t>
  </si>
  <si>
    <t>Zhang, H (corresponding author), Wuhan Univ, Sch Elect Informat, Wuhan 430072, Peoples R China.</t>
  </si>
  <si>
    <t>Rainbow.313@163.com; aiyong09@163.com</t>
  </si>
  <si>
    <t>sun, jiamin/JPY-2155-2023; liu, peiyao/KFT-1810-2024</t>
  </si>
  <si>
    <t>National High-Tech R&amp;D Program of China; Chinese Arctic and Antarctic Administration</t>
  </si>
  <si>
    <t>This work was supported by the National High-Tech R&amp;D Program of China and the Chinese Arctic and Antarctic Administration.</t>
  </si>
  <si>
    <t>1001-6538</t>
  </si>
  <si>
    <t>CHINESE SCI BULL</t>
  </si>
  <si>
    <t>Chin. Sci. Bull.</t>
  </si>
  <si>
    <t>10.1007/s11434-012-5626-9</t>
  </si>
  <si>
    <t>133GQ</t>
  </si>
  <si>
    <t>WOS:000318127300013</t>
  </si>
  <si>
    <t>Fan, K; Tian, BQ</t>
  </si>
  <si>
    <t>Fan Ke; Tian BaoQiang</t>
  </si>
  <si>
    <t>Prediction of wintertime heavy snow activity in Northeast China</t>
  </si>
  <si>
    <t>winter climate; heavy snow; climate prediction</t>
  </si>
  <si>
    <t>YANGTZE-RIVER VALLEY; INTERANNUAL VARIABILITY; ANTARCTIC OSCILLATION; SUMMER MONSOON; TEMPERATURE; LINKAGE; MODEL; EAST</t>
  </si>
  <si>
    <t>In Northeast China during the winter, severe snowstorms can occur resulting in both societal and economic damage. In this paper, we explore an effective technique for the seasonal prediction of heavy snow activity, where previous synoptic studies have failed. We employ a year-to-year increment approach and ultimately identify four predictors, x(1) to x(4). x(1) is the area-averaged soil moisture over the northern part of Northeast China in the preceding month of September and represents the role of land processes. x(2) represents the role of sea-air interactions in winter, x(3) the preceding summer Mascarene High related to the winter SST over the tropical western Pacific, and x(4) is the low-level the thermal condition over Northeast China from the previous year that oppose current year. Cross-validation tests for both 1963-2011 and independent hindcasts between 1983-2010 are performed to validate the prediction ability of our technique. The cross validation test results for 1963-2011 reveal a high correlation coefficient of 0.86 (0.77) between the predicted and observed year-to-year increment of the number of snow days. The model also predicts well the independent hindcast for the years 1983-2011. Therefore, this study provides an effective climate prediction model for Northeast China's heavy snow activities and thus requires preliminary application in operational settings.</t>
  </si>
  <si>
    <t>[Fan Ke; Tian BaoQiang] Chinese Acad Sci, Nansen Zhu Int Res Ctr, Inst Atmospher Phys, Beijing 100029, Peoples R China; [Fan Ke] Chinese Acad Sci, Key Lab Reg Climate Environm Res East Asia, Beijing 100029, Peoples R China; [Tian BaoQiang] Chinese Acad Sci, Grad Univ, Beijing 100049, Peoples R China</t>
  </si>
  <si>
    <t>Chinese Academy of Sciences; Institute of Atmospheric Physics, CAS; Chinese Academy of Sciences; Chinese Academy of Sciences; University of Chinese Academy of Sciences, CAS</t>
  </si>
  <si>
    <t>Fan, K (corresponding author), Chinese Acad Sci, Nansen Zhu Int Res Ctr, Inst Atmospher Phys, Beijing 100029, Peoples R China.</t>
  </si>
  <si>
    <t>Fan, Ke/AAJ-2315-2020; Fan, K/GXH-3734-2022</t>
  </si>
  <si>
    <t>National Basic Research Program of China [2009CB421406]; Knowledge Innovation Key Program of the Chinese Academy of Sciences [KZCX2-YW-QN202]; Strategic Technological Program of Chinese Academy of Sciences [XDA05090426]</t>
  </si>
  <si>
    <t>National Basic Research Program of China(National Basic Research Program of China); Knowledge Innovation Key Program of the Chinese Academy of Sciences; Strategic Technological Program of Chinese Academy of Sciences</t>
  </si>
  <si>
    <t>This work was supported by the National Basic Research Program of China (2009CB421406), the Knowledge Innovation Key Program of the Chinese Academy of Sciences (KZCX2-YW-QN202), and Strategic Technological Program of Chinese Academy of Sciences (XDA05090426).</t>
  </si>
  <si>
    <t>10.1007/s11434-012-5502-7</t>
  </si>
  <si>
    <t>133GO</t>
  </si>
  <si>
    <t>WOS:000318127100011</t>
  </si>
  <si>
    <t>Maillard, JP; Drissen, L; Grandmont, F; Thibault, S</t>
  </si>
  <si>
    <t>Maillard, J. P.; Drissen, L.; Grandmont, F.; Thibault, S.</t>
  </si>
  <si>
    <t>Integral wide-field spectroscopy in astronomy: the Imaging FTS solution</t>
  </si>
  <si>
    <t>EXPERIMENTAL ASTRONOMY</t>
  </si>
  <si>
    <t>Instrumentation; Spectroscopy; Star formation; Gas kinematics; ISM</t>
  </si>
  <si>
    <t>FOURIER-TRANSFORM SPECTROMETER; SUPERNOVA REMNANT; RESOLUTION; SPECTROGRAPH; LINE; MISSION; IFTS</t>
  </si>
  <si>
    <t>Long-slit grating spectrometers in scanning mode and Fabry-Perot interferometers as tunable filters are commonly used to perform integral wide-field spectroscopy on extended astrophysical objects as HII regions and nearby galaxies. The goal of this paper is to demonstrate, by comparison, through a thorough review of the imaging Fourier transform spectrometer (IFTS) properties, that this instrument represents another interesting solution. After a brief recall of the performances, regarding FOV and spectral resolution, of the grating spectrometer, without and with integral field units (IFU), and of the imaging Fabry-Perot, it is demonstrated that for an IFTS the product of the maximum resolution R by the entrance beam ,tendue U is equal to with the number of pixels of the detector array and S the area of the interferometer beamsplitter. As a consequence, the IFTS offers the most flexible choice of field size and spectral resolution, up to high values for both parameters. It also presents on a wide field an important multichannel advantage in comparison to integral field grating spectrometers, even with multiple IFUs. To complete, the few astronomical IFTSs, built behind ground-based telescopes and in space, for the visible range up to the sub-millimetric domain, are presented. Through two wide-field IFTS projects, one in the visible, the other one in the mid-infrared, the question is addressed of the practical FOV and resolution limits, set by the optical design of the instrument, which can be achieved. Within the 0.3 to 2.5 m domain, a Michelson interferometer with wide-field diopric collimators provides the easiest solution. This design is illustrated by a -field IFTS in the 0.35-0.90 m range around an off-axis interferometer, called SITELLE, proposed for the 3.6-m CFH Telescope. At longer wavelengths, an all-mirror optics is required, as studied for a spaceborne IFTS, H2EX, for the 8-29 m range, a field, and a high resolution of at 10 m. To comply with these characteristics, the interferometer is designed with cat's eye retroreflectors. In the same domain and up to the far infrared, if the instrument aims only at a low spectral resolution (few thousands) and a smaller field (few arcmins), roof-top or corner cube mirrors, as for the IFTS SPIRE on the Herschel space telescope, are usable. At last, perspectives are opened, behind an ELT in the visible and the near infrared with the SITELLE optical combination, in the 2-5 m on the Antarctic plateau or in space up to longer wavelengths, with the H2EX design, to provide the missing capability of global high spectral resolution studies of extended sources, from comets to distant galaxy clusters.</t>
  </si>
  <si>
    <t>[Maillard, J. P.] Univ Paris 06, CNRS, UMR7095, Inst Astrophys Paris, F-75014 Paris, France; [Drissen, L.] Univ Laval, Ctr Rech Astrophys Quebec, Dept Phys Genie Phys &amp; Opt, Quebec City, PQ G1V 0A6, Canada; [Grandmont, F.] ABB Bomem, Quebec City, PQ G1K 9H4, Canada; [Thibault, S.] Univ Laval, Dept Phys Genie Phys &amp; Opt, Quebec City, PQ G1V OA6, Canada</t>
  </si>
  <si>
    <t>Sorbonne Universite; Centre National de la Recherche Scientifique (CNRS); CNRS - National Institute for Earth Sciences &amp; Astronomy (INSU); Universite de Montreal; Laval University; Laval University</t>
  </si>
  <si>
    <t>Maillard, JP (corresponding author), Univ Paris 06, CNRS, UMR7095, Inst Astrophys Paris, 98 Bis Blvd Arago, F-75014 Paris, France.</t>
  </si>
  <si>
    <t>maillard@iap.fr; ldrissen@phy.ulaval.ca; frederic.j.grandmont@ca.abb.com; simon.thibault@phy.ulaval.ca</t>
  </si>
  <si>
    <t>Thibault, Simon/0000-0002-2791-0595</t>
  </si>
  <si>
    <t>0922-6435</t>
  </si>
  <si>
    <t>1572-9508</t>
  </si>
  <si>
    <t>EXP ASTRON</t>
  </si>
  <si>
    <t>Exp. Astron.</t>
  </si>
  <si>
    <t>10.1007/s10686-013-9330-9</t>
  </si>
  <si>
    <t>133VT</t>
  </si>
  <si>
    <t>WOS:000318169600007</t>
  </si>
  <si>
    <t>McQuinn, IH; Dion, M; St Pierre, JF</t>
  </si>
  <si>
    <t>McQuinn, Ian H.; Dion, Maxime; St Pierre, Jean-Francois</t>
  </si>
  <si>
    <t>The acoustic multifrequency classification of two sympatric euphausiid species (Meganyctiphanes norvegica and Thysanoessa raschii), with empirical and SDWBA model validation</t>
  </si>
  <si>
    <t>acoustic frequency response; ecosystem monitoring; Meganyctiphanes norvegica; multifrequency classification; SDWBA model; self-noise removal; Thysanoessa raschii; TS estimation</t>
  </si>
  <si>
    <t>TARGET STRENGTH MEASUREMENTS; ANTARCTIC KRILL; IMPROVED PARAMETERIZATION; SOUND-SPEED; ZOOPLANKTON; SCATTERING; AVOIDANCE; ABUNDANCE; SUPERBA; DISCRIMINATION</t>
  </si>
  <si>
    <t>The ecosystem approach to fishery management requires monitoring capabilities at all trophic levels, including pelagic organisms. However, the usefulness of active acoustics for ecosystem monitoring has been limited by ambiguities in the identification of scattering layers. Increasingly, multifrequency acoustic methods are being developed for the classification of scattering layers into species or species groups. We describe a method for distinguishing between sympatric northern and Arctic krill (Meganyctiphanes norvegica and Thysanoessa raschii) using sv amplitude ratios from 38, 120, and 200 kHz data which were pre-processed through a self-noise removal algorithm. Acoustic frequency responses of both euphausiid species were predicted from species-specific parameterizations of a SDWBA physical model using specific body forms (shape, volume, and length) for Arctic and northern krill. Classification and model validation were achieved using macrozooplankton samples collected from multiple-sampler (BIONESS) and ringnet (JackNet) hauls, both equipped with a strobe light to reduce avoidance by euphausiids. SDWBA frequency responses were calculated for a range of orientations (+/- 45 degrees) and compared with observed frequency responses, solving for orientation by least squares. A tilt angle distribution of N[9 degrees,4 degrees] and N[12 degrees,6 degrees] for T. raschii and M. norvegica, respectively resulted in best fits. The models also provided species-specific TS-length relationships.</t>
  </si>
  <si>
    <t>[McQuinn, Ian H.; Dion, Maxime; St Pierre, Jean-Francois] Fisheries &amp; Oceans Canada, Maurice Lamontagne Inst, Mont Joli, PQ G5H 3Z4, Canada; [Dion, Maxime] Univ Sherbrooke, Dept Phys, Sherbrooke, PQ J1K 2R1, Canada</t>
  </si>
  <si>
    <t>Fisheries &amp; Oceans Canada; University of Sherbrooke</t>
  </si>
  <si>
    <t>McQuinn, IH (corresponding author), Fisheries &amp; Oceans Canada, Maurice Lamontagne Inst, Mont Joli, PQ G5H 3Z4, Canada.</t>
  </si>
  <si>
    <t>ian.mcquinn@dfo-mpo.gc.ca</t>
  </si>
  <si>
    <t>Dion, Maxime/0000-0003-4153-2364</t>
  </si>
  <si>
    <t>DFO Species at Risk Committee/Comite des Especes en Peril (SARCEP); Ecosystem Research Initiative (ERI) programmes</t>
  </si>
  <si>
    <t>The authors thank Drs David Demer and Stephane Conti for their valuable assistance and counselling in the programming and parameterization of the SDWBA model. We also thank Sylvain Chartrand for technical assistance with the equipment installation including calibrations, and Nancy Otis for meticulous acoustic data editing and scrutinizing. Funding came from the DFO Species at Risk Committee/Comite des Especes en Peril (SARCEP) and the Ecosystem Research Initiative (ERI) programmes.</t>
  </si>
  <si>
    <t>10.1093/icesjms/fst004</t>
  </si>
  <si>
    <t>132UC</t>
  </si>
  <si>
    <t>WOS:000318093200014</t>
  </si>
  <si>
    <t>Candelori, A; Luporini, P; Alimenti, C; Vallesi, A</t>
  </si>
  <si>
    <t>Candelori, Annalisa; Luporini, Pierangelo; Alimenti, Claudio; Vallesi, Adriana</t>
  </si>
  <si>
    <t>Characterization and Expression of the Gene Encoding En-MAPK1, an Intestinal Cell Kinase (ICK)-like Kinase Activated by the Autocrine Pheromone-Signaling Loop in the Polar Ciliate, Euplotes nobilii</t>
  </si>
  <si>
    <t>INTERNATIONAL JOURNAL OF MOLECULAR SCIENCES</t>
  </si>
  <si>
    <t>protein kinase; signal transduction; gene structure and expression; translational frameshifting; polar ciliates</t>
  </si>
  <si>
    <t>CHROMOSOME FRAGMENTATION; PROTOZOAN CILIATE; IDENTIFICATION; ANDROGEN</t>
  </si>
  <si>
    <t>In the protozoan ciliate Euplotes, a transduction pathway resulting in a mitogenic cell growth response is activated by autocrine receptor binding of cell type-specific, water-borne signaling protein pheromones. In Euplotes raikovi, a marine species of temperate waters, this transduction pathway was previously shown to involve the phosphorylation of a nuclear protein kinase structurally similar to the intestinal-cell and male germ cell-associated kinases described in mammals. In E. nobilii, which is phylogenetically closely related to E. raikovi but inhabits Antarctic and Arctic waters, we have now characterized a gene encoding a structurally homologous kinase. The expression of this gene requires +1 translational frameshifting and a process of intron splicing for the production of the active protein, designated En-MAPK1, which contains amino acid substitutions of potential significance for cold-adaptation.</t>
  </si>
  <si>
    <t>[Candelori, Annalisa; Luporini, Pierangelo; Alimenti, Claudio; Vallesi, Adriana] Univ Camerino, Lab Eukaryot Microbiol &amp; Anim Biol, Dept Environm &amp; Nat Sci, I-62032 Camerino, Italy</t>
  </si>
  <si>
    <t>University of Camerino</t>
  </si>
  <si>
    <t>Vallesi, A (corresponding author), Univ Camerino, Lab Eukaryot Microbiol &amp; Anim Biol, Dept Environm &amp; Nat Sci, I-62032 Camerino, Italy.</t>
  </si>
  <si>
    <t>annalisa.candelori@unicam.it; piero.luporini@unicam.it; claudio.alimenti@unicam.it; adriana.vallesi@unicam.it</t>
  </si>
  <si>
    <t>Vallesi, Adriana/0000-0002-4127-090X; Alimenti, Claudio/0000-0003-2231-2948</t>
  </si>
  <si>
    <t>Programma Nazionale di Ricerche in Antartide (PNRA)</t>
  </si>
  <si>
    <t>Research financially supported by the Programma Nazionale di Ricerche in Antartide (PNRA).</t>
  </si>
  <si>
    <t>1422-0067</t>
  </si>
  <si>
    <t>INT J MOL SCI</t>
  </si>
  <si>
    <t>Int. J. Mol. Sci.</t>
  </si>
  <si>
    <t>10.3390/ijms14047457</t>
  </si>
  <si>
    <t>Biochemistry &amp; Molecular Biology; Chemistry, Multidisciplinary</t>
  </si>
  <si>
    <t>Biochemistry &amp; Molecular Biology; Chemistry</t>
  </si>
  <si>
    <t>131SU</t>
  </si>
  <si>
    <t>WOS:000318017100045</t>
  </si>
  <si>
    <t>Manoj, MC; Thamban, M; Sahana, A; Mohan, R; Mahender, K</t>
  </si>
  <si>
    <t>Manoj, M. C.; Thamban, Meloth; Sahana, A.; Mohan, Rahul; Mahender, Kotha</t>
  </si>
  <si>
    <t>Provenance and temporal variability of ice rafted debris in the Indian sector of the Southern Ocean during the last 22,000 years</t>
  </si>
  <si>
    <t>JOURNAL OF EARTH SYSTEM SCIENCE</t>
  </si>
  <si>
    <t>Ice rafted debris; provenance; last glacial maximum; Southern Ocean</t>
  </si>
  <si>
    <t>LATE QUATERNARY; SEDIMENTOLOGICAL EVIDENCE; TERRIGENOUS SEDIMENT; ATLANTIC; SHEET; ANTARCTICA; MECHANISM; TRANSPORT; PATTERNS; HISTORY</t>
  </si>
  <si>
    <t>Ice rafted debris (IRD) records were studied in two sediment cores (SK200/22a and SK200/27) from the sub-Antarctic and Polar frontal regime of the Indian sector of Southern Ocean for their distribution and provenance during the last 22,000 years. The IRD fraction consists of quartz and lithic grains, with the lithic grains dominated by volcaniclastic materials. IRD content was high at marine isotope stage 2 but decreased dramatically to near absence at the Termination 1 and the Holocene. The concentration of IRD at glacial section of the core SK200/27 was nearly twice that of SK200/22a. Moreover, IRD were more abundant at the last glacial maxima (LGM) in SK200/27 with its peak abundance proceeding by nearly two millennia than at SK200/22a. It appears that an intensification of Antarctic glaciation combined with a northward migration of the Polar Front during LGM promoted high IRD flux at SK200/27 and subsequent deglacial warming have influenced the IRD supply at SK200/22a. Quartz and lithic grains may have derived from two different sources, the former transported from the Antarctic mainland, while the latter from the islands of volcanic origin from Southern Ocean. Sea-ice, influenced by the Antarctic Circumpolar Current is suggested to be a dominant mechanism for the distribution of lithic IRD in the region.</t>
  </si>
  <si>
    <t>[Manoj, M. C.; Thamban, Meloth; Sahana, A.; Mohan, Rahul] Natl Ctr Antarctic &amp; Ocean Res, Headland Sada 403804, Goa, India; [Mahender, Kotha] Goa Univ, Dept Earth Sci, Taleigao Plateau 403206, Goa, India</t>
  </si>
  <si>
    <t>Ministry of Earth Sciences (MoES) - India; National Centre for Polar and Ocean Research (NCPOR); Goa University</t>
  </si>
  <si>
    <t>Manoj, MC (corresponding author), Natl Ctr Antarctic &amp; Ocean Res, Headland Sada 403804, Goa, India.</t>
  </si>
  <si>
    <t>manojmc@ncaor.org</t>
  </si>
  <si>
    <t>Manoj, M C/AAR-1882-2020</t>
  </si>
  <si>
    <t>Manoj, M C/0000-0001-8112-6315; Thamban, Meloth/0000-0003-3379-8189</t>
  </si>
  <si>
    <t>2347-4327</t>
  </si>
  <si>
    <t>0973-774X</t>
  </si>
  <si>
    <t>J EARTH SYST SCI</t>
  </si>
  <si>
    <t>J. Earth Syst. Sci.</t>
  </si>
  <si>
    <t>10.1007/s12040-013-0271-5</t>
  </si>
  <si>
    <t>Geosciences, Multidisciplinary; Multidisciplinary Sciences</t>
  </si>
  <si>
    <t>Geology; Science &amp; Technology - Other Topics</t>
  </si>
  <si>
    <t>126IC</t>
  </si>
  <si>
    <t>WOS:000317606500017</t>
  </si>
  <si>
    <t>Dorantes-Aranda, JJ; Nichols, PD; Waite, TD; Hallegraeff, GM</t>
  </si>
  <si>
    <t>Jose Dorantes-Aranda, Juan; Nichols, Peter D.; Waite, Trevor David; Hallegraeff, Gustaaf M.</t>
  </si>
  <si>
    <t>Strain variability in fatty acid composition of Chattonella marina (Raphidophyceae) and its relation to differing ichthyotoxicity toward rainbow trout gill cells</t>
  </si>
  <si>
    <t>Aldehydes; Chattonella marina; fatty acids; harmful phytoplankton; ichthyotoxicity; rainbow trout gill cell line; RTgill-W1</t>
  </si>
  <si>
    <t>POLYUNSATURATED ALDEHYDES; SUPEROXIDE-PRODUCTION; CHEMICAL DEFENSE; ALGAE; ANTIQUA; PHYTOPLANKTON; MICROALGAE; STEROLS; DIATOMS; REPRODUCTION</t>
  </si>
  <si>
    <t>Lipid profiles of three strains (Mexico, Australia, Japan) of Chattonella marina (Subrahmanyan) Hara et Chihara were studied under defined growth (phosphate, light, and growth phase) and harvest (intact and ruptured cells) conditions. Triacylglycerol levels were always &lt;2%, sterols &lt;7%, free fatty acids varied between 2 and 33%, and polar lipids were the most abundant lipid class (&gt;51% of total lipids). The major fatty acids in C.marina were palmitic (16:0), eicosapentaenoic (EPA, 20:53), octadecatetraenoic (18:43), myristic (14:0), and palmitoleic (16:17c) acids. Higher levels of EPA were found in ruptured cells (21.429.4%) compared to intact cells (8.525.3%). In general, Japanese N-118 C.marina was the highest producer of EPA (14.329.4%), and Mexican CMCV-1 the lowest producer (7.927.1%). Algal cultures, free fatty acids from C.marina, and the two aldehydes 2E,4E-decadienal and 2E,4E-heptadienal (suspected fatty acid-derived products) were tested against the rainbow trout fish gill cell line RTgill-W1. The configuration of fatty acids plays an important role in ichthyotoxicity. Free fatty acid fractions, obtained by base saponification of total lipids from C.marina showed a potent toxicity toward gill cells (median lethal concentration, LC50 (at 1h) of 0.44gmL1 in light conditions, with a complete loss of viability at &gt;3.2gmL1). Live cultures of Mexican C.marina were less toxic than Japanese and Australian strains. This difference could be related to differing EPA content, superoxide anion production, and cell fragility. The aldehydes 2E,4E-decadienal and 2E,4E-heptadienal also showed high impact on gill cell viability, with LC50 (at 1h) of 0.34 and 0.36gmL1, respectively. Superoxide anion production was highest in Australian strain CMPL01, followed by Japanese N-118 and Mexican CMCV-1 strains. Ruptured cells showed higher production of superoxide anion compared to intact cells (e.g., 19 vs. 9.5pmolcell1hr1 for CMPL01, respectively). Our results indicate that C.marina is more ichthyotoxic after cell disruption and when switching from dark to light conditions, possibly associated with a higher production of superoxide anion and EPA, which may be quickly oxidized to produce more toxic derivates, such as aldehydes.</t>
  </si>
  <si>
    <t>[Jose Dorantes-Aranda, Juan; Nichols, Peter D.; Hallegraeff, Gustaaf M.] Univ Tasmania, Inst Marine &amp; Antarctic Studies, Hobart, Tas 7001, Australia; [Nichols, Peter D.] CSIRO Wealth Oceans Flagship Marine &amp; Atmospher R, Hobart, Tas 7001, Australia; [Waite, Trevor David] Univ New S Wales, Sch Civil &amp; Environm Engn, Water Res Ctr, Sydney, NSW 2052, Australia</t>
  </si>
  <si>
    <t>University of Tasmania; Commonwealth Scientific &amp; Industrial Research Organisation (CSIRO); University of New South Wales Sydney</t>
  </si>
  <si>
    <t>Dorantes-Aranda, JJ (corresponding author), Univ Nacl Autonoma Mexico, Inst Ciencias Mar &amp; Limnol, Unidad Acad Sistemas Arrecifales, Apartado Postal 1152, Cancun 77500, Quintana Roo, Mexico.</t>
  </si>
  <si>
    <t>juanjodorantes@gmail.com</t>
  </si>
  <si>
    <t>Dorantes-Aranda, Juan Jose/J-7737-2014; Waite, T. David/A-1400-2008; Nichols, Peter D/C-5128-2011; Hallegraeff, Gustaaf/C-8351-2013</t>
  </si>
  <si>
    <t>Dorantes-Aranda, Juan J./0000-0003-1513-6501; Hallegraeff, Gustaaf/0000-0001-8464-7343</t>
  </si>
  <si>
    <t>ARC [DP0880298]; CONACyT [190179]; DGRI-SEP; Australian Research Council [DP0880298] Funding Source: Australian Research Council</t>
  </si>
  <si>
    <t>ARC(Australian Research Council); CONACyT(Consejo Nacional de Ciencia y Tecnologia (CONACyT)); DGRI-SEP; Australian Research Council(Australian Research Council)</t>
  </si>
  <si>
    <t>The authors thank Helen Bond for algal culturing support, and render their special acknowledgment to CSIRO Wealth from Oceans Flagship for the opportunity of collaboration to perform this research. This work was partially supported by an ARC Discovery Grant DP0880298 awarded to Professors T. D. Waite and G. M. Hallegraeff. The first author was financed by the fellowships CONACyT 190179 and DGRI-SEP. Danny Holdsworth managed the CSIRO GC-MS facility.</t>
  </si>
  <si>
    <t>10.1111/jpy.12053</t>
  </si>
  <si>
    <t>122DQ</t>
  </si>
  <si>
    <t>WOS:000317297200019</t>
  </si>
  <si>
    <t>Caulle, C; Penaud, A; Eynaud, F; Zaragosi, S; Roche, DM; Michel, E; Boulay, S; Richter, T</t>
  </si>
  <si>
    <t>Caulle, Clemence; Penaud, Aurelie; Eynaud, Frederique; Zaragosi, Sebastien; Roche, Didier M.; Michel, Elizabeth; Boulay, Sebastien; Richter, Thomas</t>
  </si>
  <si>
    <t>Sea-surface hydrographical conditions off South Faeroes and within the North-Eastern North Atlantic through MIS 2: the response of dinocysts</t>
  </si>
  <si>
    <t>JOURNAL OF QUATERNARY SCIENCE</t>
  </si>
  <si>
    <t>dinoflagellate cysts; European ice sheets; Faeroe Margin; Last Glacial Maximum; sea-surface parameters</t>
  </si>
  <si>
    <t>GLACIAL MAXIMUM LGM; B ICE SHELF; NORWEGIAN SEA; NORDIC SEAS; ANTARCTIC PENINSULA; SHETLAND CHANNEL; SEDIMENT DRIFTS; LATE QUATERNARY; RAPID CHANGES; CLIMATE</t>
  </si>
  <si>
    <t>The last glacial period, showing the progressive development of large boreal ice sheets, was punctuated by large climatic excursions. These excursions were triggered mainly by atmosphereoceanice coupled dynamics and are thus exemplary case studies of natural climate variability. To characterize the sea-surface palaeohydrographical changes accompanying these oscillations along the European margin, we have integrated new palynological data (dinocysts) acquired on core MD99-2281 (60 degrees N, Faeroe Margin) during Marine Isotope Stage 2 in a latitudinal transect including published cores MD95-2002 (47 degrees N, Celtic Margin) and MD95-2010 (66 degrees N, Voring Plateau). This transect is superimposed on the modern North Atlantic Drift pathway, but also at the outskirts of glacial European ice sheets, thus ideally located to track sea-ice extent and ice-sheet instabilities through time. The results show a coherent and sensitive response of sea-surface environments to the complex chain of abrupt events that punctuated the end of the last glacial period. The Last Glacial Maximum was marked by large seasonal contrasts of temperatures, whereas Heinrich events (HE) were characterized by a sharp cooling and sea-ice development. A tripartite structure is identified within HE1, with indices of melting at 19k cal a BP, followed by a temperate phase synchronous of a relative stability of ice sheets, and a terminal phase (17.515k cal a BP) characteristic of the conventional Laurentian' HE1. Copyright (c) 2013 John Wiley &amp; Sons, Ltd.</t>
  </si>
  <si>
    <t>[Caulle, Clemence; Penaud, Aurelie] IUEM UBO, UMR Domaines Ocean 6538, Plouzane, France; [Caulle, Clemence; Eynaud, Frederique; Zaragosi, Sebastien] Univ Bordeaux 1, UMR EPOC Environm &amp; Paleoenvironm Ocean 5805, F-33405 Talence, France; [Roche, Didier M.; Michel, Elizabeth; Boulay, Sebastien] CEA CNRS INSU UVSQ, LSCE, UMR 8212, Gif S Syvette, France; [Roche, Didier M.] Vrije Univ Amsterdam, Amsterdam, Netherlands; [Richter, Thomas] NIOZ Royal Netherlands Inst Sea Res AB, Den Burg, Texel, Netherlands</t>
  </si>
  <si>
    <t>Centre National de la Recherche Scientifique (CNRS); CNRS - National Institute for Earth Sciences &amp; Astronomy (INSU); Universite de Bretagne Occidentale; Universite de Bordeaux; Centre National de la Recherche Scientifique (CNRS); CNRS - National Institute for Earth Sciences &amp; Astronomy (INSU); CEA; Universite Paris Saclay; Vrije Universiteit Amsterdam; Utrecht University; Royal Netherlands Institute for Sea Research (NIOZ)</t>
  </si>
  <si>
    <t>Eynaud, F (corresponding author), Univ Bordeaux 1, UMR EPOC Environm &amp; Paleoenvironm Ocean 5805, F-33405 Talence, France.</t>
  </si>
  <si>
    <t>f.eynaud@epoc.u-bordeaux1.fr</t>
  </si>
  <si>
    <t>ZARAGOSI, Sébastien/JXL-2488-2024; Zaragosi, Sébastien/D-6925-2011; Penaud, Aurelie/F-2485-2011; Roche, Didier M./C-9875-2010</t>
  </si>
  <si>
    <t>Penaud, Aurelie/0000-0003-3578-4549; Roche, Didier M./0000-0001-6272-9428; Zaragosi, Sebastien/0000-0002-1456-8129; Eynaud, Frederique/0000-0003-1283-7425</t>
  </si>
  <si>
    <t>ARTEMIS 14C AMS French project</t>
  </si>
  <si>
    <t>We are grateful to IPEV, the captain and crew of the Marion Dufresne and the scientific team of the GINNA cruise. We thank Mr Y. Balut for his assistance at sea. J. St Paul, O. Ther, M-H. Castera, I. Billy and M. Georget provided invaluable technical assistance, and we thank D. Urrego for reviewing the language. We acknowledge financial support by the ARTEMIS 14C AMS French project. Part of the analyses conducted on MD99-2281 was supported by the French INSU (Institut National des Sciences de l'Univers) programme LEFE/EVE (Les enveloppes fluides et l'environnement/Evolution et variabilite du climat a l'echelle globale) 'RISCC: Role des Ice-Shelves dans le Changement Climatique'. We also thank the European Union's Seventh Framework programme Past4Future. Climate change-Learning from the past climate. The authors declare no conflict of interest. This is U.M.R./EPOC 5805 (Universite Bordeaux I-C.N.R.S.) contribution.</t>
  </si>
  <si>
    <t>0267-8179</t>
  </si>
  <si>
    <t>1099-1417</t>
  </si>
  <si>
    <t>J QUATERNARY SCI</t>
  </si>
  <si>
    <t>J. Quat. Sci.</t>
  </si>
  <si>
    <t>10.1002/jqs.2601</t>
  </si>
  <si>
    <t>133DR</t>
  </si>
  <si>
    <t>WOS:000318118100001</t>
  </si>
  <si>
    <t>Sasaki, M; Amano, Y; Hayakawa, D; Tsubota, T; Ishikawa, H; Mogoe, T; Ohsumi, S; Tetsuka, M; Miyamoto, A; Fukui, Y; Budipitojo, T; Kitamura, N</t>
  </si>
  <si>
    <t>Sasaki, Motoki; Amano, Yoko; Hayakawa, Daisuke; Tsubota, Toshio; Ishikawa, Hajime; Mogoe, Toshihiro; Ohsumi, Seiji; Tetsuka, Masafumi; Miyamoto, Akio; Fukui, Yutaka; Budipitojo, Teguh; Kitamura, Nobuo</t>
  </si>
  <si>
    <t>Structure and Steroidogenesis of the Placenta in the Antarctic Minke Whale (Balaenoptera bonaerensis)</t>
  </si>
  <si>
    <t>JOURNAL OF REPRODUCTION AND DEVELOPMENT</t>
  </si>
  <si>
    <t>Antarctic minke whale; Balaenoptera bonaerensis; Morphology; Placenta; Steroidogenesis</t>
  </si>
  <si>
    <t>IN-VITRO MATURATION; EQUINE PLACENTA; UTERINE GLANDS; CORPUS-LUTEUM; ACUTOROSTRATA; ULTRASTRUCTURE; FERTILIZATION; ENZYMES; PIG</t>
  </si>
  <si>
    <t>There are few reports describing the structure and function of the whale placenta with the advance of pregnancy. In this study, therefore, the placenta and nonpregnant uterus of the Antarctic minke whale were observed morphologically and immunohistochemically. Placentas and nonpregnant uteri were collected from the 15th, 16th and 18th Japanese Whale Research Programme with Special Permit in the Antarctic (JARPA) and 1st JARPA II organized by the Institute of Cetacean Research in Tokyo, Japan. In the macro- and microscopic observations, the placenta of the Antarctic minke whale was a diffuse and epitheliochorial placenta. The chorion was interdigitated to the endometrium by primary, secondary and tertiary villi, which contained no specialized trophoblast cells such as binucleate cells, and the interdigitation became complicated with the progress of gestation. Furthermore, fetal and maternal blood vessels indented deeply into the trophoblast cells and endometrial epithelium respectively with fetal growth. The minke whale placenta showed a fold-like shape as opposed to a finger-like shape. In both nonpregnant and pregnant uteri, many uterine glands were distributed. The uterine glands in the superficial layer of the pregnant endometrium had a wide lumen and large epithelial cells as compared with those in the deep layer. On the other hand, in the nonpregnant endometrium, the uterine glands had a narrower lumen and smaller epithelial cells than in the pregnant endometrium. In immunohistochemical detection, immunoreactivity for P450scc was detected in most trophoblast cells, but not in nonpregnant uteri, suggesting that trophoblast epithelial cells synthesized and secreted the sex steroid hormones and/or their precursors to maintain the pregnancy in the Antarctic minke whale.</t>
  </si>
  <si>
    <t>[Sasaki, Motoki; Amano, Yoko; Hayakawa, Daisuke; Kitamura, Nobuo] Obihiro Univ Agr &amp; Vet Med, Dept Basic Vet Med, Lab Vet Anat, Sapporo, Hokkaido 0808555, Japan; [Sasaki, Motoki; Hayakawa, Daisuke; Kitamura, Nobuo] Gifu Univ, United Grad Sch Vet Med, Gifu 5011193, Japan; [Tsubota, Toshio] Hokkaido Univ, Grad Sch Vet Med, Dept Environm Vet Sci, Lab Wildlife Biol &amp; Med, Sapporo, Hokkaido 0600818, Japan; [Ishikawa, Hajime; Mogoe, Toshihiro; Ohsumi, Seiji] Inst Cetacean Res, Tokyo 1040055, Japan; [Tetsuka, Masafumi; Fukui, Yutaka] Obihiro Univ Agr &amp; Vet Med, Dept Life Sci &amp; Agr, Sapporo, Hokkaido 0808555, Japan; [Miyamoto, Akio] Obihiro Univ Agr &amp; Vet Med, Dept Anim &amp; Food Hyg, Sapporo, Hokkaido 0808555, Japan; [Budipitojo, Teguh] Gadjah Mada Univ, Fac Vet Med, Yogyakarta 55281, Indonesia</t>
  </si>
  <si>
    <t>Obihiro University of Agriculture &amp; Veterinary Medicine; Gifu University; Hokkaido University; Obihiro University of Agriculture &amp; Veterinary Medicine; Obihiro University of Agriculture &amp; Veterinary Medicine; Gadjah Mada University</t>
  </si>
  <si>
    <t>Sasaki, M (corresponding author), Obihiro Univ Agr &amp; Vet Med, Dept Basic Vet Med, Lab Vet Anat, Sapporo, Hokkaido 0808555, Japan.</t>
  </si>
  <si>
    <t>sasakim@obihiro.ac.jp</t>
  </si>
  <si>
    <t>Budipitojo, Teguh/0000-0003-1464-1602</t>
  </si>
  <si>
    <t>Ministry of Education, Culture, Sports, Science and Technology of Japan [13575026, 23570103]; Grants-in-Aid for Scientific Research [23570103, 13575026]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</si>
  <si>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</si>
  <si>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study was financially supported in part by a Grant-in-Aid for Scientific Research (No.13575026, No. 23570103) from the Ministry of Education, Culture, Sports, Science and Technology of Japan.</t>
  </si>
  <si>
    <t>SOCIETY REPRODUCTION &amp; DEVELOPMENT-SRD</t>
  </si>
  <si>
    <t>TSUKUBA</t>
  </si>
  <si>
    <t>C/O KAZUHIRO KIKUCHI, PHD DVM, NATL INST AGROBIOLOGICAL SCIENCES KANNONDAI 2-1-2, TSUKUBA, IBARAKI 305-8602, JAPAN</t>
  </si>
  <si>
    <t>0916-8818</t>
  </si>
  <si>
    <t>J REPROD DEVELOP</t>
  </si>
  <si>
    <t>J. Reprod. Dev.</t>
  </si>
  <si>
    <t>10.1262/jrd.2012-132</t>
  </si>
  <si>
    <t>Agriculture, Dairy &amp; Animal Science; Reproductive Biology</t>
  </si>
  <si>
    <t>Agriculture; Reproductive Biology</t>
  </si>
  <si>
    <t>130TY</t>
  </si>
  <si>
    <t>Green Submitted, gold, Green Published</t>
  </si>
  <si>
    <t>WOS:000317944200009</t>
  </si>
  <si>
    <t>Guihen, D; White, M; Lundälv, T</t>
  </si>
  <si>
    <t>Guihen, Damien; White, Martin; Lundalv, Tomas</t>
  </si>
  <si>
    <t>Boundary layer flow dynamics at a cold-water coral reef</t>
  </si>
  <si>
    <t>JOURNAL OF SEA RESEARCH</t>
  </si>
  <si>
    <t>Shear Stress; Cold-water Coral; Skagerrak Strait; Benthic Boundary Layer; Polyp Feeding; Ecosystem Engineering</t>
  </si>
  <si>
    <t>LOPHELIA-PERTUSA SCLERACTINIA; MADRACIS-MIRABILIS; ENVIRONMENTAL CONTROLS; MONTASTREA-CAVERNOSA; ZOOPLANKTON CAPTURE; REYNOLDS STRESS; ROCKALL TROUGH; PREY CAPTURE; DEEP-WATER; BANK</t>
  </si>
  <si>
    <t>The Tisler cold-water coral reef is a 2 km long reef in the north-eastern Skagerrak, Norway. The reef is comprised principally of Lophelia pertusa at depths between 70 and 160 m. Velocity shear and boundary layer shear stresses have been measured at Tisler Reef to quantify the effect of the reef structure on the benthic boundary layer (BBL) dynamics. Two different approaches to estimating the magnitude of the near seabed stress were employed: using a log-arithmic (constant stress) boundary layer approach and direct Reynolds stress measurements. Resultant estimates of near seabed stresses using both methods were comparable. Using the logarithmic layer approach to estimate seabed stresses both inside and out of the reef structure demonstrated that, for any particular impinging flow strength, higher shear stresses were observed within the live coral region than in the dead coral rubble region with no live coral stands. Bottom shear stresses of up to 3.5 N M-2 were measured within the reef complex and 1.2 N M-2 in the rubble region outside the live reef. This difference is due to large roughness length scales inside the rough living coral area relative to the smaller scales in the coral rubble. Low frequency acoustic backscatter data, used as a proxy for relative suspended particulate matter concentrations, suggested that both local re-suspension and advection of suspended material most likely occur at, and through, the reef system. The high stresses measured inside the living reef may favour corals by increasing the degree of re-suspension for a given current speed and providing more particulates to the filter feeding polyps. Crown Copyright (C) 2013 Published by Elsevier B.V. All rights reserved.</t>
  </si>
  <si>
    <t>[Guihen, Damien; White, Martin] Natl Univ Ireland, Sch Nat Sci, Galway, Ireland; [Lundalv, Tomas] Sven Loven Ctr Marine Sci, SE-45296 Stromstad, Sweden</t>
  </si>
  <si>
    <t>Ollscoil na Gaillimhe-University of Galway</t>
  </si>
  <si>
    <t>Guihen, D (corresponding author), British Antarctic Survey, Cambridge CB3 0ET, England.</t>
  </si>
  <si>
    <t>damaoi@bas.ac.uk</t>
  </si>
  <si>
    <t>Lundälv, Tomas/O-7121-2019</t>
  </si>
  <si>
    <t>white, martin/0000-0003-3271-1221</t>
  </si>
  <si>
    <t>European Community [226354]; European Commission (EC) [GOCE-CT-2005-511234]</t>
  </si>
  <si>
    <t>European Community; European Commission (EC)(European Union (EU)European Commission Joint Research Centre)</t>
  </si>
  <si>
    <t>We are grateful to the staff of the Sven Loven Centre for Marine Sciences. The research leading to these results has received funding from the European Community's Seventh Framework Programme (FP7/2007-2013) under the HERMIONE project, grant agreement no. 226354 and previously by the HERMES project, funded by the European Commission (EC contract GOCE-CT-2005-511234). We also wish to thank the comments of the two anonymous reviewers for their help in improving the manuscript.</t>
  </si>
  <si>
    <t>1385-1101</t>
  </si>
  <si>
    <t>1873-1414</t>
  </si>
  <si>
    <t>J SEA RES</t>
  </si>
  <si>
    <t>J. Sea Res.</t>
  </si>
  <si>
    <t>10.1016/j.seares.2012.12.007</t>
  </si>
  <si>
    <t>112HN</t>
  </si>
  <si>
    <t>WOS:000316583400005</t>
  </si>
  <si>
    <t>Beck, PJ</t>
  </si>
  <si>
    <t>Beck, Peter J.</t>
  </si>
  <si>
    <t>AMERICAN HISTORICAL REVIEW</t>
  </si>
  <si>
    <t>[Beck, Peter J.] Univ Kingston, Kingston Upon Thames, Surrey, England</t>
  </si>
  <si>
    <t>Kingston University</t>
  </si>
  <si>
    <t>Beck, PJ (corresponding author), Univ Kingston, Kingston Upon Thames, Surrey, England.</t>
  </si>
  <si>
    <t>0002-8762</t>
  </si>
  <si>
    <t>1937-5239</t>
  </si>
  <si>
    <t>AM HIST REV</t>
  </si>
  <si>
    <t>Am. Hist. Rev.</t>
  </si>
  <si>
    <t>10.1093/ahr/118.2.574</t>
  </si>
  <si>
    <t>128VT</t>
  </si>
  <si>
    <t>WOS:000317798500118</t>
  </si>
  <si>
    <t>Smellie, JL; Wilch, TI; Rocchi, S</t>
  </si>
  <si>
    <t>Smellie, John L.; Wilch, Thomas I.; Rocchi, Sergio</t>
  </si>
  <si>
    <t>'A'a lava-fed deltas: A new reference tool in paleoenvironmental studies</t>
  </si>
  <si>
    <t>ICE-SHEET; KILAUEA VOLCANO; PAHOEHOE; ANTARCTICA; WATER; EMPLACEMENT; ICELAND; FLOWS; LAND</t>
  </si>
  <si>
    <t>Lava-fed deltas are extraordinarily useful indicators of fossil water (and ice) levels in glacial, marine, and lacustrine environments. Deltas fed by 'a'a lava should be at least as common as those sourced in pahoehoe, yet they have been rarely described. Although facies models for pahoehoe lava-fed deltas are well established, the architecture and lithofacies of 'a'a-fed equivalents are substantially different and have thus far largely been unrecognized. This can have profound consequences for paleoenvironmental investigations, particularly those attempting to reconstruct past ice sheets. Essential features of 'a'a lava-fed deltas include (1) a subaerial 'a'a lava capping unit comprising massive internal sheet lava overlain by clinkers; (2) a crudely developed subaerial to subaqueous transition (passage zone); (3) a chaotic subaqueous association of abundant lava lobes and hyaloclastite with admixed vesicular, often reddened (oxidized) lava clinkers; and (4) rare subaqueous stratification with predominantly lower dips (similar to 10 degrees-20 degrees) than in deltas fed by pahoehoe lava (similar to 25 degrees-40 degrees). We develop a generic facies model and investigate the emplacement conditions of 'a'a lava-fed deltas in order to facilitate the recognition and environmental interpretation of these important sequence types in ancient successions.</t>
  </si>
  <si>
    <t>[Smellie, John L.] Univ Leicester, Dept Geol, Leicester LE1 7RH, Leics, England; [Wilch, Thomas I.] Albion Coll, Dept Geol Sci, Albion, MI 49224 USA; [Rocchi, Sergio] Univ Pisa, Dipartimento Sci Terra, I-56126 Pisa, Italy</t>
  </si>
  <si>
    <t>University of Leicester; Albion College; University of Pisa</t>
  </si>
  <si>
    <t>Smellie, JL (corresponding author), Univ Leicester, Dept Geol, Leicester LE1 7RH, Leics, England.</t>
  </si>
  <si>
    <t>jls55@le.ac.uk</t>
  </si>
  <si>
    <t>Rocchi, Sergio/A-7752-2018</t>
  </si>
  <si>
    <t>Rocchi, Sergio/0000-0001-6868-1939</t>
  </si>
  <si>
    <t>British Antarctic Survey; Leicester University (UK); National Science Foundation (USA); Programma Nazionale di Ricerche in Antartide (PNRA, Italy)</t>
  </si>
  <si>
    <t>British Antarctic Survey; Leicester University (UK); National Science Foundation (USA)(National Science Foundation (NSF)); Programma Nazionale di Ricerche in Antartide (PNRA, Italy)</t>
  </si>
  <si>
    <t>This research was supported by the British Antarctic Survey and Leicester University (UK), the National Science Foundation (USA), and the Programma Nazionale di Ricerche in Antartide (PNRA, Italy). The helpful comments of anonymous reviewers are gratefully acknowledged.</t>
  </si>
  <si>
    <t>10.1130/G33631.1</t>
  </si>
  <si>
    <t>130JE</t>
  </si>
  <si>
    <t>WOS:000317910000005</t>
  </si>
  <si>
    <t>Yamazaki, S; Rust, S; Jennings, S; Lyle, J; Frijlink, S</t>
  </si>
  <si>
    <t>Yamazaki, Satoshi; Rust, Steven; Jennings, Sarah; Lyle, Jeremy; Frijlink, Sven</t>
  </si>
  <si>
    <t>Valuing recreational fishing in Tasmania and assessment of response bias in contingent valuation</t>
  </si>
  <si>
    <t>AUSTRALIAN JOURNAL OF AGRICULTURAL AND RESOURCE ECONOMICS</t>
  </si>
  <si>
    <t>anchoring; contingent valuation; recreational fishing; response bias; shift effect</t>
  </si>
  <si>
    <t>STARTING-POINT BIAS; DICHOTOMOUS CHOICE; CONSERVATION; SPECIALIZATION; FISHERIES</t>
  </si>
  <si>
    <t>We report results from contingent valuation studies in each of two Tasmanian fisheries that estimate the value of a day's recreational fishing. Published studies estimating the economic value of recreational fishing in Australia and New Zealand are limited, although the economic and social benefits associated with this activity are sizable and the importance of understanding the behaviour of recreational fishers for the sustainable management of aquatic resources is well recognised. In our contingent valuation surveys, we use a double-bounded version of the dichotomous choice question, which improves the statistical efficiency of the estimates relative to those based on a single dichotomous choice question. We test and control for response bias, in the form of anchoring and a shift effect, that may occur in data collected using a double-bounded dichotomous choice (DBDC) elicitation format. We highlight the importance of identifying and correcting for response bias in DBDC models on a case-by-case basis. Our estimation results show that there is no significant difference in the willingness to pay for a day of recreational fishing across individuals who caught different number of fish in either fishery. This suggests that high and low catch fishers placed the same value on a day's fishing.</t>
  </si>
  <si>
    <t>[Yamazaki, Satoshi; Rust, Steven; Jennings, Sarah] Univ Tasmania, Sch Econ &amp; Finance, Hobart, Tas, Australia; [Lyle, Jeremy; Frijlink, Sven] Univ Tasmania, IMAS FAC, Hobart, Tas, Australia</t>
  </si>
  <si>
    <t>Yamazaki, S (corresponding author), Univ Tasmania, Sch Econ &amp; Finance, Hobart, Tas, Australia.</t>
  </si>
  <si>
    <t>satoshi.yamazaki@utas.edu.au</t>
  </si>
  <si>
    <t>Yamazaki, Satoshi/J-7538-2014; Jennings, Sarah/J-7888-2014; Lyle, Jeremy/J-7170-2014</t>
  </si>
  <si>
    <t>Yamazaki, Satoshi/0000-0003-1279-2706; Jennings, Sarah/0000-0002-5760-4193; Lyle, Jeremy/0000-0001-9670-5854; Rust, STeven/0000-0002-1689-0437</t>
  </si>
  <si>
    <t>Tasmanian Department of Primary Industries, Parks, Water and Environment; Fishwise Community; Institute for Marine and Antarctic Studies</t>
  </si>
  <si>
    <t>The authors would like to acknowledge the Tasmanian Department of Primary Industries, Parks, Water and Environment for funding support for this study through the Fishwise Community Grant scheme and the team of survey interviewers from the Institute for Marine and Antarctic Studies. The authors also thank Michel Burton and two anonymous reviewers for constructive comments on the manuscript.</t>
  </si>
  <si>
    <t>1364-985X</t>
  </si>
  <si>
    <t>1467-8489</t>
  </si>
  <si>
    <t>AUST J AGR RESOUR EC</t>
  </si>
  <si>
    <t>Aust. J. Agr. Resour. Econ.</t>
  </si>
  <si>
    <t>10.1111/j.1467-8489.2012.00614.x</t>
  </si>
  <si>
    <t>Agricultural Economics &amp; Policy; Economics</t>
  </si>
  <si>
    <t>Agriculture; Business &amp; Economics</t>
  </si>
  <si>
    <t>123CI</t>
  </si>
  <si>
    <t>WOS:000317365400003</t>
  </si>
  <si>
    <t>Heerah, K; Andrews-Goff, V; Williams, G; Sultan, E; Hindell, M; Patterson, T; Charrassin, JB</t>
  </si>
  <si>
    <t>Heerah, Karine; Andrews-Goff, Virginia; Williams, Guy; Sultan, Emanuelle; Hindell, Mark; Patterson, Toby; Charrassin, Jean-Benoit</t>
  </si>
  <si>
    <t>Ecology of Weddell seals during winter: Influence of environmental parameters on their foraging behaviour</t>
  </si>
  <si>
    <t>Weddell seals; Foraging behaviour; Austral winter; Telemetry; Oceanography; Marine ecology</t>
  </si>
  <si>
    <t>CRAB-EATER SEALS; EUPHAUSIA-SUPERBA; DIVING BEHAVIOR; LEPTONYCHOTES-WEDDELLII; HABITAT USE; ROSS SEA; FAST-ICE; MOVEMENTS; PENGUINS; STRATIFICATION</t>
  </si>
  <si>
    <t>Studying the foraging strategies of top predators can provide information on both how animals interact with their environment and the distribution of their prey. We studied the winter foraging behaviour of Weddell seals in Adelie Land, East Antarctica, and the influence of abiotic parameters (bathymetry, hydrology, sea ice, light intensity) on their foraging behaviour. A total of six seals were fitted with Conductivity Temperature Depth Satellite Relayed Data Loggers (CTD-SRDL) at Dumont D'Urville (similar to 67 degrees S, 140 degrees E) during the austral winters in 2007 and 2008. The tags transmitted positions and dive information over 169 +/- 31 day, providing a total of 20,400 dive profiles and 2350 CTD profiles. Significant environmental influences on seal diving behaviour and habitat use were detected. Seals dived deeper, longer and increased their foraging effort during the day than at night with intermediate values for twilight. During the winter season the maximum dive depth decreased in association with an increase in dive duration, but foraging effort was unchanged. Seals spent more time at the bottom of their dives in shallow waters associated with relatively smooth bathymetry and dominated by Antarctic Surface Water. Considering the whole winter, Weddell seals tended to favour enriched, warmer and less dense water masses following their seasonal appearance on the shelf (Antarctic Surface Water and Modified Circumpolar Deep Water). Our results are consistent with seals feeding primarily on Pleuragramma antarcticum during winter, tracking their vertical diel migrations and foraging in areas associated with bathymetric and hydrographic features likely to concentrate prey patches. (C) 2012 Elsevier Ltd. All rights reserved.</t>
  </si>
  <si>
    <t>[Heerah, Karine; Williams, Guy; Sultan, Emanuelle; Charrassin, Jean-Benoit] LOCEAN UMR 7159, F-75252 Paris 05, France; [Andrews-Goff, Virginia; Hindell, Mark] Univ Tasmania, Inst Marine &amp; Antarctic Studies, Marine Predator Unit, Hobart, Tas 7001, Australia; [Williams, Guy; Hindell, Mark] Univ Tasmania, Antarctic Climate &amp; Ecosyst Cooperat Res Ctr, Hobart, Tas, Australia; [Patterson, Toby] CSIRO Marine &amp; Atmospher Res, Hobart, Tas, Australia</t>
  </si>
  <si>
    <t>Sorbonne Universite; Museum National d'Histoire Naturelle (MNHN); University of Tasmania; Antarctic Climate &amp; Ecosystems Cooperative Research Centre (ACE CRC); University of Tasmania; Commonwealth Scientific &amp; Industrial Research Organisation (CSIRO)</t>
  </si>
  <si>
    <t>Heerah, K (corresponding author), LOCEAN IPSL, UMR 7159, Box 100 4 Pl jussieu, F-75252 Paris 05, France.</t>
  </si>
  <si>
    <t>khlod@locean-ipsl.upmc.fr; vandrews@utas.edu.au; guy.darvall.williams@gmail.com; Emmanuelle.Sultan@locean-ipsl.upmc.fr; Mark.Hindell@utas.edu.au; Toby.Patterson@csiro.au; jbclod@locean-ipsl.upmc.fr</t>
  </si>
  <si>
    <t>Heerah, karine/F-5368-2013; Patterson, Toby A/B-3836-2011; Hindell, Mark A/K-1131-2013</t>
  </si>
  <si>
    <t>Hindell, Mark/0000-0002-7823-7185; Patterson, Toby/0000-0002-7150-9205; Andrews-Goff, Virginia/0000-0002-4609-7317</t>
  </si>
  <si>
    <t>Australian Antarctic Science Grant [2794]; program Terre-Ocean-Surface Continentale-Atmosphere from Centre National d'Etudes Spatiales (TOSCACNES)</t>
  </si>
  <si>
    <t>Australian Antarctic Science Grant; program Terre-Ocean-Surface Continentale-Atmosphere from Centre National d'Etudes Spatiales (TOSCACNES)</t>
  </si>
  <si>
    <t>We are grateful to S. Blanc, A. Jacquet-Chaboisson, E. Antoine and all volunteers from the 56th, 57th and 58th scientific missions at Dumont D'Urville who assisted in the field. This study was supported by an Australian Antarctic Science Grant (AAS Project 2794), and program Terre-Ocean-Surface Continentale-Atmosphere from Centre National d'Etudes Spatiales (TOSCACNES). We thank the Institut Polaire Francais Paul Emile Victor (IPEV Programs 109 and 394), Terres Australes et Antarctiques Francaises (TAAF) and the Australian Antarctic Division for providing logistical support. We wish to thank C.-A. Bost and C. Guinet for their support. S. Bestley provided statistical advice, M. Lacarra and M.-N Houssais provided support for hydrography and MA Lea revised the manuscript. Fieldwork and data collection was undertaken with approval from the University of Tasmania Animal Ethics Committee (permit A8523), and from IPEV and TAAF Animal Ethics committee. All animals in this study were cared for according to their guidelines.</t>
  </si>
  <si>
    <t>APR-MAY</t>
  </si>
  <si>
    <t>88-89</t>
  </si>
  <si>
    <t>10.1016/j.dsr2.2012.08.025</t>
  </si>
  <si>
    <t>126QN</t>
  </si>
  <si>
    <t>WOS:000317636400004</t>
  </si>
  <si>
    <t>Muelbert, MMC; de Souza, RB; Lewis, MN; Hindell, MA</t>
  </si>
  <si>
    <t>Muelbert, Monica M. C.; de Souza, Ronald B.; Lewis, Mirtha N.; Hindell, Mark A.</t>
  </si>
  <si>
    <t>Foraging habitats of southern elephant seals, Mirounga leonina, from the Northern Antarctic Peninsula</t>
  </si>
  <si>
    <t>Mirounga leonina; Bathymetry; Continental shelves; Foraging behaviour; Polar fronts; Telemetry; Temporal distribution</t>
  </si>
  <si>
    <t>CRAB-EATER SEALS; DIVING BEHAVIOR; ADULT MALE; FUR SEALS; STRATEGIES; MOVEMENTS; POPULATION; SEGREGATION; PREDATOR; ECOLOGY</t>
  </si>
  <si>
    <t>Elephant Island (El) is uniquely placed to provide southern elephant seals (SES) breeding there with potential access to foraging grounds in the Weddell Sea, the frontal zones of the South Atlantic Ocean, the Patagonian shelf and the Western Antarctic Peninsula (WAP). Quantifying where seals from El forage therefore provides insights into the types of important habitats available, and which are of particular importance to elephant seals. Twenty nine SES (5 sub-adult males-SAM and 24 adult females-AF) were equipped with SMRU CTD-SLDRs during the post-breeding (PB 2008, 2009) and post-moulting (PM 2007, 2008, 2009, 2010) trips to sea. There were striking intra-annual and inter-sex differences in foraging areas, with most of the PB females remaining within 150 km of El. One PB AF travelled down the WAP as did 16 out of the 20 PM females and foraged near the winter ice-edge. Most PM sub-adult males remained close to El, in areas similar to those used by adult females several months earlier, although one SAM spent the early part of the winter foraging on the Patagonian Shelf. The waters of the Northern Antarctic Peninsula (NAP) contain abundant resources to support the majority of the Islands' SES for the summer and early winter, such that the animals from this population have shorter migrations than those from most other populations. Sub-adult males and PB females are certainly taking advantage of these resources. However, PM females did not remain there over the winter months, instead they used the same waters at the ice-edge in the southern WAP that females from both King George Island and South Georgia used. Females made more benthic dives than sub-adult males again this contrasts with other sites where SAMs do more benthic diving. Unlike most other populations studied to date El is a relatively southerly breeding colony located on the Antarctic continental shelf. El seals are using shelf habitats more than other SES populations but some individuals still employ open water foraging strategies. Sea-ice was also very influential for PM females with more foraging occurring in heavier pack-ice. Larger females used areas with heavier ice-concentration than smaller females. The study demonstrates the importance of shelf and slope habitat to elephant seals, but also highlighted the influence of sea-ice and fine-scale bathymetry and local ocean condition in determining foraging habitat. (C) 2012 Elsevier Ltd. All rights reserved.</t>
  </si>
  <si>
    <t>[Muelbert, Monica M. C.] Fundacao Univ Fed Rio Grande FURG, Inst Oceanog, BR-96200970 Rio Grande, RS, Brazil; [de Souza, Ronald B.] INPE, Ctr Reg Pesquisas Espaciais, BR-97105970 Santa Maria, RS, Brazil; [Lewis, Mirtha N.] Ctr Nacl Patagon CONICET, Puerto Madryn, Argentina; [Hindell, Mark A.] Univ Tasmania, Marine Predator Unit, Inst Marine &amp; Antarctic Studies, Hobart, Tas 7001, Australia</t>
  </si>
  <si>
    <t>Universidade Federal do Rio Grande; Instituto Nacional de Pesquisas Espaciais (INPE); Consejo Nacional de Investigaciones Cientificas y Tecnicas (CONICET); Centro Nacional Patagonico (CENPAT); University of Tasmania</t>
  </si>
  <si>
    <t>Muelbert, MMC (corresponding author), Fundacao Univ Fed Rio Grande FURG, Inst Oceanog, Caixa Postal 474, BR-96200970 Rio Grande, RS, Brazil.</t>
  </si>
  <si>
    <t>Monica.Muelbert@furg.br</t>
  </si>
  <si>
    <t>de Souza, Ronald Buss/AAP-7586-2021; Muelbert, Monica/T-3935-2019; Hindell, Mark A/K-1131-2013; Souza, Ronald Buss de/R-5867-2016</t>
  </si>
  <si>
    <t>de Souza, Ronald Buss/0000-0003-3346-3370; Souza, Ronald Buss de/0000-0003-3346-3370; Lewis, Mirtha/0000-0001-6262-6226; Hindell, Mark/0000-0002-7823-7185</t>
  </si>
  <si>
    <t>Ministry of Science, Technology and Inovation (MCTI); Brazilian National Research Council (Conselho Nacional de Desenvolvimento Cientifico e Tecnologico-CNPq) [520196/2006-6]; CAPES (Ministry of Education)</t>
  </si>
  <si>
    <t>Ministry of Science, Technology and Inovation (MCTI); Brazilian National Research Council (Conselho Nacional de Desenvolvimento Cientifico e Tecnologico-CNPq)(Conselho Nacional de Desenvolvimento Cientifico e Tecnologico (CNPQ)); CAPES (Ministry of Education)(Coordenacao de Aperfeicoamento de Pessoal de Nivel Superior (CAPES))</t>
  </si>
  <si>
    <t>We thank the Brazilian Navy (research vessels, the personnel from the Brazilian Antarctic Station Comandante Ferraz-EACF), the Brazilian Antarctic Programme (PROANTAR) and SECIRM for logistic support. We would also like to thank the Southern Elephant Seal Project (PEMS) crew for field support, particularly Julio Jose Reynoso, Valeria Ruoppolo, Leandro Lazzari Ciotti and Tiago R.B. Gandra. This research was made possible through Grants from the Ministry of Science, Technology and Inovation (MCTI) to the Brazilian Antarctic Programme (PROANTAR), the Brazilian National Research Council (Conselho Nacional de Desenvolvimento Cientifico e Tecnologico-CNPq, Grant no. 520196/2006-6 to MMCM) and a fellowship from CAPES (Ministry of Education) to MMCM. This work was carried out under scientific permits awarded by the Brazilian Antarctic Programme manager and Environment Ministry representatives on behalf of SCAR. All procedures were performed in compliance with current international protocols established by SCAR and CCAMLR and their guidelines.</t>
  </si>
  <si>
    <t>10.1016/j.dsr2.2012.07.009</t>
  </si>
  <si>
    <t>WOS:000317636400006</t>
  </si>
  <si>
    <t>Womble, JN; Horning, M; Lea, MA; Rehberg, MJ</t>
  </si>
  <si>
    <t>Womble, Jamie N.; Horning, Markus; Lea, Mary-Anne; Rehberg, Michael J.</t>
  </si>
  <si>
    <t>Diving into the analysis of time-depth recorder and behavioural data records: A workshop summary</t>
  </si>
  <si>
    <t>Diving; Behavior; Foraging behavior; Analytical techniques</t>
  </si>
  <si>
    <t>ANTARCTIC FUR SEALS; FORAGING STRATEGIES; PREDATOR; PREY; CLASSIFICATION; VARIABILITY; ECOLOGY</t>
  </si>
  <si>
    <t>Directly observing the foraging behavior of animals in the marine environment can be extremely challenging, if not impossible, as such behavior often takes place beneath the surface of the ocean and in extremely remote areas. In lieu of directly observing foraging behavior, data from time-depth recorders and other types of behavioral data recording devices are commonly used to describe and quantify the behavior of fish, squid, seabirds, sea turtles, pinnipeds, and cetaceans. Often the definitions of actual behavioral units and analytical approaches may vary substantially which may influence results and limit our ability to compare behaviors of interest across taxonomic groups and geographic regions. A workshop was convened in association with the Fourth International Symposium on Bio-logging in Hobart, Tasmania on 8 March 2011, with the goal of providing a forum for the presentation, review, and discussion of various methods and approaches that are used to describe and analyze time-depth recorder and associated behavioral data records. The international meeting brought together 36 participants from 14 countries from a diversity of backgrounds including scientists from academia and government, graduate students, post-doctoral fellows, and developers of electronic tagging technology and analysis software. The specific objectives of the workshop were to host a series of invited presentations followed by discussion sessions focused on (1) identifying behavioral units and metrics that are suitable for empirical studies, (2) reviewing analytical approaches and techniques that can be used to objectively classify behavior, and (3) identifying cases when temporal autocorrelation structure is useful for identifying behaviors of interest. Outcomes of the workshop included highlighting the need to better define behavioral units and to devise more standardized processing and analytical techniques in order to ensure that results are comparable across studies and taxonomic groups. (C) 2012 Elsevier Ltd. All rights reserved.</t>
  </si>
  <si>
    <t>[Womble, Jamie N.; Horning, Markus] Oregon State Univ, Dept Fisheries &amp; Wildlife, Hatfield Marine Sci Ctr, Marine Mammal Inst, Newport, OR 97365 USA; [Lea, Mary-Anne] Univ Tasmania, Inst Marine &amp; Antarctic Studies, Hobart, Tas 7001, Australia; [Rehberg, Michael J.] Alaska Dept Fish &amp; Game, Statewide Marine Mammal Program, Anchorage, AK 99518 USA</t>
  </si>
  <si>
    <t>Oregon State University; University of Tasmania; Alaska Department of Fish &amp; Game</t>
  </si>
  <si>
    <t>Womble, JN (corresponding author), Natl Pk Serv, Glacier Bay Field Stn, 3100 Natl Pk Rd, Juneau, AK 99801 USA.</t>
  </si>
  <si>
    <t>jamiewomble@oregonstate.edu</t>
  </si>
  <si>
    <t>Horning, Markus/I-3019-2015; Lea, Mary-Anne/E-9054-2013</t>
  </si>
  <si>
    <t>Horning, Markus/0000-0001-6178-4935; Lea, Mary-Anne/0000-0001-8318-9299; Womble, Jamie/0000-0002-6635-1490</t>
  </si>
  <si>
    <t>10.1016/j.dsr2.2012.07.017</t>
  </si>
  <si>
    <t>WOS:000317636400007</t>
  </si>
  <si>
    <t>Davis, RW; Fuiman, LA; Madden, KM; Williams, TM</t>
  </si>
  <si>
    <t>Davis, Randall W.; Fuiman, Lee A.; Madden, Kiersten M.; Williams, Terrie M.</t>
  </si>
  <si>
    <t>Classification and behavior of free-ranging Weddell seal dives based on three-dimensional movements and video-recorded observations</t>
  </si>
  <si>
    <t>Weddell seal; Diving; Classification; Foraging behavior; Marine mammals; Three-dimensional movements</t>
  </si>
  <si>
    <t>LEPTONYCHOTES-WEDDELLII; FORAGING DIVES; ICE; CRITTERCAM; PATTERNS; HOLE</t>
  </si>
  <si>
    <t>The goal of this study was to classify free-ranging (FR) dives of Weddell seals (Leptonychotes weddellii) and to compare them to isolated hole (IH) dives. Classification and comparisons were based on 58 descriptors for three-dimensional dive paths computed from data obtained by attaching video and data recorders to the backs of 12 adult Weddell seals that were free-ranging in eastern McMurdo Sound, Antarctica. We then inferred behavioral functions for the dive classes based on video-recorded observations. Three of the four dive types previously identified from seals diving at an IH occurred in FR seals. Although there were differences associated with location, Types 1, 2 and 3 dives clustered in a similar pattern in the discriminant analysis for FR and IH dives. Most prey (79%) captures occurred during Type 1 dives, and the primary (99%) prey was Antarctic silverfish (Pleuragramma antarcdcum). Type 1 dives were the deepest (mean maximum depth 324-378 m), longest in duration (15.0-27.0 min), covered the greatest total distance (1470-2197 m), and had the steepest dive angles (descents: -30 degrees; ascents: +27 degrees). Types 2 and 3 dives formed a continuum from short duration (3.6-7.5 min), shallow (mean maximum depth 30-66 m) dives that were close to the ice hole (farpoint distance 75-130 m) and often involved aggressive interactions with other seals for breathing opportunities (Type 2) to progressively longer (7.9-17.2 min), deeper (mean maximum depth 81143 m) dives that covered greater total distances (878-1194 m) and were associated with transiting between holes, exploring and occasionally foraging (Type 3). Very long distance Type 4 exploratory dives that were identified in the IH study were completely absent in FR seals. (C) 2012 Elsevier Ltd. All rights reserved.</t>
  </si>
  <si>
    <t>[Davis, Randall W.] Texas A&amp;M Univ, Dept Marine Biol, OCSB, Galveston, TX 77553 USA; [Fuiman, Lee A.; Madden, Kiersten M.] Univ Texas Austin, Inst Marine Sci, Dept Marine Sci, Port Aransas, TX 78373 USA; [Williams, Terrie M.] Univ Calif Santa Cruz, Dept Ecol &amp; Evolutionaiy Biol, Santa Cruz, CA 95063 USA</t>
  </si>
  <si>
    <t>Texas A&amp;M University System; University of Texas System; University of Texas Austin; University of California System; University of California Santa Cruz</t>
  </si>
  <si>
    <t>Davis, RW (corresponding author), Texas A&amp;M Univ, Dept Marine Biol, OCSB, 200 Seawolf Pkwy, Galveston, TX 77553 USA.</t>
  </si>
  <si>
    <t>davisr@tamug.edu</t>
  </si>
  <si>
    <t>Fuiman, Lee A/L-9514-2017</t>
  </si>
  <si>
    <t>National Science Foundation; Office of Polar Programs [OPP-9614857, OPP-9708151, OPP-9618384, OPP-9909422]; West Coast Office of the National Undersea Research Program [UAF98-0040]; Nancy Lee and Perry R. Bass Endowment at the University of Texas Marine Science Institute; Directorate For Geosciences [0739163] Funding Source: National Science Foundation; Directorate For Geosciences; Office of Polar Programs (OPP) [9614857, 0739390] Funding Source: National Science Foundation; Division Of Polar Programs [0739163] Funding Source: National Science Foundation; Div Of Biological Infrastructure; Direct For Biological Sciences [1063198] Funding Source: National Science Foundation; Office of Polar Programs (OPP); Directorate For Geosciences [0739600] Funding Source: National Science Foundation</t>
  </si>
  <si>
    <t>National Science Foundation(National Science Foundation (NSF)); Office of Polar Programs(National Science Foundation (NSF)NSF - Directorate for Geosciences (GEO)); West Coast Office of the National Undersea Research Program; Nancy Lee and Perry R. Bass Endowment at the University of Texas Marine Science Institute; Directorate For Geosciences(National Science Foundation (NSF)NSF - Directorate for Geosciences (GEO)); Directorate For Geosciences; Office of Polar Programs (OPP)(National Science Foundation (NSF)NSF - Directorate for Geosciences (GEO)); Division Of Polar Programs(National Science Foundation (NSF)NSF - Directorate for Geosciences (GEO)); Div Of Biological Infrastructure; Direct For Biological Sciences(National Science Foundation (NSF)NSF - Directorate for Biological Sciences (BIO)); Office of Polar Programs (OPP); Directorate For Geosciences(National Science Foundation (NSF)NSF - Directorate for Geosciences (GEO))</t>
  </si>
  <si>
    <t>This research was supported by grants from the National Science Foundation, Office of Polar Programs (OPP-9614857, OPP-9708151, OPP-9618384, OPP-9909422) and the West Coast Office of the National Undersea Research Program (UAF98-0040). Additional financial support was provided by the Nancy Lee and Perry R. Bass Endowment at the University of Texas Marine Science Institute. We thank the U.S. Antarctic Program for their logistical support and members of our field team, especially D. Calkins, M. Horning, J. Purdy, M. Rutishauser, and R. Watson. Special thanks to W. Hagey for his invaluable role in the development of the video and data recorders, M. Davis for analysis of the video tapes, G. Davis for assistance with data analysis and Edward Farrell for creating the plots for Figs. 4, 5 and 7.</t>
  </si>
  <si>
    <t>10.1016/j.dsr2.2012.07.006</t>
  </si>
  <si>
    <t>WOS:000317636400008</t>
  </si>
  <si>
    <t>Riet-Sapriza, FG; Costa, DP; Franco-Trecu, V; Marín, Y; Chocca, J; González, B; Beathyate, G; Chilvers, BL; Hückstadt, LA</t>
  </si>
  <si>
    <t>Riet-Sapriza, Federico G.; Costa, Daniel P.; Franco-Trecu, Valentina; Marin, Yamandu; Chocca, Julio; Gonzalez, Bernardo; Beathyate, Gaston; Chilvers, B. Louise; Hueckstadt, Luis A.</t>
  </si>
  <si>
    <t>Foraging behavior of lactating South American sea lions (Otaria flavescens) and spatial-temporal resource overlap with the Uruguayan fisheries</t>
  </si>
  <si>
    <t>Foraging behavior; Overlap index; Otaria flavescens; South American sea lions; Bottom trawl; Artisanal fisheries</t>
  </si>
  <si>
    <t>ANTARCTIC FUR SEALS; MACKEREL TRACHURUS-SYMMETRICUS; DIVING BEHAVIOR; COMMERCIAL FISHERIES; FEEDING ECOLOGY; MARINE MAMMALS; HARBOR SEALS; COMPETITION; ENERGETICS; DIET</t>
  </si>
  <si>
    <t>Resource competition between fisheries and marine mammal continue to raise concern worldwide. Understanding this complex conflict requires data on spatial and dietary overlap of marine mammal and fisheries. In Uruguay the South American sea lions population has been dramatically declining over the past decade. The reasons for this population decline are unknown but may include the following: (1) direct harvesting; (2) reduced prey availability and distribution as a consequence of environmental change; or (3) biological interaction with fisheries. This study aims to determine resource overlap and competition between South American sea lions (SASL, Otaria flavescens, n=10) and the artisanal fisheries (AF), and the coastal bottom trawl fisheries (CBTF). We integrated data on sea lions diet (scat analysis), spatial and annual consumption estimates; and foraging behavior-satellite-tracking data from lactating SASL with data on fishing effort areas and fisheries landings. We found that lactating SASL are benthic divers and forage in shallow water within the continental shelf. SASL's foraging areas overlapped with CBTF and AF fisheries operational areas. Dietary analysis indicated a high degree of overlap between the diet of SASL and the AF and CBTF fisheries catch. The results of our work show differing degrees of spatial resource overlap with AF and CBTF, highlighting that there are differences in potential impact from each fishery; and that different management/conservation approaches may need to be taken to solve the fisheries-SASL conflict. (C) 2012 Elsevier Ltd. All rights reserved.</t>
  </si>
  <si>
    <t>[Riet-Sapriza, Federico G.; Franco-Trecu, Valentina] Cetaceos Uruguay, Secc Etol, Fac Ciencias UDELAR, Montevideo 11400, Uruguay; [Costa, Daniel P.] Univ Calif Santa Cruz, Dept Ecol &amp; Evolutionary Biol, Santa Cruz, CA 95060 USA; [Marin, Yamandu; Chocca, Julio; Gonzalez, Bernardo; Beathyate, Gaston] MGAP, Direcc Nacionalde Recurso Acuat, Lab Tecnol Pesquera, Montevideo 11200, Uruguay; [Chilvers, B. Louise] Dept Conservat, Aquat &amp; Threats Unit, Wellington 6011, New Zealand; [Hueckstadt, Luis A.] Univ Calif Santa Cruz, Ocean Sci Dept, Santa Cruz, CA 95060 USA</t>
  </si>
  <si>
    <t>Universidad de la Republica, Uruguay; University of California System; University of California Santa Cruz; University of California System; University of California Santa Cruz</t>
  </si>
  <si>
    <t>Riet-Sapriza, FG (corresponding author), Cetaceos Uruguay, Secc Etol, Fac Ciencias UDELAR, Igua 4225, Montevideo 11400, Uruguay.</t>
  </si>
  <si>
    <t>frietsapriza@gmail.com</t>
  </si>
  <si>
    <t>Franco-Trecu, Valentina/N-5266-2019; Huckstadt, Luis/A-5838-2018; Huckstadt, Luis/JNR-7637-2023; Huckstadt, Luis A./J-8532-2019; Chilvers, B. Louise/AAV-1965-2021; Franco-Trecu, Valentina/L-4649-2019; Costa, Daniel Paul/E-2616-2013</t>
  </si>
  <si>
    <t>Huckstadt, Luis/0000-0002-2453-7350; Huckstadt, Luis A./0000-0002-2453-7350; Chilvers, B. Louise/0000-0002-7657-4217; Franco-Trecu, Valentina/0000-0003-1791-010X; Marin, Yamandu H./0000-0002-7483-8063; Riet, Federico/0000-0002-6568-2802; Costa, Daniel Paul/0000-0002-0233-5782</t>
  </si>
  <si>
    <t>US Marine Mammal Commission [E4047335]; Office of Naval Research [N00014-08-1-1195]; EP Sound; Marine Life Joint Industry Project of the International Association of Oil and Gas Producers</t>
  </si>
  <si>
    <t>US Marine Mammal Commission; Office of Naval Research(Office of Naval Research); EP Sound; Marine Life Joint Industry Project of the International Association of Oil and Gas Producers</t>
  </si>
  <si>
    <t>We would to thank the valuable reviews and editorial comments provided by two anonymous referees. We are indebted to M. Langer for reviewing and improving the grammar of the manuscript. We would like to thanks S. Villegas-Antmann and P. Robinson for their assistance in dive data analyses. We would like to thanks Nelson Veiga, Jose Luis Veiga, Gabriel Pereyra, Leonardo Olivera, D.J. Shuman, H. Katz, R. Frau, S. Tavoni, M. Garcia, M. Rivas for their invaluable assistance and collaboration during the field work We are also thankful to C. Leiza (Parque Zoologico Lecoq, Uruguay) for providing tranquilizing darts dart, and the Marine Mammal Center (Sausalito, California, USA) for lending the capture nets. We are also thankful to Arthur R Rodgers, for his assistance and discussion about kernel analysis using Home Range Tools. This research was funded by the US Marine Mammal Commission under the Grant no. E4047335 and the Office of Naval Research Grant N00014-08-1-1195, the E&amp;P Sound and Marine Life Joint Industry Project of the International Association of Oil and Gas Producers. We would like to acknowledge the logistical support of DINARA The present work was conducted under the permit #572/208 approved by DINARA (National Administration of Aquatic Resources), Ministry of Livestock, Agriculture and Fisheries, Uruguay.</t>
  </si>
  <si>
    <t>10.1016/j.dsr2.2012.09.005</t>
  </si>
  <si>
    <t>WOS:000317636400011</t>
  </si>
  <si>
    <t>Tareghian, R; Rasmussen, P</t>
  </si>
  <si>
    <t>Tareghian, Reza; Rasmussen, Peter</t>
  </si>
  <si>
    <t>Analysis of Arctic and Antarctic sea ice extent using quantile regression</t>
  </si>
  <si>
    <t>sea ice extent; quantile regression; Arctic; Antarctic</t>
  </si>
  <si>
    <t>CLIMATE-CHANGE; CIRCULATION</t>
  </si>
  <si>
    <t>A number of recent studies have examined trends in sea ice cover using ordinary least squares regression. In this study, quantile regression is applied to analyse other aspects of the distribution of sea ice extent. More specifically, trends in the mean, maximum, and minimum sea ice extent in the Arctic and Antarctic are investigated. While there is a significant decreasing trend in mean Arctic sea ice extent of 4.5% per decade from 1979 through 2010, the Antarctic results show a small positive trend of 2.3% per decade. In some cases such as the Antarctic minimum ice cover, selected quantile regressions yield slope estimates that differ from trends in the mean. It was also found that the variability in Antarctic sea ice extent is higher than that in the Arctic. Copyright (c) 2012 Royal Meteorological Society</t>
  </si>
  <si>
    <t>[Tareghian, Reza; Rasmussen, Peter] Univ Manitoba, Dept Civil Engn, Winnipeg, MB R3T 2N2, Canada</t>
  </si>
  <si>
    <t>University of Manitoba</t>
  </si>
  <si>
    <t>Tareghian, R (corresponding author), Univ Manitoba, Dept Civil Engn, Winnipeg, MB R3T 2N2, Canada.</t>
  </si>
  <si>
    <t>umtaregh@cc.umanitoba.ca</t>
  </si>
  <si>
    <t>10.1002/joc.3491</t>
  </si>
  <si>
    <t>123WZ</t>
  </si>
  <si>
    <t>WOS:000317423800003</t>
  </si>
  <si>
    <t>Hospitaleche, CA; Reguero, M; Scarano, A</t>
  </si>
  <si>
    <t>Acosta Hospitaleche, Carolina; Reguero, Marcelo; Scarano, Alejo</t>
  </si>
  <si>
    <t>Main pathways in the evolution of the Paleogene Antarctic Sphenisciformes</t>
  </si>
  <si>
    <t>JOURNAL OF SOUTH AMERICAN EARTH SCIENCES</t>
  </si>
  <si>
    <t>Sphenisciformes; Biodiversity; Paleogene; Antarctica; Weddellian current</t>
  </si>
  <si>
    <t>MARAMBIO SEYMOUR ISLAND; LA MESETA FORMATION; JAMES-ROSS-ISLAND; LATE EOCENE; ECOLOGICAL SEGREGATION; FOSSIL PENGUINS; CLIMATE-CHANGE; AVES; STRATIGRAPHY; DIVERSITY</t>
  </si>
  <si>
    <t>The Seymour Island fossil penguins from the Cross Valley and La Meseta Formations, Seymour Island (James Ross Basin; late Paleocene, and Eocene/?early Oligocene respectively) constitute the most complete stratigraphic records of the group known in the world. In addition to the geographic and stratigraphic thoroughness of the collected fossil remains, they offer a unique opportunity to the understanding of the major evolutionary patterns of the Sphenisciformes. We analyze their taxonomic diversity and abundance in La Meseta Formation, in a context of the spread patterns of the Paleogene penguins in relationship to the Antarctic Circumpolar Current incidence. Our data suggest that the highest diversity and geographical distribution (Antarctica, South America and Australasia) in the Late Eocene were linked to water-cooling events and the opening of the Drake Passage. However, the first divergence of the group is documented in the Early Eocene. This fact supports that a marine dispersion of the Weddellian penguins to other continents occurs when there was a shallow and warm ocean current circulation (Weddellian Current) flowing along the western margin of West Antarctica and South America The phylogenetic analysis and the recent discoveries in the Eocene of Chile and Peru support the hypothesis that establishes one of the way for the dispersion of the Weddellian species from the Peninsula Antarctica was the Pacific coast during the early Eocene. (C) 2013 Elsevier Ltd. All rights reserved.</t>
  </si>
  <si>
    <t>[Acosta Hospitaleche, Carolina; Reguero, Marcelo] Museo La Plata, CONICET, Div Paleontol Vertebrados, La Plata, Buenos Aires, Argentina; [Scarano, Alejo] Univ Nacl Avellaneda, Dept Ciencias Ambientales, Avellaneda, Buenos Aires, Argentina</t>
  </si>
  <si>
    <t>National University of La Plata; Museo La Plata; Consejo Nacional de Investigaciones Cientificas y Tecnicas (CONICET)</t>
  </si>
  <si>
    <t>Hospitaleche, CA (corresponding author), Museo La Plata, CONICET, Div Paleontol Vertebrados, Paseo Bosque S-N,B1900FWA, La Plata, Buenos Aires, Argentina.</t>
  </si>
  <si>
    <t>acostacaro@fcnym.unlp.edu.ar; regui@fcnym.unlp.edu.ar; ascarano@undav.edu.ar</t>
  </si>
  <si>
    <t>Reguero, Marcelo A./JHS-4893-2023; Acosta Hospitaleche, Carolina/E-5740-2017</t>
  </si>
  <si>
    <t>Acosta Hospitaleche, Carolina/0000-0002-2614-1448; Reguero, Marcelo A./0000-0003-0875-8484</t>
  </si>
  <si>
    <t>0895-9811</t>
  </si>
  <si>
    <t>J S AM EARTH SCI</t>
  </si>
  <si>
    <t>J. South Am. Earth Sci.</t>
  </si>
  <si>
    <t>10.1016/j.jsames.2013.01.006</t>
  </si>
  <si>
    <t>120EG</t>
  </si>
  <si>
    <t>WOS:000317153000010</t>
  </si>
  <si>
    <t>Harada, N; Ninnemann, U; Lange, CB; Marchant, ME; Sato, M; Ahagon, N; Pantoja, S</t>
  </si>
  <si>
    <t>Harada, Naomi; Ninnemann, Ulysses; Lange, Carina B.; Marchant, Margarita E.; Sato, Miyako; Ahagon, Naokazu; Pantoja, Silvio</t>
  </si>
  <si>
    <t>Deglacial-Holocene environmental changes at the Pacific entrance of the Strait of Magellan</t>
  </si>
  <si>
    <t>Biogenic components; delta C-13; delta N-15; Planktic foraminifera; Alkenone; Sea surface temperature; Southern Patagonia</t>
  </si>
  <si>
    <t>SOUTHERNMOST SOUTH-AMERICA; SEA-SURFACE TEMPERATURE; ISOTOPIC COMPOSITION; NORTH PACIFIC; CENTRAL CHILE; VARIABILITY; ALKENONES; EVOLUTION; SEDIMENTS; WATERS</t>
  </si>
  <si>
    <t>We show environmental and nitrogen cycle changes between 13 and 2.5 kyr BP (from the latest deglaciation to the Holocene) based on biogeochemical records in a sediment core from the Pacific entrance of the Strait of Magellan. Organic carbon, total nitrogen, and C-37 alkenone contents were low during 13-9 kyr BP but increased rapidly at 8 kyr BP. The relative contribution of tetra-unsaturated C-37 alkenone, used as a salinity proxy, suggests low salinity during 13-9 kyr BP changing to high salinity at 8 kyr BP. Planktic foraminifer data showed that Globigerina bulloides was more abundant during the deglacial-early Holocene than in the mid-late Holocene, whereas abundances of Neogloboquadrina pachyderma showed the opposite pattern. This evidence plus biogenic opal data suggest that sea level rose, surface waters were relatively stratified, and in situ productivity was low except for organisms with opal tests from 13 to 9 kyr BP. Bulk delta N-15 values were high (9-11 parts per thousand) relative to present-day values during the deglacial-early Holocene, with consistently lower values (similar to 7 parts per thousand) after similar to 8 kyr BP. These relatively high delta N-15 values most likely reflect increased nutrient utilization in the Southern Ocean, which resulted in high-delta N-15 water being advected to the Patagonian fjords, although local denitrification caused by the delivery of copious terrestrial materials and organic matter to the ocean cannot be ruled out. By similar to 8 kyr BP continental influences and surface stratification were reduced and characteristic Holocene conditions were established, with increased influence of Southern Ocean water in the western Strait of Magellan. Sea surface temperatures showed millennial-scale changes during the deglaciation and early Holocene, with relatively warm temperatures (11-12 degrees C) corresponding to the Antarctic counterpart of the Younger Dryas cooling event of the Northern Hemisphere. The longer term pattern (similar to 10 kyr time scale) in alkenone-derived sea surface temperatures generally follows orbital changes in insolation during austral spring, suggesting a controlling influence of austral spring insolation on southern Patagonian climate. (C) 2013 Elsevier B.V. All rights reserved.</t>
  </si>
  <si>
    <t>[Harada, Naomi; Sato, Miyako] Japan Agcy Marine Earth Sci &amp; Technol, Res Inst Global Change, Yokosuka, Kanagawa, Japan; [Ninnemann, Ulysses] Univ Bergen, Dept Earth Sci, N-5007 Bergen, Norway; [Ninnemann, Ulysses] Univ Bergen, Bjerknes Ctr Climate Res, N-5007 Bergen, Norway; [Lange, Carina B.; Pantoja, Silvio] Univ Concepcion, Dept Oceanog, Concepcion, Chile; [Lange, Carina B.; Pantoja, Silvio] Univ Concepcion, Ctr Oceanog Res Eastern South Pacific COPAS, Concepcion, Chile; [Marchant, Margarita E.] Univ Concepcion, Dept Zool, Concepcion, Chile; [Ahagon, Naokazu] Japan Agcy Marine Earth Sci &amp; Technol, Kochi Inst Core Sample Res, Nankoku, Kochi, Japan</t>
  </si>
  <si>
    <t>Japan Agency for Marine-Earth Science &amp; Technology (JAMSTEC); University of Bergen; University of Bergen; Bjerknes Centre for Climate Research; Universidad de Concepcion; Universidad de Concepcion; Universidad de Concepcion; Japan Agency for Marine-Earth Science &amp; Technology (JAMSTEC)</t>
  </si>
  <si>
    <t>Harada, N (corresponding author), Japan Agcy Marine Earth Sci &amp; Technol, Res Inst Global Change, 2-15 Natsushima Cho, Yokosuka, Kanagawa, Japan.</t>
  </si>
  <si>
    <t>haradan@jamstec.go.jp</t>
  </si>
  <si>
    <t>Lange, Carina/AHC-2015-2022; TERRA, NIES/AAW-3488-2020</t>
  </si>
  <si>
    <t>Lange, Carina/0000-0002-2916-4207; Marchant, Margarita/0000-0003-4849-9691</t>
  </si>
  <si>
    <t>Japan Agency for Marine-Earth Science and Technology; Center for Oceanographic Research in the Eastern South Pacific (COPAS Center CONICYT) [150100007]</t>
  </si>
  <si>
    <t>Japan Agency for Marine-Earth Science and Technology; Center for Oceanographic Research in the Eastern South Pacific (COPAS Center CONICYT)</t>
  </si>
  <si>
    <t>We are grateful to Captain Akamine and the crew of RAT Mirai for their help with sediment collection and water-column sampling during cruise MR08-06. We thank F. Lamy for providing comments on an earlier version of this manuscript. This paper benefited from important comments by Thierry Correge, Associate Editor and an anonymous reviewer. This work was supported by the Japan Agency for Marine-Earth Science and Technology, and in part by the Center for Oceanographic Research in the Eastern South Pacific (COPAS Center CONICYT grant no. 150100007).</t>
  </si>
  <si>
    <t>APR 1</t>
  </si>
  <si>
    <t>10.1016/j.palaeo.2013.02.022</t>
  </si>
  <si>
    <t>127MV</t>
  </si>
  <si>
    <t>WOS:000317704000010</t>
  </si>
  <si>
    <t>Cloutis, EA; Izawa, MRM; Pompilio, L; Reddy, V; Hiesinger, H; Nathues, A; Mann, P; Le Corre, L; Palomba, E; Bell, JF</t>
  </si>
  <si>
    <t>Cloutis, E. A.; Izawa, M. R. M.; Pompilio, L.; Reddy, V.; Hiesinger, H.; Nathues, A.; Mann, P.; Le Corre, L.; Palomba, E.; Bell, J. F., III</t>
  </si>
  <si>
    <t>Spectral reflectance properties of HED meteorites+CM2 carbonaceous chondrites: Comparison to HED grain size and compositional variations and implications for the nature of low-albedo features on Asteroid 4 Vesta</t>
  </si>
  <si>
    <t>Asteroid Vesta; Meteorites; Mineralogy; Spectroscopy; Asteroids, Surfaces</t>
  </si>
  <si>
    <t>INSOLUBLE ORGANIC-MATTER; X-RAY-DIFFRACTION; METEORITICAL BULLETIN; PYROXENE MIXTURES; CRYSTAL-STRUCTURE; REFINEMENT METHOD; MODAL MINERALOGY; HIGH-TEMPERATURE; CM2 CHONDRITES; DARK MATERIAL</t>
  </si>
  <si>
    <t>We have studied the spectral reflectance properties of the CM2 xenolith-bearing howardite PRA 04401, intimate and areal mixtures of a eucrite (Millbillillie) and a CM2 chondrite (Murchison), and a mineralogically diverse suite of 12 HED meteorites. The main goal is to ascertain whether the presence of CM2-type material can be discriminated from grain size variations in HEDs. This project was motivated by the presence of CM2 material in a number of howardites. This study is of high relevance to Vesta because of the detection of low-albedo features on its surface by the Framing Camera (FC) aboard NASA's Dawn spacecraft. The addition of CM2 material and increasing HED grain size both lead to decreasing overall albedo. However these two processes can be recognized by how they affect pyroxene band depths and shapes and, to a lesser extent, band widths. Pyroxene band depths and widths decrease with increasing CM2 abundance and increase with increasing HED grain size, as do various FC reflectance ratios. HED pyroxene absorption bands appear to reach saturation when grain size is in the region of 60-170 mu m, with band I saturating at smaller grain sizes than band II. Band I centers are largely insensitive to CM2 abundances or HED grain size variations, while Band II center positions increase by up to 40 nm with increasing CM2 abundance, and vary non-systematically by up to 22 nm as a function of grain size. The variation with CM2 abundance is probably due to the red-sloped nature of the CM2 spectrum and the broad and shallow nature of the pyroxene band II absorption. Band area ratios show less consistent behavior, likely due to CM2-induced slope changes in the mixtures and band saturation effects in the HEDs. Because HED pyroxene is so strongly featured, CM2 abundances must be well in excess of 80 wt.% to allow for the appearance of their much weaker CM2 phyllosilicate absorption bands. CM2 material may also cause a reddening of spectral slope and a shifting of pyroxene band minima to shorter wavelengths, although CM2 chondrites can exhibit a range of spectral slopes. The presence of submicron opaques (specifically chromite) in HED pyroxenes can lead to large variations in all spectral parameters. Discriminating the spectrum-altering effects of CM2 material from HED grain size variations is possible, with the confidence in the interpretation increasing as a larger range of spectral parameters are applied to the analysis. (C) 2013 Elsevier Inc. All rights reserved.</t>
  </si>
  <si>
    <t>[Cloutis, E. A.; Izawa, M. R. M.; Mann, P.] Univ Winnipeg, Dept Geog, Winnipeg, MB R3B 2E9, Canada; [Pompilio, L.] Univ G dAnnunzio, Dept Psychol Humanist &amp; Earth Sci, I-66013 Chieti, Italy; [Reddy, V.] Univ N Dakota, Dept Space Studies, Grand Forks, ND 58202 USA; [Reddy, V.; Nathues, A.; Le Corre, L.] Max Planck Inst Solar Syst Res, Katlenburg Lindau, Germany; [Hiesinger, H.] Univ Munster, Inst Planetol, D-48149 Munster, Germany; [Palomba, E.] INAF, Ist Fis Spazio Interplanetario, I-00133 Rome, Italy; [Bell, J. F., III] Arizona State Univ, Sch Earth &amp; Space Explorat, Tempe, AZ 85287 USA</t>
  </si>
  <si>
    <t>University of Winnipeg; G d'Annunzio University of Chieti-Pescara; University of North Dakota Grand Forks; Max Planck Society; University of Munster; Istituto Nazionale Astrofisica (INAF); Arizona State University; Arizona State University-Tempe</t>
  </si>
  <si>
    <t>e.cloutis@uwinnipeg.ca; pompilio@irsps.unich.it; reddy@mps.mpg.de; hiesinger@uni-muenster.de; nathues@mps.mpg.de; lecorre@mps.mpg.de; palomba@ifsi-roma.inaf.it; Jim.Bell@asu.edu</t>
  </si>
  <si>
    <t>Pompilio, Loredana/I-6153-2019; Nathues, Andreas/AAW-4340-2020; Palomba, Ernesto/E-8287-2017</t>
  </si>
  <si>
    <t>Pompilio, Loredana/0000-0003-3217-7575; Palomba, Ernesto/0000-0002-9101-6774; Reddy, Vishnu/0000-0002-7743-3491; Le Corre, Lucille/0000-0003-0349-7932</t>
  </si>
  <si>
    <t>NASA/Keck Reflectance Experiment Laboratory (RELAB); Natural Sciences and Engineering Research Council of Canada (NSERC),; Canadian Space Agency (CSA); University of Winnipeg; Canada Foundation for Innovation (CFI); Manitoba Research Innovations Fund (MRIF); MPI for Solar System Research; German Space Agency DLR</t>
  </si>
  <si>
    <t>NASA/Keck Reflectance Experiment Laboratory (RELAB); Natural Sciences and Engineering Research Council of Canada (NSERC),(Natural Sciences and Engineering Research Council of Canada (NSERC)); Canadian Space Agency (CSA)(Canadian Space Agency); University of Winnipeg; Canada Foundation for Innovation (CFI)(Canada Foundation for Innovation); Manitoba Research Innovations Fund (MRIF); MPI for Solar System Research; German Space Agency DLR(Helmholtz AssociationGerman Aerospace Centre (DLR))</t>
  </si>
  <si>
    <t>We wish to acknowledge the support provided the multi-use NASA/Keck Reflectance Experiment Laboratory (RELAB) spectrometer facility in the Department of Geological Sciences at Brown University, and in particular Drs. Carle Pieters and Takahiro Hiroi for spectral data acquisition at their facility. The authors wish to thank the US Antarctic Meteorite Recovery Program for loaning us the sample of PRA 04401. We also wish to thank the Natural Sciences and Engineering Research Council of Canada (NSERC), the Canadian Space Agency (CSA), and the University of Winnipeg for their support of this research program, and the Canada Foundation for Innovation (CFI), the Manitoba Research Innovations Fund (MRIF), and CSA for their support in establishing the Planetary Spectrophotometer Facility at the University of Winnipeg. We also wish to acknowledge funding support of the MPI for Solar System Research and the German Space Agency DLR. Finally, we wish to thank the two anonymous reviewers for their many useful suggestions and comments. We also thank Addi Bischoff for providing his unpublished data for NWA 5748.</t>
  </si>
  <si>
    <t>10.1016/j.icarus.2013.02.003</t>
  </si>
  <si>
    <t>116ZZ</t>
  </si>
  <si>
    <t>WOS:000316923200019</t>
  </si>
  <si>
    <t>Kraus, C; Mueller, B; Meise, K; Piedrahita, P; Pörschmann, U; Trillmich, F</t>
  </si>
  <si>
    <t>Kraus, C.; Mueller, B.; Meise, K.; Piedrahita, P.; Poerschmann, U.; Trillmich, F.</t>
  </si>
  <si>
    <t>Mama's boy: sex differences in juvenile survival in a highly dimorphic large mammal, the Galapagos sea lion</t>
  </si>
  <si>
    <t>Environmental variability; Fragile males; Male-biased allocation; Sex differential mortality; Zalophus wollebaeki</t>
  </si>
  <si>
    <t>ANTARCTIC FUR-SEAL; MATERNAL CHARACTERISTICS; ARCTOCEPHALUS-TROPICALIS; INTERANNUAL VARIATION; ENERGY-EXPENDITURE; MILK CONSUMPTION; BODY-COMPOSITION; BIRTH-DATE; GROWTH; MASS</t>
  </si>
  <si>
    <t>In many mammals, early survival differs between the sexes, with males proving the more fragile sex [Fragile male (FM) hypothesis], especially in sexually dimorphic species where males are the larger sex. Male-biased allocation (MBA) by females may offset this difference. Here, we evaluate support for the FM and MBA hypotheses using a dataset on Galapagos sea lions (Zalophus wollebaeki). We statistically model sex-specific survival as it depends on body mass and environmental conditions (sea surface temperature, SST, a correlate of marine productivity) at three developmental stages, the perinatal phase (1st month), the main lactation period (1st year), and the weaning period (2nd year). Supporting the FM hypothesis, we found that, early in life (1st month), at equal birth mass, males survived less well than females. During the remainder of the first year of life, male survival was actually less sensitive to harsh environmental conditions than that of females, contradicting the FM hypothesis and supporting the MBA hypothesis. During the second year of life, only male survival suffered with high SSTs as predicted by the FM hypothesis. At each developmental stage, observed survival rates were almost equal for both sexes, suggesting that mothers buffer against the inherent fragility of male offspring through increased allocation, thereby masking the differences in survival prospects between the sexes.</t>
  </si>
  <si>
    <t>[Kraus, C.] Univ Goettingen, Dept Anthropol Sociobiol, Gottingen, Germany; [Mueller, B.; Meise, K.; Piedrahita, P.; Poerschmann, U.; Trillmich, F.] Univ Bielefeld, Dept Behav Biol, D-33501 Bielefeld, Germany</t>
  </si>
  <si>
    <t>University of Gottingen; University of Bielefeld</t>
  </si>
  <si>
    <t>Trillmich, F (corresponding author), Univ Bielefeld, Dept Behav Biol, POB 100131, D-33501 Bielefeld, Germany.</t>
  </si>
  <si>
    <t>ftrillmich@uni-bielefeld.de</t>
  </si>
  <si>
    <t>Piedrahita, Paolo/M-9401-2019; Piedrahita, Paolo/K-2529-2019</t>
  </si>
  <si>
    <t>Piedrahita, Paolo/0000-0002-4403-6326; Kraus, Cornelia/0000-0002-5128-722X</t>
  </si>
  <si>
    <t>VW-Stiftung; Friends of the Galapagos Switzerland; German Research Foundation [TR 105/18 1-2]</t>
  </si>
  <si>
    <t>VW-Stiftung; Friends of the Galapagos Switzerland; German Research Foundation(German Research Foundation (DFG))</t>
  </si>
  <si>
    <t>This study was funded by VW-Stiftung, Friends of the Galapagos Switzerland, and the German Research Foundation (TR 105/18 1-2). We are grateful for the permission to work and the close collaboration of the Galapagos National Park Service and for the support of the Charles Darwin Research Station, especially for the permission to use their SST data. J.-M. Gaillard and two anonymous reviewers gave valuable input to the final version. This study could not have been done without the enduring field assistance by many helpers particularly of M. Fowler, J. Jeglinski, K. Martin, J.P. Munoz, D. Serrano, C. Suarez, K. Torres and C. Youngflesh. C. Schultz helped in designing the database.</t>
  </si>
  <si>
    <t>10.1007/s00442-012-2469-7</t>
  </si>
  <si>
    <t>116TR</t>
  </si>
  <si>
    <t>WOS:000316906400013</t>
  </si>
  <si>
    <t>Fear, R; Woodfleld, EE</t>
  </si>
  <si>
    <t>Fear, Robert; Woodfleld, Emma E.</t>
  </si>
  <si>
    <t>Autumn MIST 2012</t>
  </si>
  <si>
    <t>[Fear, Robert] Univ Leicester, Leicester LE1 7RH, Leics, England</t>
  </si>
  <si>
    <t>University of Leicester</t>
  </si>
  <si>
    <t>Fear, R (corresponding author), Univ Leicester, Leicester LE1 7RH, Leics, England.</t>
  </si>
  <si>
    <t>r.fear@ion.le.ac.uk; emmwoo@bas.ac.uk</t>
  </si>
  <si>
    <t>MIST</t>
  </si>
  <si>
    <t>Robert Fear, University of Leicester, UK (r.fear@ion.le.ac.uk). Emma E Woodfleld, British Antarctic Survey, UK (emmwoo@bas.ac.uk). Acknowledgments. We are grateful to Tim Yeoman, Nathan Case and Khurom Kiyani for chairing sessions, all of the MIST community who presented talks and posters, and the RAS for hosting the meeting and for its support of MIST.</t>
  </si>
  <si>
    <t>113FW</t>
  </si>
  <si>
    <t>WOS:000316653000022</t>
  </si>
  <si>
    <t>Hou, SG; Wang, YT; Pang, HX</t>
  </si>
  <si>
    <t>Hou ShuGui; Wang YeTang; Pang HongXi</t>
  </si>
  <si>
    <t>Climatology of stable isotopes in Antarctic snow and ice: Current status and prospects</t>
  </si>
  <si>
    <t>Antarctic Ice Sheet; delta D and delta O-18; d-excess; O-17-excess; snow and ice; climate change</t>
  </si>
  <si>
    <t>GENERAL-CIRCULATION MODEL; DRONNING-MAUD-LAND; DEUTERIUM EXCESS RECORD; WATER ISOTOPES; SURFACE SNOW; ATMOSPHERIC CIRCULATION; INTERANNUAL VARIABILITY; AREAL DISTRIBUTION; LAST DEGLACIATION; EAST ANTARCTICA</t>
  </si>
  <si>
    <t>Stable isotopic composition in Antarctic snow and ice is commonly regarded as one of invaluable palaeoclimate proxies and plays a critically important role in reconstructing past climate change. In this paper we summarized the spatial distribution and the controlling factors of delta D, delta O-18, d-excess and O-17-excess in Antarctic snow and ice, and discussed their reliability and applicability as palaeoclimate proxies. Recent progress in the stable isotopic records from Antarctic deep ice cores was reviewed, and perspectives on bridging the current understanding gaps were suggested.</t>
  </si>
  <si>
    <t>[Hou ShuGui; Pang HongXi] Nanjing Univ, Sch Geog &amp; Oceanog Sci, Minist Educ, Key Lab Coast &amp; Isl Dev, Nanjing 210093, Jiangsu, Peoples R China; [Wang YeTang] Shandong Marine Fisheries Res Inst, Shandong Prov Key Lab Marine Ecol Restorat, Yantai 264006, Peoples R China; [Hou ShuGui] Chinese Acad Sci, State Key Lab Cryospher Sci, Cold &amp; Arid Reg Environm &amp; Engn Res Inst, Lanzhou 730000, Peoples R China</t>
  </si>
  <si>
    <t>Nanjing University; Chinese Academy of Sciences; Cold &amp; Arid Regions Environmental &amp; Engineering Research Institute, CAS</t>
  </si>
  <si>
    <t>Hou, SG (corresponding author), Nanjing Univ, Sch Geog &amp; Oceanog Sci, Minist Educ, Key Lab Coast &amp; Isl Dev, Nanjing 210093, Jiangsu, Peoples R China.</t>
  </si>
  <si>
    <t>shugui@nju.edu.cn; wangyetang@163.com</t>
  </si>
  <si>
    <t>Hou, Shugui/J-3651-2015</t>
  </si>
  <si>
    <t>Hou, Shugui/0000-0002-0905-3542</t>
  </si>
  <si>
    <t>National Natural Science Foundation of China [41171052, 40825017, 41206175, 41176165]; State Oceanic Administration [CHINARE2012-02-02]; Ministry of Education [20110091110025, 1082020904]</t>
  </si>
  <si>
    <t>National Natural Science Foundation of China(National Natural Science Foundation of China (NSFC)); State Oceanic Administration; Ministry of Education</t>
  </si>
  <si>
    <t>This work was supported by the National Natural Science Foundation of China (41171052, 40825017, 41206175 and 41176165), the State Oceanic Administration (CHINARE2012-02-02) and Ministry of Education (20110091110025 and 1082020904). Thanks go to Martin Werner for providing the ECHAM5 data and to Jean Jouzel for comments.</t>
  </si>
  <si>
    <t>1861-9541</t>
  </si>
  <si>
    <t>10.1007/s11434-012-5543-y</t>
  </si>
  <si>
    <t>117LM</t>
  </si>
  <si>
    <t>WOS:000316954900002</t>
  </si>
  <si>
    <t>Grose, MR; Corney, SP; Katzfey, JJ; Bennett, JC; Holz, GK; White, CJ; Bindoff, NL</t>
  </si>
  <si>
    <t>Grose, Michael R.; Corney, Stuart P.; Katzfey, Jack J.; Bennett, James C.; Holz, Gregory K.; White, Christopher J.; Bindoff, Nathaniel L.</t>
  </si>
  <si>
    <t>A regional response in mean westerly circulation and rainfall to projected climate warming over Tasmania, Australia</t>
  </si>
  <si>
    <t>Climate change; Mean circulation; Southern hemisphere westerlies; Surface warming; Rainfall; Regional climate model</t>
  </si>
  <si>
    <t>SIMULATIONS; PRECIPITATION; TEMPERATURE; BIASES; WINDS</t>
  </si>
  <si>
    <t>Coupled ocean-atmosphere general circulation models (GCMs) lack sufficient resolution to model the regional detail of changes to mean circulation and rainfall with projected climate warming. In this paper, changes in mean circulation and rainfall in GCMs are compared to those in a variable resolution regional climate model, the Conformal Cubic Atmospheric Model (CCAM), under a high greenhouse gas emissions scenario. The study site is Tasmania, Australia, which is positioned within the mid-latitude westerlies of the southern hemisphere. CCAM projects a different response in mean sea level pressure and mid-latitude westerly circulation to climate warming to the GCMs used as input, and shows greater regional detail of the boundaries between regions of increasing and decreasing rainfall. Changes in mean circulation dominate the mean rainfall response in western Tasmania, whereas changes to rainfall in the East Coast are less related to mean circulation changes. CCAM projects an amplification of the dominant westerly circulation over Tasmania and this amplifies the seasonal cycle of wet winters and dry summers in the west. There is a larger change in the strength than in the incidence of westerly circulation and rainfall events. We propose the regional climate model displays a more sensitive atmospheric response to the different rates of warming of land and sea than the GCMs as input. The regional variation in these results highlight the need for dynamical downscaling of coupled general circulation models to finely resolve the influence of mean circulation and boundaries between regions of projected increases and decreases in rainfall.</t>
  </si>
  <si>
    <t>[Grose, Michael R.; Corney, Stuart P.; Holz, Gregory K.; White, Christopher J.; Bindoff, Nathaniel L.] Univ Tasmania, Antarctic Climate &amp; Ecosyst Cooperat Res Ctr ACE, Hobart, Tas 7000, Australia; [Katzfey, Jack J.] CSIRO Marine &amp; Atmospher Res, Ctr Australian Weather &amp; Climate Res CAWCR, Aspendale, Vic, Australia; [Bennett, James C.; Bindoff, Nathaniel L.] Univ Tasmania, Inst Marine &amp; Antarctic Studies IMAS, Hobart, Tas 7001, Australia; [Bennett, James C.] CSIRO Land &amp; Water, Highett Melbourne, Vic 3190, Australia; [White, Christopher J.] CSIRO Marine &amp; Atmospher Res, Bur Meteorol, Ctr Australian Weather &amp; Climate Res CAWCR, Hobart, Tas 7000, Australia; [Bindoff, Nathaniel L.] CSIRO Marine &amp; Atmospher Res, Ctr Australian Weather &amp; Climate Res CAWCR, Hobart, Tas 7000, Australia</t>
  </si>
  <si>
    <t>Antarctic Climate &amp; Ecosystems Cooperative Research Centre (ACE CRC); University of Tasmania; Commonwealth Scientific &amp; Industrial Research Organisation (CSIRO); University of Tasmania; Commonwealth Scientific &amp; Industrial Research Organisation (CSIRO); Bureau of Meteorology - Australia; Commonwealth Scientific &amp; Industrial Research Organisation (CSIRO); Commonwealth Scientific &amp; Industrial Research Organisation (CSIRO)</t>
  </si>
  <si>
    <t>Grose, MR (corresponding author), Univ Tasmania, Antarctic Climate &amp; Ecosyst Cooperat Res Ctr ACE, Private Bag 80, Hobart, Tas 7000, Australia.</t>
  </si>
  <si>
    <t>Michael.Grose@utas.edu.au</t>
  </si>
  <si>
    <t>Grose, Michael/AAV-1119-2021; Bennett, James/C-8456-2013; Katzfey, Jack/AAQ-9845-2020; Katzfey, Jack J/K-1231-2012; Bindoff, Nathaniel Lee/C-8050-2011; Bindoff, Nathaniel Lee/IVV-0333-2023</t>
  </si>
  <si>
    <t>Bennett, James/0000-0002-4930-2638; Katzfey, Jack J/0000-0002-0604-8860; Bindoff, Nathaniel Lee/0000-0001-5662-9519; Bindoff, Nathaniel Lee/0000-0001-5662-9519</t>
  </si>
  <si>
    <t>Australian government's Cooperative Research Centres Program through the Antarctic Climate and Ecosystems Cooperative Research Centre (ACE CRC)</t>
  </si>
  <si>
    <t>Australian government's Cooperative Research Centres Program through the Antarctic Climate and Ecosystems Cooperative Research Centre (ACE CRC)(Australian GovernmentDepartment of Industry, Innovation and ScienceCooperative Research Centres (CRC) Programme)</t>
  </si>
  <si>
    <t>The authors would like to acknowledge J.L McGregor (CAWCR) for providing the CCAM model and assisting in running the simulations. Thanks to W. F Budd for advice and assistance in the development of the scientific approach. We thank the two anonymous referees for their considered and helpful comments. This work was supported by the Australian government's Cooperative Research Centres Program through the Antarctic Climate and Ecosystems Cooperative Research Centre (ACE CRC). Climate Futures for Tasmania is possible with support through funding and research of a consortium of state and national partners. We acknowledge the modelling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t>
  </si>
  <si>
    <t>10.1007/s00382-012-1405-1</t>
  </si>
  <si>
    <t>119CV</t>
  </si>
  <si>
    <t>WOS:000317075700029</t>
  </si>
  <si>
    <t>Schvezov, N; Lovrich, GA; Tapella, F; Romero, MC</t>
  </si>
  <si>
    <t>Schvezov, Natasha; Lovrich, Gustavo A.; Tapella, Federico; Carolina Romero, M.</t>
  </si>
  <si>
    <t>Daily variations of the antioxidant defense system of the lithodid crab Lithodes santolla</t>
  </si>
  <si>
    <t>Beagle channel; Sub-Antarctic crustaceans; Reactive oxygen species; Enzyme activities; Oxyradicals; Daily variations</t>
  </si>
  <si>
    <t>SOUTHERN KING CRAB; PARALOMIS-GRANULOSA; LIPID-PEROXIDATION; PROCAMBARUS-CLARKII; OXYGEN-CONSUMPTION; OXIDATIVE STRESS; LARVAL DEVELOPMENT; LOCOMOTOR MUSCLES; CIRCADIAN-RHYTHMS; CRAYFISH</t>
  </si>
  <si>
    <t>Several physiological processes can induce daily variations in aerobic metabolism. Lithodes santolla is a decapod crustacean of special concern since it is a sub-Antarctic species of commercial interest. The aim of this work was to study in L santolla the daily variations in levels of enzymatic and non-enzymatic antioxidants, lipid peroxidation and protein oxidation, and haemolymphatic pH. Males of L santolla of commercial size were randomly dissected every 4 h during a period of 24 h. Enzymatic activities of superoxide dismutase (SOD), catalase (CAT), glutathione-S-transferase and glutathione peroxidase were determined in samples of gills, muscle, hepatopancreas and haemolymph. Ascorbic acid, total glutathione, lipid peroxidation and protein oxidation were also determined in all tissues. Gills showed, the highest enzymatic activity and hepatopancreas the highest concentration of non-enzymatic antioxidants. Maximum antioxidant activity was during the dark phase in gills and during the photophase in the haemolymph. Muscle showed significant daily variations, with peaks during the photophase and scotophase. Overall, an antioxidant protective mechanism is present in all tissues, where SOD and CAT represent the first line of defense. The defense mechanism in L santolla seems to be more active during the dark phase, with slight differences among the analyzed tissues, indicating a higher metabolic rate. (c) 2013 Elsevier Inc. All rights reserved.</t>
  </si>
  <si>
    <t>[Schvezov, Natasha; Lovrich, Gustavo A.; Tapella, Federico; Carolina Romero, M.] CADIC, Consejo Nacl Invest Cient &amp; Tecn, CONICET Ctr Austral Invest Cient, Ushuaia, Tierra Fuego, Argentina</t>
  </si>
  <si>
    <t>Schvezov, N (corresponding author), Bernardo Houssay 200,V9410CAB, Ushuaia, Tierra Fuego, Argentina.</t>
  </si>
  <si>
    <t>nschvezov@cadic-conicet.gob.ar</t>
  </si>
  <si>
    <t>Lovrich, Gustavo/0000-0001-8424-6566</t>
  </si>
  <si>
    <t>Agencia Nacional Cientifica y Tecnologica [PICT 1308]; CONICET [PIPs 0200, 0335]</t>
  </si>
  <si>
    <t>Agencia Nacional Cientifica y Tecnologica; CONICET(Consejo Nacional de Investigaciones Cientificas y Tecnicas (CONICET))</t>
  </si>
  <si>
    <t>We are grateful to the fisherman J. Ebling, to Drs. G. Malanga and M. Ansaldo for their expert support in the development of the protocols, to O. Florentin, M. Gowland and L. Salvatelli for their technical support. Comments of anonymous reviewers improved a previous version of the manuscript. This project was supported by Agencia Nacional Cientifica y Tecnologica (PICT 1308) and CONICET (PIPs 0200 and 0335). NS has a doctoral scholarship from CONICET.</t>
  </si>
  <si>
    <t>10.1016/j.cbpa.2013.01.013</t>
  </si>
  <si>
    <t>115RI</t>
  </si>
  <si>
    <t>WOS:000316829200009</t>
  </si>
  <si>
    <t>Poulsen, AH; Landrum, PF; Kawaguchi, S; Nash, SMB</t>
  </si>
  <si>
    <t>Poulsen, Anita H.; Landrum, Peter F.; Kawaguchi, So; Nash, Susan M. Bengtson</t>
  </si>
  <si>
    <t>Dietary exposure of Antarctic krill to p,p′-DDE: Uptake kinetics and toxicological sensitivity in a key polar species</t>
  </si>
  <si>
    <t>ENVIRONMENTAL POLLUTION</t>
  </si>
  <si>
    <t>Euphausia superba; Polar crustacean; Persistent organic pollutant (POP); Critical body residue (CBR); Dietary uptake kinetics</t>
  </si>
  <si>
    <t>PERSISTENT ORGANIC POLLUTANTS; SUBLETHAL TOXICITY; TROPHIC TRANSFER; EUPHAUSIA-SUPERBA; BODY RESIDUES; BIOACCUMULATION; CONTAMINANTS; MODEL; BIOTRANSFORMATION; TOXICOKINETICS</t>
  </si>
  <si>
    <t>This study evaluated the dietary uptake kinetics and sublethal toxicity of p,p'-dichlorodiphenyl dichloroethylene (p,p'-DDE) in Antarctic krill. The uptake rate constant (characterised by the seawater volume stripped of contaminant sorbed to algae) of 200 +/- 032 mL g(-1) wet weight h(-1), average absorption efficiency of 86 +/- 13% and very low elimination rate constant of 5 x 10(-6) +/- 0.0031 h(-1) demonstrate the importance of feeding for p,p'-DDE bioaccumulation in Antarctic krill. Faecal egestion of unabsorbed p,p'-DDE of 8.1 +/- 2.7% indicates that this pathway contributes considerably to p,p'-DDE sinking fluxes. A median internal effective concentration (IEC50) of 15 mmol/kg lipid weight for complete immobility indicates baseline toxicity and that Antarctic krill exhibit comparable toxicological sensitivity as temperate species under similar 10 d exposure conditions. These findings support the critical body residue approach and provide insight to the role of Antarctic krill in the biogeochemical cycling of p,p'-DDE in the Southern Ocean. (C) 2013 Elsevier Ltd. All rights reserved.</t>
  </si>
  <si>
    <t>[Poulsen, Anita H.] Univ Queensland, Natl Res Ctr Environm Toxicol Entox, Brisbane, Qld 4108, Australia; [Landrum, Peter F.] So Illinois Univ, Fisheries &amp; Illinois Aquaculture Ctr, Carbondale, IL 62901 USA; [Landrum, Peter F.] So Illinois Univ, Dept Zool, Carbondale, IL 62901 USA; [Kawaguchi, So] Australian Antarctic Div, Kingston, Tas 7050, Australia; [Nash, Susan M. Bengtson] Griffith Univ, Atmospher Environm Res Ctr, Brisbane, Qld 4111, Australia</t>
  </si>
  <si>
    <t>University of Queensland; Southern Illinois University System; Southern Illinois University; Southern Illinois University System; Southern Illinois University; Australian Antarctic Division; Griffith University</t>
  </si>
  <si>
    <t>Poulsen, AH (corresponding author), Univ Queensland, Natl Res Ctr Environm Toxicol Entox, 39 Kessels Rd, Brisbane, Qld 4108, Australia.</t>
  </si>
  <si>
    <t>ahpoulsen@ucdavis.edu; plandrumprof@charter.net; so.kawaguchi@aad.gov.au; s.bengtsonnash@griffith.edu.au</t>
  </si>
  <si>
    <t>Kawaguchi, So/N-1795-2017; Poulsen, Anita H/G-2190-2010; Bengtson Nash, Susan/I-3942-2015; Bengtson Nash, Susan/GMX-4611-2022</t>
  </si>
  <si>
    <t>Bengtson Nash, Susan/0000-0001-5928-0850; Bengtson Nash, Susan/0000-0001-5928-0850; Kawaguchi, So/0000-0002-2042-5095</t>
  </si>
  <si>
    <t>Australian Research Council [DP666891]</t>
  </si>
  <si>
    <t>Australian Research Council(Australian Research Council)</t>
  </si>
  <si>
    <t>The authors thank various AAD staff for krill collection and maintenance; Robert King and Catherine King for recommendations on experimental design; Peter Nichols and Patti Virtue for advice on krill lipid extraction and Darryl Hawker for helpful comments to the modelling section of this manuscript. Two anonymous reviewers provided helpful comments to a previous version of this manuscript. This research was funded by an Australian Research Council Discovery grant (DP666891). Entox is a partnership between the University of Queensland and Queensland Health.</t>
  </si>
  <si>
    <t>0269-7491</t>
  </si>
  <si>
    <t>1873-6424</t>
  </si>
  <si>
    <t>ENVIRON POLLUT</t>
  </si>
  <si>
    <t>Environ. Pollut.</t>
  </si>
  <si>
    <t>10.1016/j.envpol.2012.12.026</t>
  </si>
  <si>
    <t>111JI</t>
  </si>
  <si>
    <t>WOS:000316517200013</t>
  </si>
  <si>
    <t>Sambre, M</t>
  </si>
  <si>
    <t>Sambre, Mathilde</t>
  </si>
  <si>
    <t>The French at the South Pole and Why not? in the Antarctic</t>
  </si>
  <si>
    <t>HISTORIA</t>
  </si>
  <si>
    <t>French</t>
  </si>
  <si>
    <t>EDITIONS TALLANDIER</t>
  </si>
  <si>
    <t>PARIS</t>
  </si>
  <si>
    <t>74 AVENUE DE MAINE, 75014 PARIS, FRANCE</t>
  </si>
  <si>
    <t>0018-2281</t>
  </si>
  <si>
    <t>Historia</t>
  </si>
  <si>
    <t>118MX</t>
  </si>
  <si>
    <t>WOS:000317030700038</t>
  </si>
  <si>
    <t>Beers, JM</t>
  </si>
  <si>
    <t>Beers, J. M.</t>
  </si>
  <si>
    <t>Relationships between hemoprotein expression and cardiovascular physiology of Antarctic notothenioids: form, function, and future implications</t>
  </si>
  <si>
    <t>INTEGRATIVE AND COMPARATIVE BIOLOGY</t>
  </si>
  <si>
    <t>Annual Meeting of the Society-for-Integrative-and-Comparative-Biology (SICB)</t>
  </si>
  <si>
    <t>JAN 03-07, 2013</t>
  </si>
  <si>
    <t>San Francisco, CA</t>
  </si>
  <si>
    <t>[Beers, J. M.] Stanford Univ, Stanford, CA 94305 USA</t>
  </si>
  <si>
    <t>Stanford University</t>
  </si>
  <si>
    <t>jbeers@stanford.edu</t>
  </si>
  <si>
    <t>1540-7063</t>
  </si>
  <si>
    <t>INTEGR COMP BIOL</t>
  </si>
  <si>
    <t>Integr. Comp. Biol.</t>
  </si>
  <si>
    <t>E13</t>
  </si>
  <si>
    <t>117ZG</t>
  </si>
  <si>
    <t>WOS:000316991400050</t>
  </si>
  <si>
    <t>Crossin, GT; Phillips, RA; Lattin, CR; Romero, LM; Williams, TD</t>
  </si>
  <si>
    <t>Crossin, G. T.; Phillips, R. A.; Lattin, C. R.; Romero, L. M.; Williams, T. D.</t>
  </si>
  <si>
    <t>Corticosterone mediated costs of reproduction facilitate a tradeoff between current and future reproduction.</t>
  </si>
  <si>
    <t>Dalhousie Univ, Halifax, NS B3H 3J5, Canada; British Antarctic Survey, Cambridge, England; Tufts Univ, Medford, MA USA; Simon Fraser Univ, Burnaby, BC V5A 1S6, Canada</t>
  </si>
  <si>
    <t>Dalhousie University; UK Research &amp; Innovation (UKRI); Natural Environment Research Council (NERC); NERC British Antarctic Survey; Tufts University; Simon Fraser University</t>
  </si>
  <si>
    <t>gtc@dal.ca</t>
  </si>
  <si>
    <t>Lattin, Christine R/E-5662-2013</t>
  </si>
  <si>
    <t>Natural Environment Research Council [bas0100025] Funding Source: researchfish</t>
  </si>
  <si>
    <t>Natural Environment Research Council(UK Research &amp; Innovation (UKRI)Natural Environment Research Council (NERC))</t>
  </si>
  <si>
    <t>E44</t>
  </si>
  <si>
    <t>WOS:000316991400177</t>
  </si>
  <si>
    <t>Dilly, GF; Hofmann, G</t>
  </si>
  <si>
    <t>Dilly, G. F.; Hofmann, G.</t>
  </si>
  <si>
    <t>The Transcriptome of Antarctic Sea Urchin (Sterechinus neumayeri) Larvae</t>
  </si>
  <si>
    <t>[Dilly, G. F.; Hofmann, G.] Univ Calif Santa Barbara, Santa Barbara, CA 93106 USA</t>
  </si>
  <si>
    <t>University of California System; University of California Santa Barbara</t>
  </si>
  <si>
    <t>geoff.dilly@lifesci.ucsb.edu</t>
  </si>
  <si>
    <t>E277</t>
  </si>
  <si>
    <t>WOS:000316991402167</t>
  </si>
  <si>
    <t>Dullen, KR; Orczewska, JI; Ortego, M; O'Brien, KM</t>
  </si>
  <si>
    <t>Dullen, K. R.; Orczewska, J., I; Ortego, M.; O'Brien, K. M.</t>
  </si>
  <si>
    <t>Creatine kinase isoforms differ between hearts of red- and white-blooded Antarctic fishes</t>
  </si>
  <si>
    <t>[Dullen, K. R.; Orczewska, J., I; Ortego, M.; O'Brien, K. M.] Univ Alaska Fairbanks, Fairbanks, AK 99775 USA</t>
  </si>
  <si>
    <t>krdullen2@alaska.edu</t>
  </si>
  <si>
    <t>E278</t>
  </si>
  <si>
    <t>WOS:000316991402172</t>
  </si>
  <si>
    <t>Egginton, S</t>
  </si>
  <si>
    <t>Egginton, S.</t>
  </si>
  <si>
    <t>Control of branchial artery tone in Antarctic fish</t>
  </si>
  <si>
    <t>[Egginton, S.] Univ Birmingham, Birmingham B15 2TT, W Midlands, England</t>
  </si>
  <si>
    <t>University of Birmingham</t>
  </si>
  <si>
    <t>s.egginton@bham.ac.uk</t>
  </si>
  <si>
    <t>E62</t>
  </si>
  <si>
    <t>WOS:000316991400246</t>
  </si>
  <si>
    <t>Mcclintock, JB; White, BA; Amsler, CD; Mah, CL; Amsler, MO; White, S; Quetin, LB; Ross, RM</t>
  </si>
  <si>
    <t>Mcclintock, J. B.; White, B. A.; Amsler, C. D.; Mah, C. L.; Amsler, M. O.; White, S.; Quetin, L. B.; Ross, R. M.</t>
  </si>
  <si>
    <t>Abundance and distribution of echninoderms in nearshore hard-bottom habitats near Anvers Island, Antarctic Peninsula</t>
  </si>
  <si>
    <t>Univ Alabama Birmingham, Birmingham, AL USA; Natl Museum Nat Hist, Washington, DC USA; Univ Calif Santa Barbara, Santa Barbara, CA 93106 USA</t>
  </si>
  <si>
    <t>University of Alabama System; University of Alabama Birmingham; Smithsonian Institution; Smithsonian National Museum of Natural History; University of California System; University of California Santa Barbara</t>
  </si>
  <si>
    <t>mcclinto@uab.edu</t>
  </si>
  <si>
    <t>E329</t>
  </si>
  <si>
    <t>WOS:000316991402375</t>
  </si>
  <si>
    <t>Moerland, TS; Whittington, AC</t>
  </si>
  <si>
    <t>Moerland, T. S.; Whittington, A. C.</t>
  </si>
  <si>
    <t>Time Travel in the Lab: Exploring Thermal Compensation in Antarctic Fish Parvalbumins</t>
  </si>
  <si>
    <t>Kent State Univ, Kent, OH USA; Florida State Univ, Tallahassee, FL 32306 USA</t>
  </si>
  <si>
    <t>University System of Ohio; Kent State University; Kent State University Kent; Kent State University Salem; State University System of Florida; Florida State University</t>
  </si>
  <si>
    <t>tmoerlan@kent.edu</t>
  </si>
  <si>
    <t>E148</t>
  </si>
  <si>
    <t>WOS:000316991401125</t>
  </si>
  <si>
    <t>Schram, JB; Schoenrock, KM; Mcclintock, JB; Amsler, CD; Amsler, MO; Angus, RA</t>
  </si>
  <si>
    <t>Schram, J. B.; Schoenrock, K. M.; Mcclintock, J. B.; Amsler, C. D.; Amsler, M. O.; Angus, R. A.</t>
  </si>
  <si>
    <t>Sub-lethal impacts of ocean acidification and elevated temperature on two molluscs from the western Antarctic Peninsula</t>
  </si>
  <si>
    <t>[Schram, J. B.; Schoenrock, K. M.; Mcclintock, J. B.; Amsler, C. D.; Amsler, M. O.; Angus, R. A.] Univ Alabama Birmingham, Birmingham, AL USA</t>
  </si>
  <si>
    <t>jbschram@uab.edu</t>
  </si>
  <si>
    <t>E367</t>
  </si>
  <si>
    <t>WOS:000316991402525</t>
  </si>
  <si>
    <t>Sunday, JM; Bates, AE; Dulvy, NK</t>
  </si>
  <si>
    <t>Sunday, J. M.; Bates, A. E.; Dulvy, N. K.</t>
  </si>
  <si>
    <t>Global patterns of thermal tolerance and range limits predict climate change responses in ectotherms</t>
  </si>
  <si>
    <t>Simon Fraser Univ, Dept Biol Sci, Burnaby, BC V5A 1S6, Canada; Univ Tasmania, Inst Marine &amp; Antarctic Studies, Hobart, Tas 7001, Australia</t>
  </si>
  <si>
    <t>Simon Fraser University; University of Tasmania</t>
  </si>
  <si>
    <t>sunday@sfu.ca</t>
  </si>
  <si>
    <t>Bates, Amanda E./ABD-6874-2021; Sunday, Jennifer/ABE-7396-2020; Dulvy, Nicholas/I-2895-2012</t>
  </si>
  <si>
    <t>Bates, Amanda E./0000-0002-0198-4537; Dulvy, Nicholas/0000-0002-4295-9725</t>
  </si>
  <si>
    <t>E210</t>
  </si>
  <si>
    <t>WOS:000316991401375</t>
  </si>
  <si>
    <t>Janosik, AM; Halanych, KM</t>
  </si>
  <si>
    <t>Janosik, Alexis M.; Halanych, Kenneth M.</t>
  </si>
  <si>
    <t>Seeing stars: a molecular and morphological investigation into the evolutionary history of Odontasteridae (Asteroidea) with description of a new species from the Galapagos Islands</t>
  </si>
  <si>
    <t>ANTARCTIC POLAR FRONT; SOUTHERN-OCEAN; SHALLOW-WATER; ORIGIN; BIODIVERSITY; PHYLOGENY; BARRIERS</t>
  </si>
  <si>
    <t>Odontasteridae (Asteroidea: Echinodermata) (Verrill in Am J Sci, 1899) is placed within Valvatida, a derived assemblage of sea stars. Odontasterids are found in the Southern, Atlantic, and Pacific Oceans and are concentrated in high southern latitudes. To date, the phylogenetic and evolutionary history of Odontasteridae as a whole has not been rigorously examined. We conducted molecular and morphological phylogenetic analyses of Odontasteridae to assess the interrelationships among and within recognized genera. We used mitochondrial 16S and cytochrome c oxidase subunit I molecular markers and 29 external morphological characters in an attempt to reconstruct the evolutionary history of the group. Generally, our results indicate that traditionally used external skeletal characters are not representative of phylogenetic history of Odontasteridae. We can conclude that species present in high latitudes in the Southern Hemisphere (i.e., Southern Ocean) are the most derived taxa. Additionally, mtDNA data suggest unrecognized lineages of odontasterids are present in high southern latitudes. A new species Odontaster cynthiae sp. nov. is described from the Galapagos Islands.</t>
  </si>
  <si>
    <t>[Janosik, Alexis M.; Halanych, Kenneth M.] Auburn Univ, Dept Biol Sci, Auburn, AL 36849 USA; [Janosik, Alexis M.] Univ W Florida, Dept Biol Sci, Pensacola, FL 32514 USA</t>
  </si>
  <si>
    <t>Auburn University System; Auburn University; State University System of Florida; University of West Florida</t>
  </si>
  <si>
    <t>Janosik, AM (corresponding author), Univ W Florida, Dept Biol Sci, Bldg 58,11000 Univ Pkwy, Pensacola, FL 32514 USA.</t>
  </si>
  <si>
    <t>ajanosik@uwf.edu</t>
  </si>
  <si>
    <t>Halanych, Kenneth/A-9480-2009</t>
  </si>
  <si>
    <t>Halanych, Kenneth/0000-0002-8658-9674</t>
  </si>
  <si>
    <t>National Science Foundation [OPP-9910164, OPP-0338087, OPP-0338218, ANT-1043745]; EPSCoR; Office Of The Director [1158862] Funding Source: National Science Foundation</t>
  </si>
  <si>
    <t>National Science Foundation(National Science Foundation (NSF)); EPSCoR; Office Of The Director(National Science Foundation (NSF)NSF - Office of the Director (OD)NSF - Office of Integrative Activities (OIA))</t>
  </si>
  <si>
    <t>Dr. Christopher Mah from the Smithsonian Institution National Museum of Natural History kindly helped AMJ while visiting to study the Odontasteridae collection. Special thanks go to Cynthia Ahearn from the USNM for lending and coordinating specimens used in this study. Loans were also provided by the California Academy of Sciences and the National Institute of Water and Atmospheric Research for loan of specimens. We are grateful for the help and logistical support by the crew and participants of the 2004 and 2006 Antarctic cruise aboard the R/V Laurence M. Gould. This project was supported by National Science Foundation grants (OPP-9910164, OPP-0338087, and OPP-0338218, ANT-1043745) to K. M Halanych and R. S. Scheltema. This is AU Marine Biology Program contribution #95 and Molette Lab contribution #9.</t>
  </si>
  <si>
    <t>10.1007/s00227-012-2136-x</t>
  </si>
  <si>
    <t>113OZ</t>
  </si>
  <si>
    <t>WOS:000316678700008</t>
  </si>
  <si>
    <t>Giraldo, C; Mayzaud, P; Tavernier, E; Irisson, JO; Penot, F; Becciu, J; Chartier, A; Boutoute, M; Koubbi, P</t>
  </si>
  <si>
    <t>Giraldo, Carolina; Mayzaud, Patrick; Tavernier, Eric; Irisson, Jean-Olivier; Penot, Florian; Becciu, Jonathan; Chartier, Amelie; Boutoute, Marc; Koubbi, Philippe</t>
  </si>
  <si>
    <t>Lipid components as a measure of nutritional condition in fish larvae (Pleuragramma antarcticum) in East Antarctica</t>
  </si>
  <si>
    <t>DUMONT DURVILLE SEA; EARLY-LIFE STAGES; SPATIAL-DISTRIBUTION; ENGRAULIS-MORDAX; FEEDING ECOLOGY; DEVELOPING EGGS; ANCHOVY LARVAE; GROWTH; STARVATION; SILVERFISH</t>
  </si>
  <si>
    <t>Pleuragramma antarcticum is a key component of the neritic assemblages in the Antarctic coastal waters. Larvae of this species were sampled from 2008 to 2011 in the Dumont d'Urville Sea (East Antarctica). The lipid class composition [triacylglycerols (TAG), cholesterol (Chol) and polar lipids (PL)] of larvae was measured to assess the larval condition. The total amount of lipids was linearly related to the quantity of structural polar lipids, suggesting that growth is favored over lipid storage. The TAG:Chol ratio showed interannual variability in the condition of fish larvae, probably related to prey availability. Nevertheless, the essential fatty acids composition of polar lipids illustrates that larvae with low levels of TAG:Chol could be either growing or under starvation. Only the combination of a low TAG:Chol ratio and low polar lipids content, which can also be mobilized during starvation periods, allowed identification of larvae in poor condition. This lipid condition index should be of great assistance to evaluate the probability of survival of P. antarcticum larvae in long-term monitoring. It has widespread applicability and should also be useful in the diagnosis of nutritional condition in other species.</t>
  </si>
  <si>
    <t>[Giraldo, Carolina; Mayzaud, Patrick; Irisson, Jean-Olivier; Penot, Florian; Becciu, Jonathan; Chartier, Amelie; Koubbi, Philippe] UPMC Univ Paris 06, Lab Oceanog Villefranche, UMR 7093, F-06234 Villefranche Sur Mer, France; [Giraldo, Carolina; Mayzaud, Patrick; Irisson, Jean-Olivier; Penot, Florian; Becciu, Jonathan; Boutoute, Marc; Koubbi, Philippe] LOV, UMR 7093, CNRS, F-06234 Villefranche Sur Mer, France; [Tavernier, Eric] Univ Lille Nord France, F-59000 Lille, France; [Tavernier, Eric] LOG, ULCO, F-62930 Wimereux, France</t>
  </si>
  <si>
    <t>Sorbonne Universite; Centre National de la Recherche Scientifique (CNRS); CNRS - National Institute for Earth Sciences &amp; Astronomy (INSU); Centre National de la Recherche Scientifique (CNRS); CNRS - National Institute for Earth Sciences &amp; Astronomy (INSU); Sorbonne Universite; Universite de Lille; Universite du Littoral-Cote-d'Opale</t>
  </si>
  <si>
    <t>Koubbi, P (corresponding author), LOV, UMR 7093, CNRS, BP 28, F-06234 Villefranche Sur Mer, France.</t>
  </si>
  <si>
    <t>koubbi@obs-vlfr.fr</t>
  </si>
  <si>
    <t>Irisson, Jean-Olivier/B-3909-2010; Koubbi, Philippe/D-5873-2015</t>
  </si>
  <si>
    <t>Giraldo, Carolina/0000-0003-0278-522X</t>
  </si>
  <si>
    <t>French Polar Institute, IPEV (Institut Paul Emile Victor); ANR Glides; ANR Antflocks</t>
  </si>
  <si>
    <t>French Polar Institute, IPEV (Institut Paul Emile Victor); ANR Glides(Agence Nationale de la Recherche (ANR)); ANR Antflocks(Agence Nationale de la Recherche (ANR))</t>
  </si>
  <si>
    <t>The Umitaka Maru and l'Astrolabe cruises were part of the Collaborative East Antarctic Marine Census (CEAMARC), which was a contribution to the Census of Antarctic Marine Life (CAML). This study was part of the ICO2TA French project (Integrated costal Ocean Observations in Terre Adelie) supported by the French Polar Institute, IPEV (Institut Paul Emile Victor) with the aim of collecting information on the composition of Antarctic communities on the Antarctic continental shelf. The authors thank the crew, captains and cruise leaders from the l'Astrolabe and Umitaka Maru who helped collect samples. The work was supported financially and logistically by the ANR Glides and ANR Antflocks.</t>
  </si>
  <si>
    <t>10.1007/s00227-012-2141-0</t>
  </si>
  <si>
    <t>WOS:000316678700012</t>
  </si>
  <si>
    <t>Chaigne, A; Authier, M; Richard, P; Cherel, Y; Guinet, C</t>
  </si>
  <si>
    <t>Chaigne, Adrien; Authier, Matthieu; Richard, Pierre; Cherel, Yves; Guinet, Christophe</t>
  </si>
  <si>
    <t>Shift in foraging grounds and diet broadening during ontogeny in southern elephant seals from Kerguelen Islands</t>
  </si>
  <si>
    <t>MIROUNGA-LEONINA; STABLE-ISOTOPES; JUVENILE SOUTHERN; MACQUARIE ISLAND; OCEANOGRAPHIC CONDITIONS; INFORMATION CRITERIA; TROPHIC ECOLOGY; ILES-KERGUELEN; CLIMATE-CHANGE; OCEAN</t>
  </si>
  <si>
    <t>Highly dimorphic species like southern elephant seals (Mirounga leonina, SES hereafter) frequently exhibit resource partitioning according to sex and/or age classes. We measured carbon and nitrogen stable isotopes (delta C-13 and delta N-15) of 404 blood samples (136 males and 268 females from Kerguelen Islands, 49A degrees 21'S, 70A degrees 18'E) from 2004 to 2011. Assuming that the distribution of carbon isotopes (delta C-13 value) reflects the two main foraging grounds (Polar Frontal and Antarctic Zones), we quantified the proportion of SES foraging within each zone in relation with size, a proxy for their age. We found a clear shift from Polar Frontal to Antarctic waters as male SES aged, but no relation as far as females is concerned. We also observed a widening range of nitrogen isotopic (delta N-15) values, suggesting that both males and females expanded their diet spectra with age. Whereas males increased their trophic level, females remained constant on average, with some adult females feeding both at lower and at higher trophic levels than juveniles.</t>
  </si>
  <si>
    <t>[Chaigne, Adrien; Authier, Matthieu; Cherel, Yves; Guinet, Christophe] CNRS UPR 1934, Ctr Etud Biol Chize, F-79360 Villiers En Bois, France; [Richard, Pierre] Univ la Rochelle, CNRS, UMR 6250, La Rochelle, France</t>
  </si>
  <si>
    <t>Centre National de la Recherche Scientifique (CNRS); La Rochelle Universite; Centre National de la Recherche Scientifique (CNRS)</t>
  </si>
  <si>
    <t>Chaigne, A (corresponding author), CNRS UPR 1934, Ctr Etud Biol Chize, F-79360 Villiers En Bois, France.</t>
  </si>
  <si>
    <t>chaigne.adrien@gmail.com</t>
  </si>
  <si>
    <t>Guinet, Christophe/AAR-8457-2020; Richard, Pierre/N-6482-2014</t>
  </si>
  <si>
    <t>Authier, Matthieu/0000-0001-7394-1993; Richard, Pierre/0000-0002-0393-9967</t>
  </si>
  <si>
    <t>French Polar Institute (Institut Paul Emile Victor, IPEV) [109]</t>
  </si>
  <si>
    <t>French Polar Institute (Institut Paul Emile Victor, IPEV)</t>
  </si>
  <si>
    <t>The authors thank all fieldworkers that helped collecting data since 2004, particularly Guillaume Bessigneul, Alexis Chevallier, Pierrick Giraudet and Nory El-Ksabi for their precious help and advice during the 2010 field work. The authors also thank Gael Guillou for stable isotope analyses in France. This study is part of a national research program (no. 109, H. Weimerskirch and the observatory Mammiferes Explorateurs du Milieu Oceanique, MEMO SOERE CTD 02) supported by the French Polar Institute (Institut Paul Emile Victor, IPEV). The Territoire des Terres Australes et Antarctiques Francaises (TAAF) and ANR-VMC 07 IPSOS-SEAL program also contributed to this study. The ethics committee of the French Polar Institute (IPEV) approved the fields work. All animals in this study were cared for in accordance with its guidelines.</t>
  </si>
  <si>
    <t>10.1007/s00227-012-2149-5</t>
  </si>
  <si>
    <t>WOS:000316678700019</t>
  </si>
  <si>
    <t>Ackert, RP; Putnam, AE; Mukhopadhyay, S; Pollard, D; DeConto, RM; Kurz, MD; Borns, HW</t>
  </si>
  <si>
    <t>Ackert, Robert P., Jr.; Putnam, Aaron E.; Mukhopadhyay, Sujoy; Pollard, David; DeConto, Robert M.; Kurz, Mark D.; Borns, Harold W., Jr.</t>
  </si>
  <si>
    <t>Controls on interior West Antarctic Ice Sheet Elevations: inferences from geologic constraints and ice sheet modeling</t>
  </si>
  <si>
    <t>WAIS; He-3; Cl-36; 40Ar/39Ar; Exposure dating; Ice sheet model; Mt. Waesche; Ohio Range</t>
  </si>
  <si>
    <t>BE-10 PRODUCTION-RATE; MARIE-BYRD-LAND; COSMOGENIC CL-36; EXPOSURE AGES; EAST ANTARCTICA; SEA EMBAYMENT; SIRIUS GROUP; HISTORY; RANGE; HE-3</t>
  </si>
  <si>
    <t>Knowledge of the West Antarctic Ice Sheet (WAIS) response to past sea level and climate forcing is necessary to predict its response to warmer temperatures in the future. The timing and extent of past interior WAIS elevation changes provides insight to WAIS behavior and constraints for ice sheet models. Constraints prior to the Last Glacial Maximum (LGM) however, are rare. Surface exposure ages of glacial erratics near the WAIS divide at Mt. Waesche in Marie Byrd Land, and at the Ohio Range in the Trans-antarctic Mountains, range from similar to 10 ka to &gt;500 ka without a dependence on elevation. The probability distribution functions (PDF) of the exposure ages at both locations, are remarkably similar. During the last glaciation, maximum interior ice elevations as recorded by moraines and erratics were reached between 10 ka and 12 ka. However, most exposure ages are older than the LGM and cluster around similar to 40 ka and similar to 80 ka. The peak in the exposure age distributions at similar to 40 ka includes ages of alpine moraine boulders at Mercer Ridge in the Ohio Range. Comparison of the PDF of exposures ages from the Ohio Range and Mt. Waesche with the temperature record from the Fuji Dome ice core indicates that the youngest peak in the exposure age distributions corresponds to the abrupt warming during the Last Glacial termination. A prominent peak in the Ohio Range PDF corresponds to the penultimate termination (stage 5e). During the intervening glacial period, there is not a consistent relationship between the peaks in the PDF at each location and temperature. A combined ice sheet/ice shelf model with forcing scaled to marine delta O-18 predicts that interior WAIS elevations near the ice divide have varied similar to 300 m over the Last Glacial cycle. Peaks in the PDF correspond to model highstands over the last 200 ka. In the simulated elevation history, maximum ice elevations at Ohio Range (+100 m) and Mt. Waesche (+60 in) occur at similar to 10 ka, in agreement with observations from these sites. During collapse of the marine portion of the WAIS, ice elevations at Ohio Range and Mt. Waesche are drawn down at least 200 m below the present ice elevation. The good correspondence between the model results and observations at both the Ohio Range and Mt. Waesche supports the conclusion that interior WAIS highstands do not occur during glacial maximums. Rather, the highstands are controlled primarily by increased accumulation during temperature maximums that occur early in the interglacials. Interior down-draw events follow highstands, resulting from the arrival of a wave of thinning triggered by retreat of the WAIS grounding line coupled with decreasing accumulation rates. (c) 2013 Elsevier Ltd. All rights reserved.</t>
  </si>
  <si>
    <t>[Ackert, Robert P., Jr.; Mukhopadhyay, Sujoy] Harvard Univ, Dept Earth &amp; Planetary Sci, Cambridge, MA 02138 USA; [Putnam, Aaron E.] Lamont Doherty Earth Observ, Palisades, NY 10904 USA; [Pollard, David] Penn State Univ, Earth &amp; Environm Syst Inst, University Pk, PA 16802 USA; [DeConto, Robert M.] Univ Massachusetts, Dept Geosci, Amherst, MA 01003 USA; [Kurz, Mark D.] Woods Hole Oceanog Inst, Dept Marine Chem &amp; Geochem, Woods Hole, MA 02543 USA; [Putnam, Aaron E.; Borns, Harold W., Jr.] Univ Maine, Climate Change Inst, Orono, ME 04469 USA</t>
  </si>
  <si>
    <t>Harvard University; Columbia University; Pennsylvania Commonwealth System of Higher Education (PCSHE); Pennsylvania State University; Pennsylvania State University - University Park; University of Massachusetts System; University of Massachusetts Amherst; Woods Hole Oceanographic Institution; University of Maine System; University of Maine Orono</t>
  </si>
  <si>
    <t>Ackert, RP (corresponding author), Harvard Univ, Dept Earth &amp; Planetary Sci, 20 Oxford St, Cambridge, MA 02138 USA.</t>
  </si>
  <si>
    <t>rackert@fas.harvard.edu</t>
  </si>
  <si>
    <t>Putnam, Aaron/0000-0002-5358-1473; Kurz, Mark/0000-0003-1745-2356</t>
  </si>
  <si>
    <t>Gary Corner Science and Education Foundation; OPP grant [0338271, 0338189]; [OPP-0087709]</t>
  </si>
  <si>
    <t>Gary Corner Science and Education Foundation; OPP grant;</t>
  </si>
  <si>
    <t>The authors acknowledge logistical support from Raytheon Polar Services, Air National Guard, and Kenn Borek Air. We specially acknowledge the help and support from Peter Braddock during fieldwork in the Ohio Range. The authors also acknowledge John Stone for the use of his cosmogenic isotope laboratory and Brad Singer for making the argon isotope measurements. AP thanks the Gary Corner Science and Education Foundation for support. This project was funded by OPP-0087709 to MM and RA and OPP grant 0338271 to SM and 0338189 to HB.</t>
  </si>
  <si>
    <t>10.1016/j.quascirev.2012.12.017</t>
  </si>
  <si>
    <t>111OW</t>
  </si>
  <si>
    <t>WOS:000316531600003</t>
  </si>
  <si>
    <t>Quesada, A; Camacho, A; Lyons, WB</t>
  </si>
  <si>
    <t>Quesada, Antonio; Camacho, Antonio; Lyons, W. Berry</t>
  </si>
  <si>
    <t>Multidisciplinary research on Byers Peninsula, Livingston Island: a future benchmark for change in Maritime Antarctica</t>
  </si>
  <si>
    <t>SOUTH SHETLAND ISLANDS; FRESH-WATER ECOSYSTEMS; COMMUNITY; LAKES</t>
  </si>
  <si>
    <t>[Quesada, Antonio] Univ Autonoma Madrid, Dept Biol, E-28049 Madrid, Spain; [Camacho, Antonio] Univ Valencia, Inst Cavanilles Biodiversidad &amp; Biol Evolut, E-46100 Burjassot, Spain; [Camacho, Antonio] Univ Valencia, Dept Microbiol &amp; Ecol, E-46100 Burjassot, Spain; [Lyons, W. Berry] Ohio State Univ, Sch Earth Sci, Columbus, OH 43210 USA; [Lyons, W. Berry] Ohio State Univ, Byrd Polar Res Ctr, Columbus, OH 43210 USA</t>
  </si>
  <si>
    <t>Autonomous University of Madrid; University of Valencia; University of Valencia; University System of Ohio; Ohio State University; University System of Ohio; Ohio State University</t>
  </si>
  <si>
    <t>Quesada, A (corresponding author), Univ Autonoma Madrid, Dept Biol, E-28049 Madrid, Spain.</t>
  </si>
  <si>
    <t>antonio.quesada@uam.es</t>
  </si>
  <si>
    <t>Camacho, Antonio/I-3417-2015; Quesada, Antonio/L-2430-2013</t>
  </si>
  <si>
    <t>Camacho, Antonio/0000-0003-0841-2010; Quesada, Antonio/0000-0002-8913-5993</t>
  </si>
  <si>
    <t>Spanish Government [POL2006-06635, CGL2005-06549-01/02, CTM2011-12973-E]</t>
  </si>
  <si>
    <t>Spanish Government(Spanish Government)</t>
  </si>
  <si>
    <t>Most of the articles published in this issue have been funded by the project POL2006-06635, which covered the logistic expenses, and projects CGL2005-06549-01/02, both from the Spanish Government. The publication of this Special Issue has been funded by the project CTM2011-12973-E from the Spanish Government.</t>
  </si>
  <si>
    <t>10.1017/S0954102013000023</t>
  </si>
  <si>
    <t>110XC</t>
  </si>
  <si>
    <t>WOS:000316479700001</t>
  </si>
  <si>
    <t>Bañón, M; Justel, A; Velázquez, D; Quesada, A</t>
  </si>
  <si>
    <t>Banon, Manuel; Justel, Ana; Velazquez, David; Quesada, Antonio</t>
  </si>
  <si>
    <t>Regional weather survey on Byers Peninsula, Livingston Island, South Shetland Islands, Antarctica</t>
  </si>
  <si>
    <t>climatology; global change; LIMNOPOLAR; meteorology</t>
  </si>
  <si>
    <t>In 2001 the LIMNOPOLAR Project was launched with the aim of addressing the suitability of freshwater ecosystems as useful sentinels of climate change. In this project, an automatic weather station was deployed on Byers Peninsula (Livingston Island, South Shetland Islands) near several freshwater ecosystems under research. Here the multi-year data recorded are presented and compared with meteorological time series from the observatories at the Spanish Juan Carlos I Station, Deception Island and Bellingshausen Station. Lake freezing and thawing periods and snow cover are also investigated. The main results indicate that Byers Peninsula is affected by the very cloudy and wet Antarctic maritime climate. Mean annual temperature is -2.8 degrees C and summer mean temperatures are above freezing. The region shows moderate winds over the year and with moderate, mostly liquid precipitation during the summer. There is a significant linear relationship with meteorological records obtained from Juan Carlos I Station located on the east of Livingston Island. Correlations between meteorological data from both sites are high but with colder and much windier conditions on Byers Peninsula. Therefore, the usefulness and accuracy of meteorological records in the interpretation of ecosystem dynamics are presented.</t>
  </si>
  <si>
    <t>[Justel, Ana] Univ Autonoma Madrid, Dept Matemat, E-28049 Madrid, Spain; [Velazquez, David; Quesada, Antonio] Univ Autonoma Madrid, Dept Biol, E-28049 Madrid, Spain</t>
  </si>
  <si>
    <t>Autonomous University of Madrid; Autonomous University of Madrid</t>
  </si>
  <si>
    <t>mbanong@aemet.es</t>
  </si>
  <si>
    <t>Justel, Ana/A-3955-2010; Quesada, Antonio/L-2430-2013; Velazquez, David/M-2309-2017</t>
  </si>
  <si>
    <t>Justel, Ana/0000-0003-3335-0579; Quesada, Antonio/0000-0002-8913-5993; Velazquez, David/0000-0002-4127-8370</t>
  </si>
  <si>
    <t>Ministerio de Ciencia e Innovacion (Spanish Ministry of Science and Innovation) [REN2000-0435, CGL2005-06549, POL2006-06635]; Spanish Ministry of Science and Innovation [CTM2011-12973-E]</t>
  </si>
  <si>
    <t>Ministerio de Ciencia e Innovacion (Spanish Ministry of Science and Innovation)(Spanish Government); Spanish Ministry of Science and Innovation(Spanish Government)</t>
  </si>
  <si>
    <t>This work was funded by the Ministerio de Ciencia e Innovacion (Spanish Ministry of Science and Innovation) through grants REN2000-0435, CGL2005-06549 and POL2006-06635. We are extremely grateful to all the members of the LIMNOPOLAR team who helped with the deployment and maintenance of the AWS. The Agencia Estatal de Meteorologia (Spanish National Meteorological Agency) provided invaluable assistance in the skilful maintenance of the station and kindly provided detailed data from BAEJCI. This project could not have been done without the generous help provided by the Unidad Tecnica Marina (Technical Marine Unit) and the Spanish Navy crew of Las Palmas. This paper was published with the financial support of the Spanish Ministry of Science and Innovation, grant number CTM2011-12973-E. The constructive comments of the reviewers are also gratefully acknowledged.</t>
  </si>
  <si>
    <t>10.1017/S0954102012001046</t>
  </si>
  <si>
    <t>WOS:000316479700003</t>
  </si>
  <si>
    <t>Fassnacht, SR; López-Moreno, JI; Toro, M; Hultstrand, DM</t>
  </si>
  <si>
    <t>Fassnacht, S. R.; Lopez-Moreno, J. I.; Toro, M.; Hultstrand, D. M.</t>
  </si>
  <si>
    <t>Mapping snow cover and snow depth across the Lake Limnopolar watershed on Byers Peninsula, Livingston Island, Maritime Antarctica</t>
  </si>
  <si>
    <t>binary regression trees; density; South Shetland Islands; topographic drivers</t>
  </si>
  <si>
    <t>DRONNING MAUD LAND; ENERGY-BALANCE; ACCUMULATION; VARIABILITY; MODEL</t>
  </si>
  <si>
    <t>Few parts of Antarctica are not permanently covered in ice. The retreat of the ice sheet from Byers Peninsula on western Livingston Island, Maritime Antarctica, has provided a new area of seasonal snow cover. Snow surveys were conducted in late November 2008 at the time of peak accumulation across the 1 km(2) Lake Limnopolar watershed. Topographic variables were derived from a digital elevation model to determine the variables controlling the presence or absence of snow and the distribution of snow depth. Classification with binary regression trees showed that wind related variables dominated the presence and depth of snow. The product of the sine of aspect and the sine of slope was the first variable in both regression trees. Density profiles were also measured and illustrated a relatively homogeneous snowpack over space at peak snow accumulation.</t>
  </si>
  <si>
    <t>[Fassnacht, S. R.; Hultstrand, D. M.] Colorado State Univ, ESS Watershed Sci, Ft Collins, CO 80523 USA; [Lopez-Moreno, J. I.] CSIC, Inst Pirena Ecol, Zaragoza, Spain; [Toro, M.] Ctr Estudios Hidrog CEDEX, Area Medio Ambiente Hidr, Madrid, Spain</t>
  </si>
  <si>
    <t>Colorado State University; Consejo Superior de Investigaciones Cientificas (CSIC); CSIC - Instituto Pirenaico de Ecologia (IPE)</t>
  </si>
  <si>
    <t>Fassnacht, SR (corresponding author), Colorado State Univ, ESS Watershed Sci, Ft Collins, CO 80523 USA.</t>
  </si>
  <si>
    <t>Steven.Fassnacht@colostate.edu</t>
  </si>
  <si>
    <t>Fassnacht, Steven/A-7742-2014; Lopez-Moreno, Ignacio/K-2114-2014</t>
  </si>
  <si>
    <t>Fassnacht, Steven/0000-0002-5270-8049; Lopez-Moreno, Ignacio/0000-0002-7270-9313; Toro Velasco, Manuel/0000-0002-4860-7229</t>
  </si>
  <si>
    <t>Education and Culture Ministry (Spain) [POL2006-06635/CGL]</t>
  </si>
  <si>
    <t>Education and Culture Ministry (Spain)</t>
  </si>
  <si>
    <t>Travel to and accommodation in South America was provided by the International Programs at Colorado State University. Travel to Antarctica and logistical support for fieldwork was provided by the Spanish Polar Programme, grant POL2006-06635/CGL from the Education and Culture Ministry (Spain), and from the Las Palmas crew (Spanish Navy). Carlos Calvo of the UTM (Maritime Technology Unit, CSIC) and Brendan Keely of the University of York assisted with data collection. Adam Winstral of the Agricultural Research Service in Boise ID provided the code to compute the maximum upwind slope. We would also like to thank two anonymous reviewers for their important insight and their assistance in improving this paper. Thanks are due to Javier Zabalza of the Instituto Pirenaico de Ecologia for his assistance with the GIS work.</t>
  </si>
  <si>
    <t>10.1017/S0954102012001216</t>
  </si>
  <si>
    <t>WOS:000316479700004</t>
  </si>
  <si>
    <t>Emslie, SD; Polito, MJ; Patterson, WP</t>
  </si>
  <si>
    <t>Emslie, Steven D.; Polito, Michael J.; Patterson, William P.</t>
  </si>
  <si>
    <t>Stable isotope analysis of ancient and modern gentoo penguin egg membrane and the krill surplus hypothesis in Antarctica</t>
  </si>
  <si>
    <t>abandoned colonies; delta C-13; delta N-15; dietary shifts; Pygoscelis papua; Suess effect</t>
  </si>
  <si>
    <t>KING-GEORGE-ISLAND; SOUTHERN-OCEAN; CHINSTRAP PENGUINS; PYGOSCELIS-PAPUA; CLIMATE-CHANGE; PENINSULA; OCCUPATION; DECLINE; WHALES; ADELIE</t>
  </si>
  <si>
    <t>The 'krill surplus' hypothesis in Antarctica posits that the historic depletion of krill-eating whales and seals in the 18-20th centuries provided a surplus of krill in the Southern Ocean that benefited penguins. A previous study which examined stable isotopes in ancient and modern tissues of Adelie penguin (Pygoscelis adeliae) provides support for this hypothesis. Specifically, a significant decrease in delta C-13 and delta N-15 values occurred in modern versus ancient tissues from an apparent dietary shift from fish to krill associated with the purported krill surplus. Here, we present new data on gentoo penguin (Pygoscelis papua) tissues from active and abandoned colonies at three locations in the Antarctic Peninsula. We found an overall, but weak, decrease in modern versus fossil delta N-15 and delta C-13 values of gentoo penguin egg membrane with considerable variation across three breeding sites. Dietary mixing models suggest that shifts between fish and krill in gentoo penguins were likely not as strong as those previously observed in Adelie penguins. This weaker signal probably results from the greater reliance on fish in their diets, past and present, though we cannot rule out declines in primary productivity or other ecosystem shifts which also could account for declines in delta C-13 and delta N-15 values.</t>
  </si>
  <si>
    <t>[Emslie, Steven D.; Polito, Michael J.] Univ N Carolina, Dept Biol &amp; Marine Biol, Wilmington, NC 28403 USA; [Patterson, William P.] Univ Saskatchewan, Dept Geol Sci, Saskatoon, SK S7N 5E2, Canada</t>
  </si>
  <si>
    <t>University of North Carolina; University of North Carolina Wilmington; University of Saskatchewan</t>
  </si>
  <si>
    <t>Emslie, SD (corresponding author), Univ N Carolina, Dept Biol &amp; Marine Biol, Wilmington, NC 28403 USA.</t>
  </si>
  <si>
    <t>emslies@uncw.edu</t>
  </si>
  <si>
    <t>Patterson, William P/J-6473-2012; , Bill/GSD-6628-2022; Polito, Michael/G-9118-2012</t>
  </si>
  <si>
    <t>NSF [ANT 0739575]; Ministerio de Ciencia e Innovacion (Spain) [CTM2011-12973-E]; Directorate For Geosciences; Office of Polar Programs (OPP) [0739575] Funding Source: National Science Foundation</t>
  </si>
  <si>
    <t>NSF(National Science Foundation (NSF)); Ministerio de Ciencia e Innovacion (Spain)(Spanish Government); Directorate For Geosciences; Office of Polar Programs (OPP)(National Science Foundation (NSF)NSF - Directorate for Geosciences (GEO))</t>
  </si>
  <si>
    <t>This research was funded by NSF Grant ANT 0739575. We thank Antonio Quesada and the Spanish Polar Program for their support of field work at Byers Peninsula and the Liguang Sun, members of CHINARE 27 at Great Wall Station, and the Chinese Institute of Polar Environment for their support of field work at Ardley Island. Raytheon Polar Services provided additional logistical support in Antarctica. We also thank Xiaodong Liu, Zhouqing Xie, and Chelsea McDougall for assistance in the field. Two anonymous reviewers provided many useful comments that helped improve this manuscript. This article was published thanks to financial support from the Ministerio de Ciencia e Innovacion (Spain) with grant CTM2011-12973-E.</t>
  </si>
  <si>
    <t>10.1017/S0954102012000740</t>
  </si>
  <si>
    <t>WOS:000316479700009</t>
  </si>
  <si>
    <t>Nakai, R; Shibuya, E; Justel, A; Rico, E; Quesada, A; Kobayashi, F; Iwasaka, Y; Shi, GY; Amano, Y; Iwatsuki, T; Naganuma, T</t>
  </si>
  <si>
    <t>Nakai, Ryosuke; Shibuya, Eri; Justel, Ana; Rico, Eugenio; Quesada, Antonio; Kobayashi, Fumihisa; Iwasaka, Yasunobu; Shi, Guang-Yu; Amano, Yuki; Iwatsuki, Teruki; Naganuma, Takeshi</t>
  </si>
  <si>
    <t>Phylogeographic analysis of filterable bacteria with special reference to Rhizobiales strains that occur in cryospheric habitats</t>
  </si>
  <si>
    <t>16S rRNA gene; Antarctica; Baas-Becking hypothesis; biodiversity; biogeography; ultramicrobacteria</t>
  </si>
  <si>
    <t>FRESH-WATER HABITATS; POLYNUCLEOBACTER-NECESSARIUS; HETEROTROPHIC BACTERIA; MICROORGANISMS; DIVERSITY; ULTRAMICROBACTERIA</t>
  </si>
  <si>
    <t>Although the lower size limit of microorganisms was previously believed to be c. 0.2 mm, there is evidence for the existence of microorganisms that can pass through 0.2 mm-pore-size filters called ultramicrobacteria or nanobacteria. However, information on the phylogeny and biogeography of these bacteria is limited. We obtained 53 isolates of 0.2 mm-passable bacteria from 31 samples collected at 26 locations worldwide, including the Arctic Svalbard Islands, deserts, and Maritime Antarctica. Phylogenetic analysis of near full-length 16S rRNA gene sequences revealed that 18 of the 53 isolates were &lt;97% homologous with previously cultured isolates, representing potentially novel species. Two isolates (order Rhizobiales) (100% identical) collected from Byers Peninsula, Livingston Island in Maritime Antarctica, were closely related (99.8% similarity) to an isolate collected from intertidal sediments in East Antarctica. In addition, the sequence of this Antarctic isolate showed &gt;= 97% similarity to 901 sequences derived from known isolates and samples collected at geographically disparate locations under various environmental conditions. Interestingly, among 13 sequences showing &gt;= 99% similarity, ten were isolated from cryospheric habitats such as Arctic, Antarctic, and alpine environments. This implies that such Rhizobiales strains occur in the cryospheric regions, however, their abundance and biomass may be scarce depending on the geographic location.</t>
  </si>
  <si>
    <t>[Nakai, Ryosuke; Shibuya, Eri; Naganuma, Takeshi] Hiroshima Univ, Grad Sch Biosphere Sci, Higashihiroshima, Hiroshima 7398528, Japan; [Nakai, Ryosuke] Japan Soc Promot Sci, Chiyoda Ku, Tokyo 1028471, Japan; [Justel, Ana] Univ Autonoma Madrid, Dept Matemat, E-28049 Madrid, Spain; [Rico, Eugenio] Univ Autonoma Madrid, Dept Ecol, E-28049 Madrid, Spain; [Quesada, Antonio] Univ Autonoma Madrid, Dept Biol, E-28049 Madrid, Spain; [Kobayashi, Fumihisa; Iwasaka, Yasunobu] Kanazawa Univ, Inst Nat &amp; Environm Technol, Kanazawa, Ishikawa 9201192, Japan; [Shi, Guang-Yu] Chinese Acad Sci, Inst Atmospher Phys, Beijing 100029, Peoples R China; [Amano, Yuki; Iwatsuki, Teruki] Japan Atom Energy Agcy, Mizunami Underground Res Lab, Mizunami, Gifu 5096132, Japan; [Amano, Yuki; Iwatsuki, Teruki] Japan Atom Energy Agcy, Horonobe Underground Res Ctr, Horonobe, Hokkaido 0983224, Japan</t>
  </si>
  <si>
    <t>Hiroshima University; Japan Society for the Promotion of Science; Autonomous University of Madrid; Autonomous University of Madrid; Autonomous University of Madrid; Kanazawa University; Chinese Academy of Sciences; Institute of Atmospheric Physics, CAS; Japan Atomic Energy Agency; Japan Atomic Energy Agency</t>
  </si>
  <si>
    <t>Naganuma, T (corresponding author), Hiroshima Univ, Grad Sch Biosphere Sci, 1-4-4 Kagamiyama, Higashihiroshima, Hiroshima 7398528, Japan.</t>
  </si>
  <si>
    <t>takn@hiroshima-u.ac.jp</t>
  </si>
  <si>
    <t>Naganuma, Takeshi/AAX-7064-2021; Justel, Ana/A-3955-2010; Nakai, Ryosuke/O-6217-2015; Rico, Eugenio/L-2429-2013; Quesada, Antonio/L-2430-2013</t>
  </si>
  <si>
    <t>Naganuma, Takeshi/0000-0003-1925-9461; Justel, Ana/0000-0003-3335-0579; Nakai, Ryosuke/0000-0002-3078-6695; Rico, Eugenio/0000-0001-6978-645X; Quesada, Antonio/0000-0002-8913-5993</t>
  </si>
  <si>
    <t>Japan Society for the Promotion of Science [18255005, 11J30005]; Institute for Fermentation, Osaka, Japan; Spanish Polar Programme, Ministerio de Ciencia e Innovacion [POL2006-06635/ANT]; Ministerio de Ciencia e Innovacion (Spain) [CTM2011-12973-E]; Grants-in-Aid for Scientific Research [11J30005, 18255005] Funding Source: KAKEN</t>
  </si>
  <si>
    <t>Japan Society for the Promotion of Science(Ministry of Education, Culture, Sports, Science and Technology, Japan (MEXT)Japan Society for the Promotion of Science); Institute for Fermentation, Osaka, Japan(Institute for Fermentation (IFO)); Spanish Polar Programme, Ministerio de Ciencia e Innovacion; Ministerio de Ciencia e Innovacion (Spain)(Spanish Government); Grants-in-Aid for Scientific Research(Ministry of Education, Culture, Sports, Science and Technology, Japan (MEXT)Japan Society for the Promotion of ScienceGrants-in-Aid for Scientific Research (KAKENHI))</t>
  </si>
  <si>
    <t>We are grateful to Drs Synnove Elvevold and Kim Holmen at the Norwegian Polar Institute and Dr Yoshihide Ohta at University of Oslo, who helped us immensely in conducting the investigation at Svalbard in the Arctic. We are grateful to the crew of the RV Toyoshio-maru, Hiroshima University, and the cruise participants for their on-board assistance. We also acknowledge the Natural Science Centre for Basic Research and Development of Hiroshima University for FE-SEM analysis. This work was supported by a Grant-in-Aid for Scientific Research (No. 18255005) and Research Fellowships for Young Scientists (No. 11J30005) from the Japan Society for the Promotion of Science and a grant from the Institute for Fermentation, Osaka, Japan. Antarctic samples were collected during the Spanish program LIMNOPOLAR International Polar Year 2007-08 campaign with the support of the Spanish Polar Programme, Ministerio de Ciencia e Innovacion (POL2006-06635/ANT). This article was published thanks to the financial support given by the Ministerio de Ciencia e Innovacion (Spain) with the grant ref. CTM2011-12973-E. The constructive comments of the reviewers are also gratefully acknowledged.</t>
  </si>
  <si>
    <t>10.1017/S0954102012000831</t>
  </si>
  <si>
    <t>WOS:000316479700010</t>
  </si>
  <si>
    <t>Rochera, C; Villaescusa, JA; Velázquez, D; Fernández-Valiente, E; Quesada, A; Camacho, A</t>
  </si>
  <si>
    <t>Rochera, Carlos; Antonio Villaescusa, Juan; Velazquez, David; Fernandez-Valiente, Eduardo; Quesada, Antonio; Camacho, Antonio</t>
  </si>
  <si>
    <t>Vertical structure of bi-layered microbial mats from Byers Peninsula, Maritime Antarctica</t>
  </si>
  <si>
    <t>benthic cyanobacteria; benthic diatoms; exopolimeric substances; nutrients stoichiometry; scytonemin</t>
  </si>
  <si>
    <t>SOUTHERN VICTORIA LAND; LIVINGSTON ISLAND; ICE SHELF; CYANOBACTERIUM; SCYTONEMIN; PIGMENT; TEMPERATURE; STRATEGIES; COMMUNITY; STREAMS</t>
  </si>
  <si>
    <t>A summer study of the vertical structure of bi-layered microbial mats was carried out on Byers Peninsula (Livingston Island, South Shetland Islands). These benthic communities had a common basic structure that consisted of two distinct layers differing in composition, morphology and colour. Our sampling focused on mats showing more layering, which thrived over moist soils and at the bottom of ponds. The photosynthetic pigments analysis performed by high-performance liquid chromatography demonstrated a major occurrence of cyanobacteria and diatoms on these mats, the former being more abundant in relative terms on the surface and composed by morphospecies grouping into orders Oscillatoriales, Nostocales and Chroococcales. The areal chlorophyll a concentrations were slightly higher in the deeper layer although not significantly. Our microscopic and chemical analyses showed that non-active biomass accumulates at the surface. Hence, the upper layers showed the sheath pigment scytonemin and higher amounts of exopolysaccharides, as a strategy to cope with environmental stress. On the other hand, the basal layer was composed of more active photosynthetic microbiota, which also revealed a more balanced stoichiometry. Here we exemplify how environmental stresses are potentially overcome by physiological mechanisms developed by microbial mats which also shape their vertical structure.</t>
  </si>
  <si>
    <t>[Rochera, Carlos; Antonio Villaescusa, Juan; Camacho, Antonio] Univ Valencia, Inst Cavanilles Biodiversidad &amp; Biol Evolut, E-46100 Burjassot, Spain; [Rochera, Carlos; Antonio Villaescusa, Juan; Camacho, Antonio] Univ Valencia, Dept Microbiol &amp; Ecol, E-46100 Burjassot, Spain; [Velazquez, David; Fernandez-Valiente, Eduardo; Quesada, Antonio] Univ Autonoma Madrid, Dept Biol, E-28049 Madrid, Spain</t>
  </si>
  <si>
    <t>University of Valencia; University of Valencia; Autonomous University of Madrid</t>
  </si>
  <si>
    <t>Rochera, C (corresponding author), Univ Valencia, Inst Cavanilles Biodiversidad &amp; Biol Evolut, Edificio Invest,Campus Burjassot, E-46100 Burjassot, Spain.</t>
  </si>
  <si>
    <t>antonio.camacho@uv.es</t>
  </si>
  <si>
    <t>Rochera, Carlos/M-2932-2014; Quesada, Antonio/L-2430-2013; Camacho, Antonio/I-3417-2015; Velazquez, David/M-2309-2017</t>
  </si>
  <si>
    <t>Rochera, Carlos/0000-0002-8294-4755; Quesada, Antonio/0000-0002-8913-5993; Camacho, Antonio/0000-0003-0841-2010; Velazquez, David/0000-0002-4127-8370</t>
  </si>
  <si>
    <t>Science and Technology Ministry (Spain) [REN2000-0435-ANT]; Spanish Ministry of Education and Science [CGL2005-06549-C02-02/ANT]; European FEDER funds</t>
  </si>
  <si>
    <t>Science and Technology Ministry (Spain)(Spanish Government); Spanish Ministry of Education and Science(Spanish Government); European FEDER funds(European Union (EU))</t>
  </si>
  <si>
    <t>Fieldwork was supported by grant REN2000-0435-ANT from the Science and Technology Ministry (Spain) to AQ. Sample processing was supported by grant CGL2005-06549-C02-02/ANT from the Spanish Ministry of Education and Science to AC, which was co-financed by European FEDER funds. We are in debt to the UTM (Maritime Technology Unit, CSIC) and the Las Palmas crew (Spanish Navy) who provided us with the logistics to make this expedition possible. We also acknowledge the constructive comments of the reviewers.</t>
  </si>
  <si>
    <t>10.1017/S0954102012000983</t>
  </si>
  <si>
    <t>WOS:000316479700014</t>
  </si>
  <si>
    <t>Rochera, C; Toro, M; Rico, E; Fernández-Valiente, E; Villaescusa, JA; Picazo, A; Quesada, A; Camacho, A</t>
  </si>
  <si>
    <t>Rochera, Carlos; Toro, Manuel; Rico, Eugenio; Fernandez-Valiente, Eduardo; Antonio Villaescusa, Juan; Picazo, Antonio; Quesada, Antonio; Camacho, Antonio</t>
  </si>
  <si>
    <t>Structure of planktonic microbial communities along a trophic gradient in lakes of Byers Peninsula, South Shetland Islands</t>
  </si>
  <si>
    <t>autotrophic picoplankton; bacterioplankton; eutrophication; Maritime Antarctic lakes; microbial food web; photosynthetic pigments</t>
  </si>
  <si>
    <t>LIVINGSTON ISLAND; WATER CHEMISTRY; PHYTOPLANKTON; DYNAMICS; ASSEMBLAGES; EFFICIENCY; BIOMASS</t>
  </si>
  <si>
    <t>A systematic limnological survey of water bodies of Byers Peninsula (Livingston Island, South Shetland Islands) was carried out during the summer of 2001/02. Abundances of microbial plankton were determined which allowed a delineation of the pelagic food web structure. We also report the nutrient status of these lakes. We demonstrate the occurrence of a trophic gradient that extended from upland lakes (oligotrophic) to the coastal ones (eutrophic). The study shows that a lake's morphology regulates the relative importance of the pelagic and benthic habitats, whereas nutrient loads mainly determine its trophic status. Yet, some of the variability observed could be also a legacy of the landscape. Photosynthetic pigments analyses by high-performance liquid chromatography of the lake waters revealed a major occurrence of chlorophytes, chrysophytes and diatoms. The chlorophyll a concentrations in lakes in the central plateau were consistently lower (&lt;2.5mg l(-1)) than coastal sites, which were one order of magnitude higher. Numbers of both bacterioplankton and autotrophic picoplankton also increased from inland to coastal sites. However, the relative role of autotrophic picoplankton in the total phytoplankton assemblage decreased with the increase in nutrients loads. Our results show that the trophic status clearly plays a significant role in structuring the pelagic communities of these lakes despite climatic constraints.</t>
  </si>
  <si>
    <t>[Rochera, Carlos; Antonio Villaescusa, Juan; Picazo, Antonio; Camacho, Antonio] Univ Valencia, Inst Cavanilles Biodiversidad &amp; Biol Evolut, E-46100 Burjassot, Spain; [Rochera, Carlos; Antonio Villaescusa, Juan; Picazo, Antonio; Camacho, Antonio] Univ Valencia, Dept Microbiol &amp; Ecol, E-46100 Burjassot, Spain; [Toro, Manuel] Ctr Estudios Hidrog CEDEX, Madrid 28005, Spain; [Rico, Eugenio] Univ Autonoma Madrid, Dept Ecol, E-28049 Madrid, Spain; [Fernandez-Valiente, Eduardo; Quesada, Antonio] Univ Autonoma Madrid, Dept Biol, E-28049 Madrid, Spain</t>
  </si>
  <si>
    <t>University of Valencia; University of Valencia; Autonomous University of Madrid; Autonomous University of Madrid</t>
  </si>
  <si>
    <t>Mozo, Antonio Picazo/AAE-3707-2020; Rochera, Carlos/M-2932-2014; Rico, Eugenio/L-2429-2013; Quesada, Antonio/L-2430-2013; Camacho, Antonio/I-3417-2015</t>
  </si>
  <si>
    <t>Mozo, Antonio Picazo/0000-0002-7572-9686; Rochera, Carlos/0000-0002-8294-4755; Rico, Eugenio/0000-0001-6978-645X; Quesada, Antonio/0000-0002-8913-5993; Camacho, Antonio/0000-0003-0841-2010; Toro Velasco, Manuel/0000-0002-4860-7229</t>
  </si>
  <si>
    <t>Fieldwork was supported by grant REN2000-0435-ANT from the Science and Technology Ministry (Spain) to AQ. Sample processing was supported by grant CGL2005-06549-C02-02/ANT from the Spanish Ministry of Education and Science to AC, which was co-financed by European FEDER funds. We are in debt to the UTM (Maritime Technology Unit, CSIC) and Las Palmas crew (Spanish Navy) who provided us with the logistical support to make possible this expedition. We especially thank the valuable input provided by Prof Warwick F. Vincent with his ideas and expertise during the fieldwork. The authors gratefully acknowledge the comments of Prof Berry Lyons during manuscript preparation. The constructive comments of the reviewers are also gratefully acknowledged.</t>
  </si>
  <si>
    <t>10.1017/S0954102012000971</t>
  </si>
  <si>
    <t>WOS:000316479700015</t>
  </si>
  <si>
    <t>Rico, E; Quesada, A</t>
  </si>
  <si>
    <t>Rico, Eugenio; Quesada, Antonio</t>
  </si>
  <si>
    <t>Distribution and ecology of chironomids (Diptera, Chironomidae) on Byers Peninsula, Maritime Antarctica</t>
  </si>
  <si>
    <t>Belgica antarctica; drift pattern; feeding habits; Parochlus steinenii; South Shetland Islands</t>
  </si>
  <si>
    <t>LIVINGSTON-ISLAND</t>
  </si>
  <si>
    <t>This study describes the ecology and distribution of the only two native Antarctic insects, the chironomid species Parochlus steinenii and Belgica antarctica, both found on Byers Peninsula (Livingston Island, South Shetland Islands). Parochlus steinenii inhabits lakes of the central plateau of Byers Peninsula associated with aquatic mosses on the bottom of lakes and in some streams of the South Beach area. Some streams have stable populations which are able to complete their life cycle while other streams have temporary, unstable populations. Belgica antarctica also inhabits streams running through mosses located in the South Beach area. Our data indicate that this species has a limited dispersal capability which is positively light activated for both adults and pupae. Both Antarctic midge species coexists on Byers Peninsula and share some stretches of streams. Isotopic studies show a non-selective feeding regime for both species with mixed carbon sources associated with both biofilm/microbial mats and mosses.</t>
  </si>
  <si>
    <t>[Rico, Eugenio] Univ Autonoma Madrid, Dept Ecol, E-28049 Madrid, Spain; [Quesada, Antonio] Univ Autonoma Madrid, Dept Biol, E-28049 Madrid, Spain</t>
  </si>
  <si>
    <t>Rico, E (corresponding author), Univ Autonoma Madrid, Dept Ecol, C Darwin 2, E-28049 Madrid, Spain.</t>
  </si>
  <si>
    <t>eugenio.rico@uam.es</t>
  </si>
  <si>
    <t>Quesada, Antonio/L-2430-2013; Rico, Eugenio/L-2429-2013</t>
  </si>
  <si>
    <t>Quesada, Antonio/0000-0002-8913-5993; Rico, Eugenio/0000-0001-6978-645X</t>
  </si>
  <si>
    <t>Spanish grants [REN2000-0435-ANT, REN2002-11617-E/ANT, CGL2004-20451-E, CGL2005/06549/02/01-ANT, POL2006-06635]</t>
  </si>
  <si>
    <t>Spanish grants(Spanish Government)</t>
  </si>
  <si>
    <t>Fieldwork was supported by Spanish grants REN2000-0435-ANT, REN2002-11617-E/ANT, CGL2004-20451-E, CGL2005/06549/02/01-ANT and POL2006-06635. Logistics were provided by UTM (Maritime Technology Unit, CSIC) and Las Palmas crew (Spanish Navy). We especially thank the field assistance of researchers in the Limnopolar projects (A. Camacho, E. Fernandez, A. Justel, M. Toro, C. Rochera and D. Velazquez). We thank the reviewer for helpful comments.</t>
  </si>
  <si>
    <t>10.1017/S095410201200096X</t>
  </si>
  <si>
    <t>WOS:000316479700016</t>
  </si>
  <si>
    <t>Pertierra, LR; Lara, F; Tejedo, P; Quesada, A; Benayas, J</t>
  </si>
  <si>
    <t>Pertierra, L. R.; Lara, F.; Tejedo, P.; Quesada, A.; Benayas, J.</t>
  </si>
  <si>
    <t>Rapid denudation processes in cryptogamic communities from Maritime Antarctica subjected to human trampling</t>
  </si>
  <si>
    <t>fellfield soils; human impact; management; moss and lichen communities; recreation ecology; trampling simulation</t>
  </si>
  <si>
    <t>SOUTH-SHETLAND ISLANDS; LIVINGSTON ISLAND; VEGETATION; IMPACTS; SOIL; PENINSULA; ECOSYSTEMS</t>
  </si>
  <si>
    <t>This study explores the impact of human trampling on moss and lichen dominated communities of Maritime Antarctica. A simulation of trampling was performed on previously unaffected plots of different terricolous cryptogamic assemblages at Byers Peninsula, Livingston Island. The communities studied were: 1) a uniform moss carpet, 2) a heterogeneous moss assemblage composed of hummocks and turfs, and 3) a fellfield lichen community. All communities analysed were extremely sensitive but different denudation processes were observed. None of the plots maintained 50% of initial coverage after 200 pedestrian transits. Even very low trampling intensity resulted in disturbance at all plots. Sensitivities of the different communities were identified in order to formulate recommendations for minimizing the trampling impacts. In our study the lichen dominated community on dry exposed soils exhibited the lowest resistance to trampling. For moss communities, lower resistance was found in peat soils with higher water content and biomass. With the current trend of increasing human presence in Antarctica, we predict that the cumulative impacts of trampling over future decades will adversely affect all types of moss and lichen communities.</t>
  </si>
  <si>
    <t>[Pertierra, L. R.; Tejedo, P.; Benayas, J.] Univ Autonoma Madrid, Dpto Ecol, E-28049 Madrid, Spain; [Lara, F.; Quesada, A.] Univ Autonoma Madrid, Dpto Biol, E-28049 Madrid, Spain</t>
  </si>
  <si>
    <t>Benayas, J (corresponding author), Univ Autonoma Madrid, Dpto Ecol, C Darwin 2, E-28049 Madrid, Spain.</t>
  </si>
  <si>
    <t>javier.benayas@uam.es</t>
  </si>
  <si>
    <t>Pertierra, Luis R./K-3727-2017; Benayas Del Alamo, Fco. Javier/E-5663-2017; Tejedo, Pablo/A-7163-2010; Lara Garcia, Francisco/I-3003-2014; Quesada, Antonio/L-2430-2013</t>
  </si>
  <si>
    <t>Pertierra, Luis R./0000-0002-2232-428X; Benayas Del Alamo, Fco. Javier/0000-0002-5906-9569; Tejedo, Pablo/0000-0002-1865-0445; Lara Garcia, Francisco/0000-0002-1665-5277; Quesada, Antonio/0000-0002-8913-5993</t>
  </si>
  <si>
    <t>Spanish Government [POL2006-06635, CGL2007-28761-E/ANT, CTM2009-06604-E]</t>
  </si>
  <si>
    <t>This paper was contributed to by two projects: LIMNOPOLAR and EVA-ANTARCTICA. They were supported by the Spanish Government (POL2006-06635, CGL2007-28761-E/ANT and CTM2009-06604-E). Permission to work in the study area for the 2009-10 season was granted by the Spanish Polar Committee. Logistical support was provided by the UTM (Marine Technology Unit, CSIC) and the Spanish Navy. We thank Dr Lars Wormer (University of Bremen, Germany) for his trampling field support. Thanks also to Dr Jeronimo Lopez-Martinez from the Autonomous University of Madrid, for the provision of Byers cartography. We also thank two anonymous reviewers for their useful comments. Finally, we have special thanks to Dr Tina Tin for her frequent advice that greatly improved the paper.</t>
  </si>
  <si>
    <t>10.1017/S095410201200082X</t>
  </si>
  <si>
    <t>WOS:000316479700020</t>
  </si>
  <si>
    <t>Barbosa, A; De Mas, E; Benzal, J; Diaz, JI; Motas, M; Jerez, S; Pertierra, L; Benayas, J; Justel, A; Lauzurica, P; Garcia-Peña, FJ; Serrano, T</t>
  </si>
  <si>
    <t>Barbosa, Andres; De Mas, Eva; Benzal, Jesus; Diaz, Julia Ines; Motas, Miguel; Jerez, Silvia; Pertierra, Luis; Benayas, Javier; Justel, Ana; Lauzurica, Pilar; Javier Garcia-Pena, Francisco; Serrano, Tania</t>
  </si>
  <si>
    <t>Pollution and physiological variability in gentoo penguins at two rookeries with different levels of human visitation</t>
  </si>
  <si>
    <t>Antarctic penguins; genotoxic damage; human disturbance; immune response; pollution; stress</t>
  </si>
  <si>
    <t>IMMUNE-RESPONSE; CAMPYLOBACTER-JEJUNI; PYGOSCELIS-ADELIAE; POPULATION TRENDS; STRESS-RESPONSE; TRACE-ELEMENTS; LONG-TERM; CORTICOSTERONE; FEATHERS; KING</t>
  </si>
  <si>
    <t>Human activity and specifically tourism has been increasing in Antarctica over the last few years. Few studies have examined the indirect effects of human visits on Antarctic penguin rookeries. This work aims to study the differences between a highly visited (Hannah Point) and a rarely visited (Devil's Point, Byers Peninsula) gentoo penguin rookery on Livingston Island. Our results suggest that potential indirect effects of human impact are observed in gentoo penguins at Hannah Point, a colony heavily visited by tourists. Penguins at Hannah Point showed a higher presence of heavy metals such as Pb and Ni and a higher number of erythrocytic nuclear abnormalities than penguins at Devil's Point. Immunological parameters showed different results depending on whether we consider the cellular response - the number of lymphocytes being higher in penguins from Hannah Point - or the humoral response - the level of immunoglobulins being higher in penguins from Devil's Point. Measurements of corticosterone levels in feathers and heterophil/lymphocyte (H/L) ratio in blood showed lower levels in the heavily visited rookery than in the rarely visited rookery. Finally, we did not detect Campylobacter jejuni, a bacteria potentially transmitted by humans in either of the populations and we did not find any difference in the prevalence of Campylobacter lari between the populations.</t>
  </si>
  <si>
    <t>[Barbosa, Andres] CSIC, Museo Nacl Ciencias Nat, Dept Ecol Evolut, C Jose Gutierrez Abascal 2, E-28006 Madrid, Spain; [Barbosa, Andres; De Mas, Eva; Benzal, Jesus] CSIC, Dept Ecol Func &amp; Evolut, Estn Expt Zonas Aridas, La Canada De San Urbano 04120, Almeria, Spain; [Diaz, Julia Ines] Univ Nacl La Plata, Ctr Estudios Parasitol &amp; Vectores, CONICET, Buenos Aires, DF, Argentina; [Motas, Miguel; Jerez, Silvia] Univ Murcia, Dept Toxicol, Fac Vet, E-30100 Murcia, Spain; [Pertierra, Luis; Benayas, Javier; Justel, Ana] Univ Autonoma Madrid, Dept Ecol, E-28049 Madrid, Spain; [Lauzurica, Pilar] Inst Salud Carlos III, Unidad Activac Inmunol, Ctr Nacl Microbiol, Majadahonda 28229, Spain; [Javier Garcia-Pena, Francisco; Serrano, Tania] Lab Cent Vet, Algete 28110, Spain</t>
  </si>
  <si>
    <t>Consejo Superior de Investigaciones Cientificas (CSIC); CSIC - Museo Nacional de Ciencias Naturales (MNCN); Consejo Superior de Investigaciones Cientificas (CSIC); CSIC - Estacion Experimental de Zonas Aridas (EEZA); National University of La Plata; Consejo Nacional de Investigaciones Cientificas y Tecnicas (CONICET); University of Murcia; Autonomous University of Madrid; Instituto de Salud Carlos III; Centro Nacional de Microbiologia (CNM)</t>
  </si>
  <si>
    <t>Barbosa, A (corresponding author), CSIC, Museo Nacl Ciencias Nat, Dept Ecol Evolut, C Jose Gutierrez Abascal 2, E-28006 Madrid, Spain.</t>
  </si>
  <si>
    <t>Benzal, Jesús/T-4555-2017; lauzurica, pilar/B-4397-2013; Motas, Miguel/L-3061-2014; JEREZ, SILVIA/Q-8876-2016; Barbosa, Andrés/C-3208-2008; Pertierra, Luis R./K-3727-2017; Justel, Ana/A-3955-2010; De Mas, Eva/H-9172-2015; Benayas Del Alamo, Fco. Javier/E-5663-2017</t>
  </si>
  <si>
    <t>Barbosa, Andrés/0000-0001-8434-3649; Pertierra, Luis R./0000-0002-2232-428X; Justel, Ana/0000-0003-3335-0579; De Mas, Eva/0000-0001-8225-5805; Garcia-Pena, Francisco Javier/0000-0002-2899-2860; Benayas Del Alamo, Fco. Javier/0000-0002-5906-9569; Motas Guzman, Miguel/0000-0002-2229-7779; Lauzurica, Pilar/0000-0001-6579-1948</t>
  </si>
  <si>
    <t>Spanish Ministry of Science and Innovation [POL2006-05175, POL2006-06635, CGL2007-60369, CTM2009-06604-E]; European Regional Development Fund; Ministerio de Ciencia e Innovacion (Spain) [CTM2011-12973-E]</t>
  </si>
  <si>
    <t>Spanish Ministry of Science and Innovation(Spanish Government); European Regional Development Fund(European Union (EU)); Ministerio de Ciencia e Innovacion (Spain)(Spanish Government)</t>
  </si>
  <si>
    <t>This study was funded by the Spanish Ministry of Science and Innovation under the POL2006-05175, POL2006-06635, CGL2007-60369, CTM2009-06604-E and by the European Regional Development Fund. We thank the UTM (Maritime Technology Unit, CSIC), the Spanish Polar ship Las Palmas and the Byers camp facilities for their logistic support. Permission to work in the study area and for penguin handling was granted by the Spanish Polar Committee. We would also like to thank H. Moreno for logistic support and field assistance at Byers. We especially thank C. Rochera for logistic support at the Byers Camp. This is a contribution to the International Polar Year BYERS and BIRDHEALTH projects and to the PINGUCLIM project. Deborah Fuldauer corrected the English language usage. This article was published thanks to the financial support given by the Ministerio de Ciencia e Innovacion (Spain) with the grant ref. CTM2011-12973-E.</t>
  </si>
  <si>
    <t>10.1017/S0954102012000739</t>
  </si>
  <si>
    <t>WOS:000316479700021</t>
  </si>
  <si>
    <t>Abad, FX; Busquets, N; Sanchez, A; Ryan, PG; Majó, N; Gonzalez-Soli, J</t>
  </si>
  <si>
    <t>Xavier Abad, F.; Busquets, Nuria; Sanchez, Azucena; Ryan, Peter G.; Majo, Natalia; Gonzalez-Soli, Jacob</t>
  </si>
  <si>
    <t>Serological and virological surveys of the influenza A viruses in Antarctic and sub-Antarctic penguins</t>
  </si>
  <si>
    <t>antibodies; ASPA; avian pathogens; influenza prevalence; marine animals</t>
  </si>
  <si>
    <t>AFFECT BODY CONDITION; WILD MALLARD DUCKS; AVIAN INFLUENZA; ROCKHOPPER PENGUINS; HEALTH EVALUATION; SOUTHERN-OCEAN; VICE-VERSA; BIRDS; CONSERVATION; ANTIBODIES</t>
  </si>
  <si>
    <t>To evaluate the avian influenza virus (AIV) circulation in Antarctic and sub-Antarctic penguins we carried out a serosurvey on six species from Livingston, Marion and Gough islands. Seropositivity against AIV was performed on serum samples using a competitive enzyme-linked immunosorbent assay and haemagglutination and neuraminidase inhibition assays. Some oropharyngeal and cloacal swabs were also assayed to detect influenza virus genomes by real time reverse transcription-polymerase chain reaction. Overall, 12.1% (n=140) penguins were seropositive to AIV. By species, we detected 5% (n=19) and 11% (n=18) seroprevalence in sub-Antarctic rockhopper penguins (Eudyptes spp.) from Gough and Marion islands, respectively, 42% (n=33) seroprevalence in macaroni penguins (Eudyptes chysolophus Brandt), but no positives in the three other species, gentoo (Pygoscelis papua Forster; n=25) and chinstrap penguins (P. antarctica Forster; n=16), from Livingston Island and king penguins (Aptenodytes patagonicus Miller; n=27) from Marion Island. While seropositivity reflected previous exposure to the AIV, the influenza genome was not detected. Our results indicate that AIV strains have circulated in penguin species in the sub-Antarctic region, but further studies are necessary to determine the precise role that such penguin species play in AIV epidemiology and if this circulation is species (or genus) specific.</t>
  </si>
  <si>
    <t>[Xavier Abad, F.; Busquets, Nuria; Majo, Natalia] UAB IRTA, CReSA, Ctr Recerca &amp; Sanitat Anim, Bellaterra 08193, Spain; [Sanchez, Azucena] Lab Cent Vet, Dept Enfermedades Emergentes, Madrid 28110, Spain; [Ryan, Peter G.] Univ Cape Town, Percy FitzPatrick Inst, DST NRF, Ctr Excellence, ZA-7701 Rondebosch, South Africa; [Majo, Natalia] Univ Autonoma Barcelona, Dept Sanitat &amp; Anat Anim, E-08193 Barcelona, Spain; [Gonzalez-Soli, Jacob] Univ Barcelona, Inst Recerca Biodiversitat IRBio, E-08028 Barcelona, Spain; [Gonzalez-Soli, Jacob] Univ Barcelona, Dept Biol Anim, E-08028 Barcelona, Spain</t>
  </si>
  <si>
    <t>IRTA; National Research Foundation - South Africa; University of Cape Town; Autonomous University of Barcelona; University of Barcelona; University of Barcelona</t>
  </si>
  <si>
    <t>Abad, FX (corresponding author), UAB IRTA, CReSA, Ctr Recerca &amp; Sanitat Anim, Bellaterra 08193, Spain.</t>
  </si>
  <si>
    <t>xavier.abad@cresa.uab.cat</t>
  </si>
  <si>
    <t>Gonzalez-Solis, Jacob/C-3942-2008; Abad, Xavier/ABE-8449-2021; Busquets, Núria/T-8431-2017; González-Solís, Jacob/AAB-1161-2019; Masferrer, Natàlia Majó/AAV-3696-2021</t>
  </si>
  <si>
    <t>Gonzalez-Solis, Jacob/0000-0002-8691-9397; Majo, Natalia/0000-0003-0189-9751; Abad Morejon de Giron, Xavier/0000-0003-1818-1236; Ryan, Peter/0000-0002-3356-2056</t>
  </si>
  <si>
    <t>Ministerio de Ciencia e Innovacion from the Spanish Government [POL2006-06635, CGL2009-11278/BOS, CTM2011-12973-E]</t>
  </si>
  <si>
    <t>Ministerio de Ciencia e Innovacion from the Spanish Government(Spanish Government)</t>
  </si>
  <si>
    <t>As Byers Peninsula is protected, researchers applied for the permits to the Spanish Polar Committee (Polar authority in the country) and the permits were granted to the project's principal investigator. We thank Antje Steinfurth, Rob Ronconi, Jose Antonio Gil Delgado, Antonio QuDavid H for logistical and fieldwork support, and Raquel Rivas and Erika Serrano, both from CReSA, for their excellent technical assistance. Logistical support at Marion and Gough islands was provided by the South African National Antarctic Programme, Department of Environmental Affairs. This study was funded by the Ministerio de Ciencia e Innovacion from the Spanish Government (POL2006-06635, CGL2009-11278/BOS and CTM2011-12973-E). We thank the reviewers for their comments.</t>
  </si>
  <si>
    <t>10.1017/S0954102012001228</t>
  </si>
  <si>
    <t>WOS:000316479700022</t>
  </si>
  <si>
    <t>Cerda, C; Barkmann, J; Marggraf, R</t>
  </si>
  <si>
    <t>Cerda, Claudia; Barkmann, Jan; Marggraf, Rainer</t>
  </si>
  <si>
    <t>Application of choice experiments to quantify the existence value of an endemic moss: a case study in Chile</t>
  </si>
  <si>
    <t>ENVIRONMENT AND DEVELOPMENT ECONOMICS</t>
  </si>
  <si>
    <t>CONTINGENT VALUATION; BIODIVERSITY; PREFERENCES; WTP</t>
  </si>
  <si>
    <t>A choice experiment was applied to measure the existence value of an endemic moss. We assessed value separation, embedding or warm glow and 'ethical' motivations. We exemplify our application by valuing an inconspicuous moss endemic to Chile's sub-Antarctic region. The choice experiment was administered to a sample of local residents of Navarino Island (southern Chile). The design isolates the existence value by requiring respondents to make simultaneous tradeoffs between moss existence value, five other biodiversity-related values and income changes. Insensitivity to scope was addressed by using degrees of extinction risks. We predominantly use a willingness-to-accept design of the payment vehicle to avoid protest responses. A meaningful marginal value for the existence of an endemic species for Navarino island residents was documented. The design, based on varying degrees of extinction risk, avoided a strong effect of warm glow. No protest responses motivated by ethical concerns were encountered.</t>
  </si>
  <si>
    <t>[Cerda, Claudia] Univ Chile, Fac Forestry &amp; Conservat Nat, Dept Forest Resource Management, La Pintana 11315, Santiago De Chi, Chile; [Barkmann, Jan; Marggraf, Rainer] Univ Gottingen, Inst Agr Econ &amp; Rural Dev, D-37073 Gottingen, Germany</t>
  </si>
  <si>
    <t>Universidad de Chile; University of Gottingen</t>
  </si>
  <si>
    <t>Cerda, C (corresponding author), Univ Chile, Fac Forestry &amp; Conservat Nat, Dept Forest Resource Management, La Pintana 11315, Santiago De Chi, Chile.</t>
  </si>
  <si>
    <t>clcerdaj@uchile.cl; jbarkma@gwdg.de; rmarggr@gwdg.de</t>
  </si>
  <si>
    <t>Barkmann, Jan/B-7928-2014; Cerda, Claudia/D-5315-2014</t>
  </si>
  <si>
    <t>Cerda, Claudia/0000-0001-9478-9978</t>
  </si>
  <si>
    <t>1355-770X</t>
  </si>
  <si>
    <t>1469-4395</t>
  </si>
  <si>
    <t>ENVIRON DEV ECON</t>
  </si>
  <si>
    <t>Environ. Dev. Econ.</t>
  </si>
  <si>
    <t>10.1017/S1355770X12000472</t>
  </si>
  <si>
    <t>Economics; Environmental Studies</t>
  </si>
  <si>
    <t>Business &amp; Economics; Environmental Sciences &amp; Ecology</t>
  </si>
  <si>
    <t>107BT</t>
  </si>
  <si>
    <t>WOS:000316190400005</t>
  </si>
  <si>
    <t>Thamban, M; Thakur, RC</t>
  </si>
  <si>
    <t>Thamban, Meloth; Thakur, Roseline C.</t>
  </si>
  <si>
    <t>Trace metal concentrations of surface snow from Ingrid Christensen Coast, East Antarctica-spatial variability and possible anthropogenic contributions</t>
  </si>
  <si>
    <t>Trace metals; Surface snow; Human impact; Ingrid Christensen Coast; Antarctica</t>
  </si>
  <si>
    <t>LARSEMANN-HILLS; DOME-C; HEAVY-METALS; ICE CORES; ELEMENTS; RECORD; GLACIOCHEMISTRY; PRECIPITATION; ATMOSPHERE; EMISSIONS</t>
  </si>
  <si>
    <t>To investigate the distribution and source pathways of environmentally critical trace metals in coastal Antarctica, trace elemental concentrations were analyzed in 36 surface snow samples along a coast to inland transect in the Ingrid Christensen Coast of East Antarctica. The samples were collected and analyzed using the clean protocols and an inductively coupled plasma mass spectrometer. Within the coastal ice-free and ice-covered region, marine elements (Na, Ca, Mg, K, Li, and Sr) revealed enhanced concentrations as compared with inland sites. Along with the sea-salt elements, the coastal ice-free sites were also characterized by enhanced concentrations of Al, Fe, Mn, V, Cr, and Zn. The crustal enrichment factors (Efc) confirm a dominant crustal source for Fe and Al and a significant source for Cr, V, Co, and Ba, which clearly reflects the influence of petrological characteristics of the Larsemann Hills on the trace elemental composition of surface snow. The Efc of elements revealed that Zn, Cu, Mo, Cd, As, Se, Sb, and Pb are highly enriched compared with the known natural sources, suggesting an anthropogenic origin for these elements. Evaluation of the contributions to surface snow from the different sources suggests that while contribution from natural sources is relatively significant, local contamination from the increasing research station and logistic activities within the proximity of study area cannot be ignored.</t>
  </si>
  <si>
    <t>[Thamban, Meloth; Thakur, Roseline C.] Natl Ctr Antarctic &amp; Ocean Res, Vasco Da Gama 403804, Goa, India</t>
  </si>
  <si>
    <t>Thamban, M (corresponding author), Natl Ctr Antarctic &amp; Ocean Res, Vasco Da Gama 403804, Goa, India.</t>
  </si>
  <si>
    <t>meloth@ncaor.org</t>
  </si>
  <si>
    <t>Thakur, Roseline/AHC-1408-2022</t>
  </si>
  <si>
    <t>Thakur, Roseline/0000-0002-3238-4171; Thamban, Meloth/0000-0003-3379-8189</t>
  </si>
  <si>
    <t>Ministry of Earth Sciences, Government of India</t>
  </si>
  <si>
    <t>Ministry of Earth Sciences, Government of India(Ministry of Earth Science (MoES), Government of India)</t>
  </si>
  <si>
    <t>We acknowledge the Ministry of Earth Sciences, Government of India for the project support. We thank Rasik Ravindra, Director, NCAOR, Goa, for his encouragement and interest in this study. Sincere thanks are extended to B. L Redkar for his assistance with sample processing and analysis as well as C. M. Laluraj for support. NOAA Air Resource Laboratory is acknowledged for the HYSPLIT meteorological model used in this paper. This is NCAOR contribution No. 23/2012.</t>
  </si>
  <si>
    <t>10.1007/s10661-012-2764-0</t>
  </si>
  <si>
    <t>100WV</t>
  </si>
  <si>
    <t>WOS:000315736500008</t>
  </si>
  <si>
    <t>Sterenborg, MG; Morrow, E; Mitrovica, JX</t>
  </si>
  <si>
    <t>Sterenborg, M. G.; Morrow, E.; Mitrovica, J. X.</t>
  </si>
  <si>
    <t>Bias in GRACE estimates of ice mass change due to accompanying sea-level change</t>
  </si>
  <si>
    <t>JOURNAL OF GEODESY</t>
  </si>
  <si>
    <t>GRACE; Satellite gravity; Ice mass change estimates; Hydrology; Sea level change</t>
  </si>
  <si>
    <t>TIME-VARIABLE GRAVITY; SYSTEM; EARTH</t>
  </si>
  <si>
    <t>Observations of spatio-temporal variations in the geopotential using the GRACE satellites have been used to estimate recent mass fluxes from polar ice sheets and glaciers. However, these estimates have not considered the potential bias associated with the migration of water that accompanies the ice melt. This migration is driven by the diminished gravitational attraction of the melting ice reservoir, and this migration, as well as the crustal loading it induces, will contribute to the observed geopotential anomaly. The extent to which this contribution contaminates the ice mass flux estimates depends on how far the smoothing filters applied to the GRACE data extend beyond the ice margins into the ocean. Using the Antarctic Peninsula as a case study, we estimate the magnitude of this bias for a range of melt areas and Gaussian smoothing filter radii. We conclude that GRACE estimates of ice mass loss over the Antarctic Peninsula are systematically overestimating the loss by up to 10 for filter radii of less than 500 km.</t>
  </si>
  <si>
    <t>[Sterenborg, M. G.] Princeton Univ, Dept Geosci, Princeton, NJ 08534 USA; [Morrow, E.; Mitrovica, J. X.] Harvard Univ, Dept Earth &amp; Planetary Sci, Cambridge, MA 02138 USA</t>
  </si>
  <si>
    <t>Princeton University; Harvard University</t>
  </si>
  <si>
    <t>Sterenborg, MG (corresponding author), Princeton Univ, Dept Geosci, Princeton, NJ 08534 USA.</t>
  </si>
  <si>
    <t>msterenb@princeton.edu</t>
  </si>
  <si>
    <t>Canadian Institute for Advanced Research Postdoctoral Fellowship (CIFAR)</t>
  </si>
  <si>
    <t>The authors would like to thank Frederik J. Simons for the use of his MATLAB code library, and Chris Harig for useful discussions. MGS was supported by a Canadian Institute for Advanced Research Postdoctoral Fellowship (CIFAR).</t>
  </si>
  <si>
    <t>0949-7714</t>
  </si>
  <si>
    <t>1432-1394</t>
  </si>
  <si>
    <t>J GEODESY</t>
  </si>
  <si>
    <t>J. Geodesy</t>
  </si>
  <si>
    <t>10.1007/s00190-012-0608-x</t>
  </si>
  <si>
    <t>Geochemistry &amp; Geophysics; Remote Sensing</t>
  </si>
  <si>
    <t>106DW</t>
  </si>
  <si>
    <t>WOS:000316123500008</t>
  </si>
  <si>
    <t>Zdanowski, MK; Zmuda-Baranowska, MJ; Borsuk, P; Swiatecki, A; Górniak, D; Wolicka, D; Jankowska, KM; Grzesiak, J</t>
  </si>
  <si>
    <t>Zdanowski, Marek K.; Zmuda-Baranowska, Magdalena J.; Borsuk, Piotr; Swiatecki, Aleksander; Gorniak, Dorota; Wolicka, Dorota; Jankowska, Katarzyna M.; Grzesiak, Jakub</t>
  </si>
  <si>
    <t>Culturable bacteria community development in postglacial soils of Ecology Glacier, King George Island, Antarctica</t>
  </si>
  <si>
    <t>Microbiocenosis; Glacier moraines; Culturable bacteria; Psychrophiles; Bacterial succession; Cryoturbation</t>
  </si>
  <si>
    <t>RECENTLY-DEGLACIATED SOILS; MICROBIAL COMMUNITIES; ORGANIC-MATTER; SP NOV.; DIVERSITY; SUCCESSION; PENGUIN; BACTERIOPLANKTON; FOREFIELD; SHIFTS</t>
  </si>
  <si>
    <t>Glacier forelands are excellent sites in which to study microbial succession because conditions change rapidly in the emerging soil. Development of the bacterial community was studied along two transects on lateral moraines of Ecology Glacier, King George Island, by culture-dependent and culture-independent approaches (denaturating gradient gel electrophoresis). Environmental conditions such as cryoturbation and soil composition affected both abundance and phylogenetic diversity of bacterial communities. Microbiocenosis structure along transect 1 (severe cryoturbation) differed markedly from that along transect 2 (minor cryoturbation). Soil physical and chemical factors changed along the chronosequence (time since exposure) and influenced the taxonomic diversity of cultivated bacteria, particularly along transect 2. Arthrobacter spp. played a pioneer role and were present in all soil samples, but were most abundant along transect 1. Cultivated bacteria isolated from transect 2 were taxonomically more diverse than those cultivated from transect 1; those from transect 1 tended to express a broader range of enzyme and assimilation activities. Our data suggest that cryoturbation is a major factor in controlling bacterial community development in postglacial soils, shed light on microbial succession in glacier forelands, and add a new parameter to models that describe succession phenomena.</t>
  </si>
  <si>
    <t>[Zdanowski, Marek K.; Zmuda-Baranowska, Magdalena J.; Grzesiak, Jakub] Polish Acad Sci, Dept Antarctic Biol, Inst Biochem &amp; Biophys, Ustrzycka 10, PL-02141 Warsaw, Poland; [Borsuk, Piotr] Warsaw Univ, Inst Genet &amp; Biotechnol, PL-02106 Warsaw, Poland; [Borsuk, Piotr] Polish Acad Sci, Inst Biochem &amp; Biophys, PL-02106 Warsaw, Poland; [Swiatecki, Aleksander; Gorniak, Dorota] Univ Warmia &amp; Mazury, Dept Microbiol, PL-10719 Olsztyn, Poland; [Wolicka, Dorota] Warsaw Univ, Inst Mineral Geochem &amp; Petr, PL-02089 Warsaw, Poland; [Jankowska, Katarzyna M.] Gdansk Univ Technol, Fac Civil &amp; Environm Engn, Dept Water &amp; Wastewater Technol, PL-80233 Gdansk, Poland</t>
  </si>
  <si>
    <t>Polish Academy of Sciences; Institute of Biochemistry &amp; Biophysics - Polish Academy of Sciences; University of Warsaw; Polish Academy of Sciences; Institute of Biochemistry &amp; Biophysics - Polish Academy of Sciences; University of Warmia &amp; Mazury; University of Warsaw; Fahrenheit Universities; Gdansk University of Technology</t>
  </si>
  <si>
    <t>Grzesiak, J (corresponding author), Polish Acad Sci, Dept Antarctic Biol, Inst Biochem &amp; Biophys, Ustrzycka 10, PL-02141 Warsaw, Poland.</t>
  </si>
  <si>
    <t>jgrzesiak@arctowski.pl</t>
  </si>
  <si>
    <t>Grzesiak, Jakub/ABD-5209-2020; Jankowska, Katarzyna/R-5226-2016; Gorniak, Dorota/X-8468-2018</t>
  </si>
  <si>
    <t>Jankowska, Katarzyna/0000-0001-8042-6930; Gorniak, Dorota/0000-0001-6567-1057; Swiatecki, Aleksander/0000-0002-5219-7795; Grzesiak, Jakub/0000-0001-5972-2356; Zmuda-Baranowska, Magdalena/0000-0003-0645-3396</t>
  </si>
  <si>
    <t>Polish Ministry of Science and Higher Education [IPY/26/2007]; National Centre for Science in Krakow PL [N N304 106940]</t>
  </si>
  <si>
    <t>Polish Ministry of Science and Higher Education(Ministry of Science and Higher Education, Poland); National Centre for Science in Krakow PL(National Science Centre, Poland)</t>
  </si>
  <si>
    <t>This research was supported by the Polish Ministry of Science and Higher Education (grant IPY/26/2007) and by the National Centre for Science in Krakow PL (grant N N304 106940). We are very grateful to Prof. Stuart Donachie (University of Hawaii) and Prof. Arthur A. Vandenbark (OHSU Multiple Sclerosis Center) for their comments and language editing during preparation of this paper.</t>
  </si>
  <si>
    <t>10.1007/s00300-012-1278-0</t>
  </si>
  <si>
    <t>108YF</t>
  </si>
  <si>
    <t>hybrid, Green Submitted</t>
  </si>
  <si>
    <t>WOS:000316331600004</t>
  </si>
  <si>
    <t>Mendes, CRB; Tavano, VM; Leal, MC; de Souza, MS; Brotas, V; Garcia, CAE</t>
  </si>
  <si>
    <t>Borges Mendes, Carlos Rafael; Tavano, Virginia Maria; Leal, Miguel Costa; de Souza, Marcio Silva; Brotas, Vanda; Eiras Garcia, Carlos Alberto</t>
  </si>
  <si>
    <t>Shifts in the dominance between diatoms and cryptophytes during three late summers in the Bransfield Strait (Antarctic Peninsula)</t>
  </si>
  <si>
    <t>Antarctic Peninsula; Bransfield Strait; Phytoplankton succession; Cryptophytes; Diatoms</t>
  </si>
  <si>
    <t>PHYTOPLANKTON ASSEMBLAGES; SOUTHERN-OCEAN; EUPHAUSIA-SUPERBA; AUSTRAL SUMMER; CLIMATE-CHANGE; PIGMENT DATA; WATERS WEST; FOOD-WEB; SEA-ICE; IRON</t>
  </si>
  <si>
    <t>Recent global warming reduces surface water salinity around the Antarctic Peninsula as a result of the glacial meltwater runoff, which increases the occurrence and abundance of certain phytoplankton groups, such as cryptophytes. The dominance of this particular group over diatoms affects grazers, such as Antarctic krill, which preferentially feed on diatoms. Using three late summer data sets from the Bransfield Strait (2008-2010), we observed variations in the dominant phytoplankton groups determined by HPLC/CHEMTAX pigment analysis and confirmed by microscopy. Results indicate that the dominance of diatoms, particularly in 2008 and 2009, was associated with a deeper upper mixed layer (UML), higher salinity and warmer sea surface temperature. In contrast, cryptophytes, which were dominant in 2010, were associated with a shallower UML, lower salinity and colder sea surface temperatures. The low diatom biomass observed in the summer of 2010 was associated with high nutrient concentration, particularly silicate, and low chlorophyll a (summer monthly average calculated from satellite images). The interannual variability here observed suggests a delayed seasonal succession cycle of phytoplankton in the summer of 2010 associated with a cold summer and a late ice retreat process in the region. This successional delay resulted in a notable decrease of primary producers' biomass, which is likely to have impacted regional food web interactions. This study demonstrates the susceptibility of the Antarctic phytoplankton community structure to air temperature, which directly influences the timing of ice melting and consequently the magnitude of primary production and succession pattern of phytoplankton groups.</t>
  </si>
  <si>
    <t>[Borges Mendes, Carlos Rafael; Tavano, Virginia Maria; de Souza, Marcio Silva; Eiras Garcia, Carlos Alberto] Univ Fed Rio Grande FURG, Inst Oceanog, BR-96201900 Rio Grande, RS, Brazil; [Borges Mendes, Carlos Rafael; Brotas, Vanda] Univ Lisbon, Ctr Oceanog, Fac Ciencias, P-1749016 Lisbon, Portugal; [Leal, Miguel Costa] Univ Aveiro, Dept Biol, P-3810193 Aveiro, Portugal; [Leal, Miguel Costa] Univ Aveiro, CESAM, P-3810193 Aveiro, Portugal; [Leal, Miguel Costa] Skidaway Inst Oceanog, Savannah, GA 31411 USA</t>
  </si>
  <si>
    <t>Universidade Federal do Rio Grande; Universidade de Lisboa; Universidade de Aveiro; Universidade de Aveiro; University System of Georgia; University of Georgia; Skidaway Institute of Oceanography</t>
  </si>
  <si>
    <t>Mendes, CRB (corresponding author), Univ Lisbon, Ctr Oceanog, Fac Ciencias, P-1749016 Lisbon, Portugal.</t>
  </si>
  <si>
    <t>rmendes@fc.ul.pt</t>
  </si>
  <si>
    <t>Garcia, Carlos A. E./K-7382-2012; de Souza, Márcio Silva/AAR-5757-2021; Mendes, Carlos/GVU-7596-2022; Mendes, Carlos/I-1520-2012; Mendes, Carlos/AAD-6504-2021; Tavano, Virginia/C-5241-2013; Brotas, Vanda/A-2410-2012; Leal, Miguel/C-8611-2009</t>
  </si>
  <si>
    <t>de Souza, Márcio Silva/0000-0003-1572-9307; Mendes, Carlos/0000-0001-6875-8860; Mendes, Carlos/0000-0001-6875-8860; Tavano, Virginia/0000-0003-0039-8111; Brotas, Vanda/0000-0001-8612-4167; Leal, Miguel/0000-0003-0672-6251</t>
  </si>
  <si>
    <t>CNPq (National Council for Research and Development); Fundacao da Ciencia e Tecnologia [SFRH/BD/36336/2007, SFRH/BD/63783/2009]; European Social Fund; national funds MCTES; CAPES (Brazil); CNPq; Fundação para a Ciência e a Tecnologia [SFRH/BD/36336/2007] Funding Source: FCT</t>
  </si>
  <si>
    <t>CNPq (National Council for Research and Development)(Conselho Nacional de Desenvolvimento Cientifico e Tecnologico (CNPQ)); Fundacao da Ciencia e Tecnologia(Fundacao para a Ciencia e a Tecnologia (FCT)); European Social Fund(European Social Fund (ESF)); national funds MCTES; CAPES (Brazil)(Coordenacao de Aperfeicoamento de Pessoal de Nivel Superior (CAPES)); CNPq(Conselho Nacional de Desenvolvimento Cientifico e Tecnologico (CNPQ)); Fundação para a Ciência e a Tecnologia(Fundacao para a Ciencia e a Tecnologia (FCT))</t>
  </si>
  <si>
    <t>This study was conducted within the activities of the SOS-CLIMATE (Southern Ocean Studies for Understanding Climate Changes Issues) project. This is a multidisciplinary program as part of the GOAL (Group of High Latitude Oceanography) activities in the Brazilian Antarctic Program, coordinated by SECIRM. Financial support was provided by CNPq (National Council for Research and Development). The authors thank the crew of the Brazilian Navy RV Ary Rongel and several investigators participating in the cruises for their valuable help during the collection of samples. We are grateful to Simon Wright, from the Australian Antarctic Division, for providing CHEMTAX v.1.95, to Ricardo Pollery for performing all nutrient analysis and to Nancy Tenenbaum for her helpful comments and revising the manuscript. C. R. Mendes and M. C. Leal were funded by a PhD grant (SFRH/BD/36336/2007 and SFRH/BD/63783/2009, respectively) funded by the Fundacao da Ciencia e Tecnologia (QREN-POPH-Type 4.1-Advanced Training, subsidized by the European Social Fund and national funds MCTES). A PhD fellowship from CAPES (Brazil) was granted to M. S. de Souza. V. M. Garcia and C. A. Garcia are granted with science fellowships from CNPq.</t>
  </si>
  <si>
    <t>10.1007/s00300-012-1282-4</t>
  </si>
  <si>
    <t>WOS:000316331600006</t>
  </si>
  <si>
    <t>Carapelli, A; Torricelli, G; Nardi, F; Frati, F</t>
  </si>
  <si>
    <t>Carapelli, Antonio; Torricelli, Giulia; Nardi, Francesco; Frati, Francesco</t>
  </si>
  <si>
    <t>The complete mitochondrial genome of the Antarctic sea spider Ammothea carolinensis (Chelicerata; Pycnogonida)</t>
  </si>
  <si>
    <t>Pycnogonida; Mitochondrial DNA (mtDNA); Molecular evolution; Antarctica; Nucleotide bias</t>
  </si>
  <si>
    <t>TRANSFER-RNA GENES; ARTHROPOD TREE; DNA SEQUENCE; EVOLUTION; ORIGIN; PATTERNS; HEXAPODA; MUTATION; METAZOA; REPLICATION</t>
  </si>
  <si>
    <t>Mitochondria are responsible for the oxidative phosphorylation process. Accordingly, putatively adaptive changes in their genomic features have been variously associated with major eco-physiological shifts in animal evolution, including increased metabolic rates and heat adaptation. Antarctic pycnogonids offer an interesting system to test whether the selective pressure for heat production and increased aerobic metabolism may be driving genomic changes like: (a) unusual compositional biases at the nucleotide and amino acid level, possibly related to cold adaptation; (b) an accelerated rate of mutations/genomic rearrangements, possibly related to the mutagenic effects of oxygen intermediates. The complete mitochondrial genome (mtDNA) of the Antarctic sea spider Ammothea carolinensis Leach, 1814 (Arthropoda: Pycnogonida), the type species for the genus Ammothea, has been determined and is here compared to known genomes from Antarctic and temperate species. We describe a marked heterogeneity in base composition skewness parameters as well as a strong signature of purifying selection toward an increase in thymines at second codon positions, possibly associated with an increased stability of hydrophobic inter-membrane domains. We further observe a fairly high rate of genomic changes, including a possible hot spot of recombination at the level of tRNA-Q. Nevertheless, these features do not seem to be restricted to the two Antarctic pycnogonids analyzed, as to suggest a causal relationship between cold adaptation and genomic changes, and are better interpreted as basal features shared by the entire group. The relevance of the newly determined sequence for the phylogeny of pycnogonids, including its base composition and genomic rearrangements, is further discussed.</t>
  </si>
  <si>
    <t>[Carapelli, Antonio; Torricelli, Giulia; Nardi, Francesco; Frati, Francesco] Univ Siena, Dept Life Sci, I-53100 Siena, Italy</t>
  </si>
  <si>
    <t>University of Siena</t>
  </si>
  <si>
    <t>Carapelli, A (corresponding author), Univ Siena, Dept Life Sci, Via Aldo Moro 2, I-53100 Siena, Italy.</t>
  </si>
  <si>
    <t>antonio.carapelli@unisi.it</t>
  </si>
  <si>
    <t>Nardi, Francesco/E-5516-2011; Carapelli, Antonio/H-9216-2019</t>
  </si>
  <si>
    <t>Nardi, Francesco/0000-0003-0271-9855; Carapelli, Antonio/0000-0002-3165-9620</t>
  </si>
  <si>
    <t>Italian Program of Research in Antarctica (PNRA); University of Siena</t>
  </si>
  <si>
    <t>This work was funded by the Italian Program of Research in Antarctica (PNRA). The logistic support of PNRA during the collection of the material is acknowledged. Partial support was also provided by the University of Siena. We also thank Dr. Laura Bianciardi for her collaboration with the analysis of data.</t>
  </si>
  <si>
    <t>10.1007/s00300-013-1288-6</t>
  </si>
  <si>
    <t>WOS:000316331600011</t>
  </si>
  <si>
    <t>Gil-Delgado, JA; Villaescusa, JA; Diazmacip, ME; Velazquez, D; Rico, E; Toro, M; Quesada, A; Camacho, A</t>
  </si>
  <si>
    <t>Gil-Delgado, J. A.; Villaescusa, J. A.; Diazmacip, M. E.; Velazquez, D.; Rico, E.; Toro, M.; Quesada, A.; Camacho, A.</t>
  </si>
  <si>
    <t>Minimum population size estimates demonstrate an increase in southern elephant seals (Mirounga leonina) on Livingston Island, maritime Antarctica</t>
  </si>
  <si>
    <t>Antarctica; Breeding population; Byers Peninsula; Mirounga leonina; Pup</t>
  </si>
  <si>
    <t>KING-GEORGE-ISLAND; CLIMATE-CHANGE; TRENDS; PENINSULA; SURVIVAL; DYNAMICS</t>
  </si>
  <si>
    <t>Southern elephant seals (Mirounga leonina) are apex predators of marine Antarctic food webs, and variations in their populations have been linked to environmental changes. Consequently, measuring and reporting the status of elephant seal populations provide insights into the environmental status of Antarctica. Here, we present new information on the size of the elephant seal subpopulation on Byers Peninsula (Livingston Island, South Shetland Islands, maritime Antarctica). Based on a total count of 1,510 pups, we estimated a total subpopulation size of 5,530 individuals by using a conversion factor of 3.5. This represents an increase of 150 % since the subpopulation was first counted 30 years ago. Based on this finding, we hypothesize that the overall South Georgia stock, to which the subpopulation we estimated on Byers Peninsula belongs, could be increasing instead of remaining stable as previously thought.</t>
  </si>
  <si>
    <t>[Gil-Delgado, J. A.; Villaescusa, J. A.; Diazmacip, M. E.; Camacho, A.] Univ Valencia, Inst Cavanilles Biodiversidad &amp; Biol Evolut, Paterna 46980, Spain; [Velazquez, D.; Quesada, A.] Univ Autonoma Madrid, Dept Biol, E-28049 Madrid, Spain; [Rico, E.] Univ Autonoma Madrid, Dept Ecol, E-28049 Madrid, Spain; [Toro, M.] CEDEX, Ctr Estudios Hidrog, Madrid 28005, Spain</t>
  </si>
  <si>
    <t>University of Valencia; Autonomous University of Madrid; Autonomous University of Madrid</t>
  </si>
  <si>
    <t>Gil-Delgado, JA (corresponding author), Univ Valencia, Inst Cavanilles Biodiversidad &amp; Biol Evolut, Poligono Coma S-N, Paterna 46980, Spain.</t>
  </si>
  <si>
    <t>gild@uv.es</t>
  </si>
  <si>
    <t>Gil-Delgado, Jose Antonio/I-2471-2015; Rico, Eugenio/L-2429-2013; Camacho, Antonio/I-3417-2015; Velazquez, David/M-2309-2017; Quesada, Antonio/L-2430-2013</t>
  </si>
  <si>
    <t>Rico, Eugenio/0000-0001-6978-645X; Camacho, Antonio/0000-0003-0841-2010; Velazquez, David/0000-0002-4127-8370; Toro Velasco, Manuel/0000-0002-4860-7229; Quesada, Antonio/0000-0002-8913-5993</t>
  </si>
  <si>
    <t>Spanish Ministry of Education and Science; Spanish Ministry of Science and Innovation [CGL2005-06549-C02-02, CGL2007-29841-E, CTM2008-05205-E, CGL2005-06549-C02-01, POL2006-06635]</t>
  </si>
  <si>
    <t>Spanish Ministry of Education and Science(Spanish Government); Spanish Ministry of Science and Innovation(Spanish Government)</t>
  </si>
  <si>
    <t>This paper is dedicated to the memory of Dr. Alejandro Carlini, whose contributions to polar sciences has illuminated our knowledge. This work has been supported by several grants from the Spanish Ministries of Education and Science and of Science and Innovation as follows: CGL2005-06549-C02-02, CGL2007-29841-E; CTM2008-05205-E; CGL2005-06549-C02-01; POL2006-06635, to A. C. and A. Q. We thank C. R. McMahon, C. Campagna, and M.N. Bester for their important contributions by reviewing the manuscript and to E. Cooper, J. Gonzalez-Solis and C. Rochera for their assistance in the field transects. We are also very grateful to A. Aguayo and J. Acevedo for providing help to find important forgotten references. Finally, we thank the professional translator service of Helen Warburton, for checking the English language.</t>
  </si>
  <si>
    <t>10.1007/s00300-012-1280-6</t>
  </si>
  <si>
    <t>WOS:000316331600013</t>
  </si>
  <si>
    <t>Guly, HR</t>
  </si>
  <si>
    <t>Guly, H. R.</t>
  </si>
  <si>
    <t>Medical comforts during the heroic age of Antarctic exploration</t>
  </si>
  <si>
    <t>In the literature of the exploration of the Antarctic in the early 20th century, there are many references to 'medical comforts'. While 'medical comforts' was sometimes used as a euphemism for alcoholic beverages, the term, which originated in the army, covered all foods and drinks used for the treatment and prevention of illness and during convalescence. This article describes the use of medical comforts during the Antarctic expeditions of the so called 'heroic age'. Apart from alcohol, medical comforts included beef extracts, milk extracts and arrowroot. These products were extensively advertised to the medical and nursing professions and to the general public and the Antarctic connection was sometimes used in the advertising. The products were largely devoid of vitamins and their use may have contributed to some of the disease that occurred on these expeditions.</t>
  </si>
  <si>
    <t>Derriford Hosp, British Antarctic Survey, Med Unit, Plymouth PL6 8DH, Devon, England</t>
  </si>
  <si>
    <t>Derriford Hospital; UK Research &amp; Innovation (UKRI); Natural Environment Research Council (NERC); NERC British Antarctic Survey</t>
  </si>
  <si>
    <t>Guly, HR (corresponding author), Derriford Hosp, British Antarctic Survey, Med Unit, Plymouth PL6 8DH, Devon, England.</t>
  </si>
  <si>
    <t>hguly@aol.com</t>
  </si>
  <si>
    <t>Wellcome Trust; NERC [bas010011, bas010013] Funding Source: UKRI</t>
  </si>
  <si>
    <t>Wellcome Trust(Wellcome Trust); NERC(UK Research &amp; Innovation (UKRI)Natural Environment Research Council (NERC))</t>
  </si>
  <si>
    <t>This research was funded by the Wellcome Trust which gave me a Short Term Research Award in the History of Medicine for Clinicians and Scientists for a research project 'Medicine during the Heroic Age of Antarctic exploration'.</t>
  </si>
  <si>
    <t>10.1017/S0032247411000799</t>
  </si>
  <si>
    <t>105KV</t>
  </si>
  <si>
    <t>WOS:000316068900003</t>
  </si>
  <si>
    <t>Harrowfield, DL</t>
  </si>
  <si>
    <t>Harrowfield, David L.</t>
  </si>
  <si>
    <t>The British Imperial Antarctic Expedition 1920-1922: Paradise Harbour, Antarctic Peninsula</t>
  </si>
  <si>
    <t>On 12 January 1921 the British Imperial Antarctic Expedition 1920-1922 led by 27 year old Cambridge graduate John Lachlan Cope, arrived at Paradise Harbour situated west of Andvord Bay on the Danco Coast, Graham Land. The four-man party was landed by Norwegian whalers, on a small island with a promontory they named 'Waterboat Point' now Waterboat Point (64 degrees 49'S, 62 degrees 52'E), because of an abandoned water-boat there. Fortunately ready accommodation was available in the boat and to this were attached cases of provisions to form an improvised hut with an extension added before winter. Cope and Wilkins his deputy leader stayed just six weeks and after helping to build the hut, in effect abandoned the other two members of the expedition, Bagshawe and Lester. The two men voluntarily remained and in the belief that they would be paid, vigorously pursued a varied scientific programme. Although lacking essential items including certain scientific instruments, they were comparatively well off until relieved by Norwegian whalers in January 1922. The expedition that lasted one year and a day and was supported logistically by Norwegian whalers, became the smallest British expedition to overwinter in Antarctica and was the only expedition at that time. Bagshawe and Lester produced an impressive record of observations in meteorology, biology, oceanography, glaciology, botany and geology. In 1951 when Chile established Presidente Gonzalez Videla Station, remains of the water-boat and hut were present, but today little evidence remains of the site destroyed by natural processes, human intervention and buried by guano. With exception of a few papers and chapters in books, Two men in the Antarctic (Bagshawe 1939) remains the definitive work on this generally forgotten expedition. For this paper primary resources have focused on original manuscripts. Although much material including financial records if indeed they existed, has been lost, surviving documents provide insights into the expedition. Reasons for the eventual loss of Bagshawe and Lester's field station are discussed.</t>
  </si>
  <si>
    <t>Harrowfield, DL (corresponding author), Polar Room,23 Leven St, Oamaru 9400, North Otago, New Zealand.</t>
  </si>
  <si>
    <t>d.harrowfield@xtra.co.nz</t>
  </si>
  <si>
    <t>10.1017/S0032247412000101</t>
  </si>
  <si>
    <t>WOS:000316068900004</t>
  </si>
  <si>
    <t>Tammiksaar, E; Kiik, T</t>
  </si>
  <si>
    <t>Tammiksaar, Erki; Kiik, Tarmo</t>
  </si>
  <si>
    <t>Origins of the Russian Antarctic expedition: 1819-1821</t>
  </si>
  <si>
    <t>In 1819, the Russian government launched two expeditions: the first squadron of two ships departed to explore the southern polar areas, and the second set out for the northern polar areas. The expedition to the southern polar areas took place under the command of Fabian Gottlieb von Bellingshausen. Up to the present day, very little information is available, from the Russian literature, about the initiator and main goals of the expedition. At the same time, the travels and main results of the expedition have been widely popularised, but not necessarily accurately, in Russian as well as in English. On the basis of recently discovered documents, this article attempts to establish who the initiator of these Russian expeditions was, how the expeditions were prepared, and whether the main tasks of the expeditions were realised. The conclusion is that Jean-Baptiste Prevost de Sansac, Marquis de Traversay was the initiator of the Russian Antarctic expedition, not the Russian navigators Adam Johan von Krusenstern, Otto von Kotzebue, Gavrila A. Sarychev or Vasilii M. Golovnin as stated in Soviet publications. The real aim of the expedition was to discover the Antarctic continent which would have added glory to de Traversay as well as to Emperor Alexander I and, in a wider sense, also to the Russian empire. All dates are given according to the old style calendar. The difference with the new style calendar is 12 days.</t>
  </si>
  <si>
    <t>[Tammiksaar, Erki] Estonian Univ Life Sci, Ctr Sci Studies, EE-51005 Tartu, Estonia; [Tammiksaar, Erki; Kiik, Tarmo] Univ Tartu, Dept Geog, EE-51014 Tartu, Estonia</t>
  </si>
  <si>
    <t>Estonian University of Life Sciences; University of Tartu</t>
  </si>
  <si>
    <t>Tammiksaar, E (corresponding author), Estonian Univ Life Sci, Ctr Sci Studies, Baer House,Veski 4, EE-51005 Tartu, Estonia.</t>
  </si>
  <si>
    <t>erki.tammiksaar@emu.ee</t>
  </si>
  <si>
    <t>Tammiksaar, Erki/H-3465-2016</t>
  </si>
  <si>
    <t>Estonian Science Foundation [7381]; Estonian Ministry of Education [SF0180049s09]</t>
  </si>
  <si>
    <t>Estonian Science Foundation; Estonian Ministry of Education</t>
  </si>
  <si>
    <t>This article was supported by Estonian Science Foundation Grant No 7381 and Estonian Ministry of Education Grant No SF0180049s09. The authors wish to thank Valentin G. Smirnov and Jean-Claude Beetschen for help in deciphering several materials in French, and translating them into English, Dmitri Kopelev for the portrait of de Traversay and Zentralbibliothek in Zurich for sending us Horner's letters. We are also grateful to Rip Bulkeley for valuable comments and sending the original English version of Cook's second voyage round the world. For the translation of the text into English and linguistic corrections, we would like to express our thanks to Maie Roos.</t>
  </si>
  <si>
    <t>10.1017/S0032247412000113</t>
  </si>
  <si>
    <t>WOS:000316068900008</t>
  </si>
  <si>
    <t>Stefenon, VM; Roesch, LFW; Pereira, AB</t>
  </si>
  <si>
    <t>Stefenon, V. M.; Roesch, L. F. W.; Pereira, A. B.</t>
  </si>
  <si>
    <t>Thirty years of Brazilian research in Antarctica: ups, downs and perspectives</t>
  </si>
  <si>
    <t>SCIENTOMETRICS</t>
  </si>
  <si>
    <t>Antarctic continent; Bibliometric analysis; Relative growth rate; Financial support; Public policies</t>
  </si>
  <si>
    <t>ECOLOGICAL RESEARCH; PENINSULA; VOLUME; ISLAND</t>
  </si>
  <si>
    <t>The Antarctic continent is the most untouched region of the world but is also among the most vulnerable to global environmental change. Alterations to the Antarctic environment can have cascading effects many of which are unpredictable. Our objective was to investigate the contribution of Brazilian scientists to Antarctic research and to characterize the actions taken by the country to improve its scientific output and its international impact in this area. Scientific publications related to Antarctica, released from 1981 to 2011 were searched using three important science data bases. The data were used to determine the absolute increase and the relative growth rate of publications in order to characterize the contribution of Brazil to the world's scientific understanding of Antarctica. The number of publications revealed an undersized contribution of the Brazilian science to the world's publications about Antarctica. However, over the last 30 years there has been a substantial increase in the number of publications associated with governmental financial policies. As in other countries, Brazil's most significant scientific contributions regarding the Antarctic continent are in the biological sciences. Therefore, public policies should maintain the current official support, while the research groups should pay attention to strategic scientific and technological areas still uncovered in the Antarctic research.</t>
  </si>
  <si>
    <t>[Stefenon, V. M.; Roesch, L. F. W.; Pereira, A. B.] Univ Fed Pampa, Natl Inst Sci &amp; Technol Antarctic Environm Res IN, BR-97300000 Sao Gabriel, RS, Brazil</t>
  </si>
  <si>
    <t>Universidade Federal do Pampa</t>
  </si>
  <si>
    <t>Stefenon, VM (corresponding author), Univ Fed Pampa, Natl Inst Sci &amp; Technol Antarctic Environm Res IN, Campus Sao Gabriel,Av Antonio Trilha 1847, BR-97300000 Sao Gabriel, RS, Brazil.</t>
  </si>
  <si>
    <t>valdirstefenon@unipampa.edu.br</t>
  </si>
  <si>
    <t>Stefenon, Valdir Marcos/C-3497-2013; Stefenon, Valdir Marcos/L-7125-2013; Pereira, Antonio/AAD-5703-2019; Roesch, Luiz/GRS-4638-2022; Pereira, Antonio B/I-8201-2014</t>
  </si>
  <si>
    <t>Stefenon, Valdir Marcos/0000-0003-1091-700X; Roesch, Luiz/0000-0003-1450-8828; Pereira, Antonio B/0000-0003-0368-4594</t>
  </si>
  <si>
    <t>Brazilian Antarctic Program through CNPq [574018/2008]; FAPERJ [E-26/170.023/2008]; Ministry of Environment-MMA; Ministry of Science and Technology-MCT; CIRM</t>
  </si>
  <si>
    <t>Brazilian Antarctic Program through CNPq; FAPERJ(Fundacao Carlos Chagas Filho de Amparo a Pesquisa do Estado do Rio De Janeiro (FAPERJ)); Ministry of Environment-MMA(Ministry of Health-Singapore); Ministry of Science and Technology-MCT; CIRM(California Institute for Regenerative Medicine)</t>
  </si>
  <si>
    <t>The authors were supported by the Brazilian Antarctic Program through the CNPq (process 574018/2008), FAPERJ (process E-26/170.023/2008), Ministry of Environment-MMA, Ministry of Science and Technology-MCT and CIRM.</t>
  </si>
  <si>
    <t>0138-9130</t>
  </si>
  <si>
    <t>Scientometrics</t>
  </si>
  <si>
    <t>10.1007/s11192-012-0809-3</t>
  </si>
  <si>
    <t>Computer Science, Interdisciplinary Applications; Information Science &amp; Library Science</t>
  </si>
  <si>
    <t>Computer Science; Information Science &amp; Library Science</t>
  </si>
  <si>
    <t>105DO</t>
  </si>
  <si>
    <t>WOS:000316046000021</t>
  </si>
  <si>
    <t>Roy, AS; Frisch, AJ; Syms, C; Thorrold, SR; Jones, GP</t>
  </si>
  <si>
    <t>Roy, Alexandra-Sophie; Frisch, Ashley J.; Syms, Craig; Thorrold, Simon R.; Jones, Geoffrey P.</t>
  </si>
  <si>
    <t>Retention of a transgenerational marker (137Barium) in tissues of adult female anemonefish and assessment of physiological stress</t>
  </si>
  <si>
    <t>ENVIRONMENTAL BIOLOGY OF FISHES</t>
  </si>
  <si>
    <t>Amphiprion melanopus; Coral reef fish; Larval tagging; Batch marking; Otolith microchemistry; Plasma cortisol</t>
  </si>
  <si>
    <t>CORAL-REEF FISH; TROUT PLECTROPOMUS-LEOPARDUS; MARINE POPULATIONS; STABLE-ISOTOPES; CONNECTIVITY; RESPONSES; RESERVES; MARKING; WATER; MANAGEMENT</t>
  </si>
  <si>
    <t>Recently it was shown that female fish injected with enriched stable isotopes maternally transmit a chemical signature to larval otoliths. Validation of this larval marking technique requires laboratory experiments to determine appropriate injection concentrations and to assess any negative effects on larval and adult condition. This study investigated the temporal profile of (137)barium assimilation and retention in tissues of adult female anemonefish Amphiprion melanopus (Pomacentridae) following intraperitoneal injection with either 2 or 4 mu g Ba-137 g(-1) body mass. Mean barium isotope ratios (Ba-138:Ba-137) in the two groups of treated fish were not significantly different from each other, but were significantly different from those in the control group up to 56 days post-injection. This pattern of Ba-137 retention was consistent across gonad, muscle, liver and bone tissues. Mean plasma cortisol concentration (an indicator of non-specific physiological stress) was not significantly different among groups and was considered to be representative of unstressed fish. Together, these results indicate that (1) A. melanopus suffer minimal physiological stress and cope well after treatment with Ba-137, (2) Ba-137 is retained in female A. melanopus for a prolonged period (at least 56 days), such that multiple clutches of offspring are likely to be marked with an isotopic signature, and (3) a lower dosage of 2 mu g Ba-137 g(-1) appears sufficient for transgenerational marking. It is concluded that Ba-137 is suitable for use as a transgenerational marker and is a powerful tool to resolve long-standing enigmas such as larval dispersal distances and the fishery benefits of marine reserves.</t>
  </si>
  <si>
    <t>[Roy, Alexandra-Sophie; Frisch, Ashley J.; Jones, Geoffrey P.] James Cook Univ, ARC Ctr Excellence Coral Reef Studies, Townsville, Qld 4811, Australia; [Roy, Alexandra-Sophie; Frisch, Ashley J.; Jones, Geoffrey P.] James Cook Univ, Sch Marine &amp; Trop Biol, Townsville, Qld 4811, Australia; [Syms, Craig] Inst Marine &amp; Antarctic Sci, Hobart, Tas 7001, Australia; [Thorrold, Simon R.] Woods Hole Oceanog Inst, Dept Biol, Woods Hole, MA 02543 USA; [Roy, Alexandra-Sophie] Helmholz Zentrum Ozeanforsch Kiel, GEOMAR, Kiel, Germany</t>
  </si>
  <si>
    <t>James Cook University; James Cook University; Woods Hole Oceanographic Institution; Helmholtz Association; GEOMAR Helmholtz Center for Ocean Research Kiel</t>
  </si>
  <si>
    <t>Roy, AS (corresponding author), Helmholz Zentrum Ozeanforsch Kiel, GEOMAR, Kiel, Germany.</t>
  </si>
  <si>
    <t>sroy@geomar.de</t>
  </si>
  <si>
    <t>Syms, Craig/AAC-6066-2020; Jones, Geoffrey P./E-9306-2010; Thorrold, Simon/B-7565-2012</t>
  </si>
  <si>
    <t>Syms, Craig/0000-0002-6394-2607; Jones, Geoffrey P./0000-0002-6244-1245; Thorrold, Simon/0000-0002-1533-7517</t>
  </si>
  <si>
    <t>Australian Research Council Centre of Excellence for Coral Reef Studies; Division Of Ocean Sciences; Directorate For Geosciences [0928442] Funding Source: National Science Foundation; Division Of Ocean Sciences; Directorate For Geosciences [1031256] Funding Source: National Science Foundation</t>
  </si>
  <si>
    <t>Australian Research Council Centre of Excellence for Coral Reef Studies(Australian Research Council); Division Of Ocean Sciences; Directorate For Geosciences(National Science Foundation (NSF)NSF - Directorate for Geosciences (GEO)); Division Of Ocean Sciences; Directorate For Geosciences(National Science Foundation (NSF)NSF - Directorate for Geosciences (GEO))</t>
  </si>
  <si>
    <t>Funding for this work was provided by the Australian Research Council Centre of Excellence for Coral Reef Studies. The authors are grateful for logistical support provided by S. Weaver, G. Duffin and J. Morrison at the Marine and Aquaculture Research Facilities Unit, Yi Hu at the Advanced Analytical Centre, and N. Pankhurst at the Fish Endocrinology Laboratory, James Cook University. Technical assistance from D. Lemke and K. Markey was also greatly appreciated. This research was undertaken with permission from the James Cook University Animal Ethics Review Committee (approval no. A1134).</t>
  </si>
  <si>
    <t>0378-1909</t>
  </si>
  <si>
    <t>ENVIRON BIOL FISH</t>
  </si>
  <si>
    <t>Environ. Biol. Fishes</t>
  </si>
  <si>
    <t>10.1007/s10641-012-0029-y</t>
  </si>
  <si>
    <t>099BW</t>
  </si>
  <si>
    <t>WOS:000315595200004</t>
  </si>
  <si>
    <t>Godard, G; Palmeri, R</t>
  </si>
  <si>
    <t>Godard, G.; Palmeri, R.</t>
  </si>
  <si>
    <t>High-pressure metamorphism in Antarctica from the Proterozoic to the Cenozoic: A review and geodynamic implications</t>
  </si>
  <si>
    <t>GONDWANA RESEARCH</t>
  </si>
  <si>
    <t>Antarctica; Eclogite; Garnet peridotite; Blueschist-facies rocks; Rodinia; Gondwana; Nimrod-Kimban Orogen; Grenvillian Orogen; Pan-African Orogen; Ross-Delamerian Orogen; Andean Orogen</t>
  </si>
  <si>
    <t>NORTHERN-VICTORIA-LAND; SOUTH SHETLAND ISLANDS; ECLOGITE-FACIES METAMORPHISM; LANTERMAN RANGE ANTARCTICA; EAST-AFRICAN OROGEN; DRONNING-MAUD-LAND; GEORGE-V-LAND; ENDERBY-LAND; ROSS OROGEN; TRANSANTARCTIC MOUNTAINS</t>
  </si>
  <si>
    <t>The survey of high-P metamorphic rocks in Antarctica can help clarify the geodynamic evolution of the continent by pointing out palaeo-suture zones and constraining the age of subduction and collision events. There are eclogite-facies rocks along the eastern margin of the 'Mawson block' (e.g., in the Nimrod Glacier region and George V Land). Some of these have been long forgotten (George V Land; Eyre Peninsula in Australia). Stillwell (1918) described rocks from George V Land containing glaucophane, lawsonite, garnet coronas and symplectites possibly after omphadte. These high-P rocks were apparently involved in the Nimrod-Kimban erogenic cycle and therefore provide a record of convergence along the eastern margin of the Mawson block at similar to 1700 Ma; they could represent one of the oldest blueschist-facies imprint. Many terranes in East Antarctica underwent a tectonometamorphic evolution during the Grenvillian (1300-900 Ma) and/or the Pan-African (600-500 Ma) orogenies, corresponding to the amalgamation of Rodinia and Gondwana, respectively. High-P relicts have been described or are suspected to occur in these terranes. Garnet-bearing coronitic metagabbros, in some cases possibly containing omphacite, are common in Dronning Maud Land and the Rayner Complex. They formed under high-P granulite-facies or edogite-fades conditions and recall similar metabasites from the Grenville mobile belt of Canada. Note that some reconstructions of the Rodinia supercontinent consider these two Antarctic regions as an extension of the Grenvillian belt of Canada. Other eclogite-facies metamorphic rocks and ophiolites (Shackleton Range and possibly Sverdrupfjella) belong to the Pan-African mobile belt extending from Tanzania to East Antarctica. Since the Cambrian, the terranes of West Antarctica have been accreted along the palaeo-Pacific margin of Gondwana/Antarctica during several subduction-accretion orogenies. The ultrahigh-P metamorphic rocks of Northern Victoria Land formed through the accretion of an arc-backarc system during the Cambrian-Ordovician Ross orogeny; eclogites of the same orogeny also exist in Tasmania and Australia. Lastly, on the western edge of the Antarctic Peninsula, the Mesozoic-Cenozoic Andean orogeny generated a subduction-accretionary complex containing blueschist-facies rocks. (C) 2012 International Association for Gondwana Research. Published by Elsevier B.V. All rights reserved.</t>
  </si>
  <si>
    <t>[Godard, G.] Univ Paris Diderot, Inst Phys Globe, UMR 7154 CNRS, F-75252 Paris, France; [Palmeri, R.] Univ Siena, Museo Nazl Antartide, I-53100 Siena, Italy</t>
  </si>
  <si>
    <t>Centre National de la Recherche Scientifique (CNRS); CNRS - National Institute for Earth Sciences &amp; Astronomy (INSU); Universite Paris Cite; University of Siena</t>
  </si>
  <si>
    <t>Godard, G (corresponding author), Univ Paris Diderot, Inst Phys Globe, UMR 7154 CNRS, F-75252 Paris, France.</t>
  </si>
  <si>
    <t>godard@ipgp.fr</t>
  </si>
  <si>
    <t>1342-937X</t>
  </si>
  <si>
    <t>1878-0571</t>
  </si>
  <si>
    <t>GONDWANA RES</t>
  </si>
  <si>
    <t>Gondwana Res.</t>
  </si>
  <si>
    <t>10.1016/j.gr.2012.07.012</t>
  </si>
  <si>
    <t>098IS</t>
  </si>
  <si>
    <t>WOS:000315543400002</t>
  </si>
  <si>
    <t>Stehfest, KM; Patterson, TA; Dagorn, L; Holland, KN; Itano, D; Semmens, JM</t>
  </si>
  <si>
    <t>Stehfest, Kilian M.; Patterson, Toby A.; Dagorn, Laurent; Holland, Kim N.; Itano, David; Semmens, Jayson M.</t>
  </si>
  <si>
    <t>Network analysis of acoustic tracking data reveals the structure and stability of fish aggregations in the ocean</t>
  </si>
  <si>
    <t>ANIMAL BEHAVIOUR</t>
  </si>
  <si>
    <t>acoustic tagging; aggregation; association; collective motion; co-occurrence; fishery; Hawai'i; network analysis; Thunnus albacares; yellowfin tuna</t>
  </si>
  <si>
    <t>TUNA THUNNUS-ALBACARES; YELLOWFIN TUNA; KATSUWONUS-PELAMIS; SKIPJACK TUNA; SOCIAL-ORGANIZATION; HABITAT UTILIZATION; MOVEMENT PATTERNS; FLOATING OBJECTS; PACIFIC-OCEAN; HOME-RANGE</t>
  </si>
  <si>
    <t>Aggregations in the distribution of individuals are an almost universal phenomenon in living organisms. Groups of animals that display collective coordinated movement without forming stable social bonds such as fish schools are a special type of aggregation. In tropical tuna fisheries, aggregating behaviour is directly exploited through the use of artificial fish aggregating devices (FADs). Hence, understanding the dynamics of schooling behaviour and the potential impacts of FADs upon it may have ramifications for tuna management. As a novel way of quantifying spatiotemporal co-occurrences of animals, we applied network statistics to acoustic tracking data to identify the co-occurrences of individual yellowfin tuna, Thunnus albacares, in an array of FADs and determine the frequency and temporal dynamics of these co-occurrences. We observed large interannual variation in movement rates of tuna between FADs, and corresponding interannual variability in the mean number of spatiotemporal associates for each individual as well as the temporal stability of associations. When movement rates were high, associations within FAD aggregations decayed to randomness three times faster than when movement rates were lower. This raises the possibility that if FADs are sufficiently close for fish to perform frequent betweenFAD movements, school mixing may be increased and cohesion reduced. (C) 2013 The Association for the Study of Animal Behaviour. Published by Elsevier Ltd. All rights reserved.</t>
  </si>
  <si>
    <t>[Stehfest, Kilian M.; Semmens, Jayson M.] Univ Tasmania, Inst Marine &amp; Antarctic Studies, Hobart, Tas, Australia; [Stehfest, Kilian M.; Patterson, Toby A.] CSIRO Wealth Oceans Natl Res Flagship, Hobart, Tas, Australia; [Dagorn, Laurent] IRD, Victoria, Seychelles; [Holland, Kim N.; Itano, David] Univ Hawaii, Hawaiian Inst Marine Biol, Kaneohe, HI USA</t>
  </si>
  <si>
    <t>University of Tasmania; Commonwealth Scientific &amp; Industrial Research Organisation (CSIRO); Institut de Recherche pour le Developpement (IRD); University of Hawaii System</t>
  </si>
  <si>
    <t>Stehfest, KM (corresponding author), IMAS Taroona, Taroona, Tas 7053, Australia.</t>
  </si>
  <si>
    <t>Kilian.Stehfest@utas.edu.au</t>
  </si>
  <si>
    <t>Patterson, Toby A/B-3836-2011; Dagorn, Laurent/K-1002-2016; Holland, Kim/ABH-1490-2021</t>
  </si>
  <si>
    <t>Semmens, Jayson/0000-0003-1742-6692; Patterson, Toby/0000-0002-7150-9205; Stehfest, Kilian/0000-0002-6371-9296</t>
  </si>
  <si>
    <t>Joint Institute for Marine and Atmospheric Research (JIMAR) [NA17RS1230]; National Oceanographic and Atmospheric Administration (NOAA) [NA17RS1230]; Commission of the European Communities, specific RTD programme of Framework Programme 7 through the research project MADE (Mitigating adverse ecological impacts of open ocean fisheries) [210496]</t>
  </si>
  <si>
    <t>Joint Institute for Marine and Atmospheric Research (JIMAR); National Oceanographic and Atmospheric Administration (NOAA)(National Oceanic Atmospheric Admin (NOAA) - USA); Commission of the European Communities, specific RTD programme of Framework Programme 7 through the research project MADE (Mitigating adverse ecological impacts of open ocean fisheries)(European Union (EU))</t>
  </si>
  <si>
    <t>We thank the Holsworth Wildlife Research Endowment. This research was partly funded by Cooperative Agreement number NA17RS1230 between the Joint Institute for Marine and Atmospheric Research (JIMAR) and the National Oceanographic and Atmospheric Administration (NOAA). The views expressed herein are those of the authors and do not necessarily reflect the views of NOAA or any of its subagencies. This research also received financial support from the Commission of the European Communities, specific RTD programme of Framework Programme 7, 'Theme 2 - Food, Agriculture, Fisheries and Biotechnology', through the research project MADE (Mitigating adverse ecological impacts of open ocean fisheries), contract no. 210496. This work does not necessarily reflect the Commission's views and in no way anticipates its future policy in this area. Alistair Hobday gave valuable comments on the manuscript. We thank the anonymous referees and Editor for their valuable comments.</t>
  </si>
  <si>
    <t>0003-3472</t>
  </si>
  <si>
    <t>1095-8282</t>
  </si>
  <si>
    <t>ANIM BEHAV</t>
  </si>
  <si>
    <t>Anim. Behav.</t>
  </si>
  <si>
    <t>10.1016/j.anbehav.2013.02.003</t>
  </si>
  <si>
    <t>Behavioral Sciences; Zoology</t>
  </si>
  <si>
    <t>114FQ</t>
  </si>
  <si>
    <t>WOS:000316726900019</t>
  </si>
  <si>
    <t>Benayas, J; Pertierra, L; Tejedo, P; Lara, F; Bermudez, O; Hughes, KA; Quesada, A</t>
  </si>
  <si>
    <t>Benayas, J.; Pertierra, L.; Tejedo, P.; Lara, F.; Bermudez, O.; Hughes, K. A.; Quesada, A.</t>
  </si>
  <si>
    <t>A review of scientific research trends within ASPA No. 126 Byers Peninsula, South Shetland Islands, Antarctica</t>
  </si>
  <si>
    <t>climate; geology; limnology; Livingston Island; palaeontology; protected areas; terrestrial biodiversity</t>
  </si>
  <si>
    <t>CERRO-NEGRO FORMATION; TERRESTRIAL ARTHROPOD FAUNA; FRESH-WATER ECOSYSTEMS; LIVINGSTON-ISLAND; COMMUNITY STRUCTURE; NITROGEN DYNAMICS; GLACIAL HISTORY; TERTIARY WOOD; SP NOV.; MARITIME</t>
  </si>
  <si>
    <t>Byers Peninsula, Livingston Island, was one of the first sites in Antarctica designated for environmental conservation and scientific protection. Research on Byers Peninsula has been predominantly international, with 88 indexed publications (93% of them published during last 20 years) from 209 authors affiliated to 110 institutions from 22 nations, all of which are signatories to the Antarctic Treaty. Palaeontological research represented 20% of the published articles. The variety of freshwater bodies within the area has made Byers Peninsula a reference site for limnological studies (24% of papers). The site also contains numerous outcrops and periglacial features relevant to geology, stratigraphy and geomorphology (29%). Terrestrial biodiversity is extraordinarily high for lichens, bryophytes and invertebrates (15% of articles). Only 5% of the publications concern research on human activities, including both archaeology and impact monitoring. Glaciology, meteorology and climatology studies represent only 7% of papers. This work highlights the international and multidisciplinary nature of science conducted on Byers Peninsula in order to promote international cooperation and to provide information relevant for environmental management and conservation.</t>
  </si>
  <si>
    <t>[Benayas, J.; Pertierra, L.; Tejedo, P.] Univ Autonoma Madrid, Dpto Ecol, E-28049 Madrid, Spain; [Lara, F.; Quesada, A.] Univ Autonoma Madrid, Dpto Biol, E-28049 Madrid, Spain; [Bermudez, O.] Inst Geol &amp; Minero Espana, Ctr Nacl Datos Polares, Madrid 28003, Spain; [Hughes, K. A.] British Antarctic Survey, NERC, Cambridge CB3 0ET, England</t>
  </si>
  <si>
    <t>Autonomous University of Madrid; Autonomous University of Madrid; UK Research &amp; Innovation (UKRI); Natural Environment Research Council (NERC); NERC British Antarctic Survey</t>
  </si>
  <si>
    <t>Hughes, Kevin/JVZ-0793-2024; Pertierra, Luis R./K-3727-2017; Tejedo, Pablo/A-7163-2010; Lara Garcia, Francisco/I-3003-2014; Quesada, Antonio/L-2430-2013; Benayas Del Alamo, Fco. Javier/E-5663-2017</t>
  </si>
  <si>
    <t>Pertierra, Luis R./0000-0002-2232-428X; Tejedo, Pablo/0000-0002-1865-0445; Lara Garcia, Francisco/0000-0002-1665-5277; Quesada, Antonio/0000-0002-8913-5993; Benayas Del Alamo, Fco. Javier/0000-0002-5906-9569</t>
  </si>
  <si>
    <t>Spanish Government [REN2000-0435-ANT, REN2002-11617-E, CGL2004-20451-E, CGL2005/06549/02/01-ANT, POL2006-06635, CGL2007-28761-E/ANT, CTM2009-06604-E, CTM2010-11613-E]; Ministerio de Ciencia e Innovacion (Spain) [CTM2011-12973-E]; Natural Environment Research Council [bas0100025] Funding Source: researchfish; NERC [bas0100025] Funding Source: UKRI</t>
  </si>
  <si>
    <t>Spanish Government(Spanish Government); Ministerio de Ciencia e Innovacion (Spain)(Spanish Government); Natural Environment Research Council(UK Research &amp; Innovation (UKRI)Natural Environment Research Council (NERC)); NERC(UK Research &amp; Innovation (UKRI)Natural Environment Research Council (NERC))</t>
  </si>
  <si>
    <t>This is a contribution of three projects: LIMNOPOLAR, EVA-ANTARCTICA and MIDAH. It was supported by the Spanish Government (REN2000-0435-ANT, REN2002-11617-E, CGL2004-20451-E, CGL2005/06549/02/01-ANT, POL2006-06635, CGL2007-28761-E/ANT, CTM2009-06604-E and CTM2010-11613-E). This article was published thanks to the financial support given by the Ministerio de Ciencia e Innovacion (Spain) with the grant ref. CTM2011-12973-E. The paper also contributes to the British Antarctic Survey Polar Science for Planet Earth (PSPE) Environment Office Long Term Monitoring and Survey project. Finally, we thank two anonymous reviewers for their useful comments.</t>
  </si>
  <si>
    <t>10.1017/S0954102012001058</t>
  </si>
  <si>
    <t>WOS:000316479700002</t>
  </si>
  <si>
    <t>de Pablo, MA; Blanco, JJ; Molina, A; Ramos, M; Quesada, A; Vieira, G</t>
  </si>
  <si>
    <t>de Pablo, M. A.; Blanco, J. J.; Molina, A.; Ramos, M.; Quesada, A.; Vieira, G.</t>
  </si>
  <si>
    <t>Interannual active layer variability at the Limnopolar Lake CALM site on Byers Peninsula, Livingston Island, Antarctica</t>
  </si>
  <si>
    <t>climate; hydrology; permafrost; South Shetland Islands; temperature</t>
  </si>
  <si>
    <t>MONITORING PERIGLACIAL PROCESSES; PERMAFROST; MARITIME; TEMPERATURES; LANDFORMS; ALASKA</t>
  </si>
  <si>
    <t>In order to monitor the evolution of the active layer in the South Shetland Islands, in February 2009 we established a new Circumpolar Active Layer Monitoring (CALM) site in the Limnopolar Lake basin on Byers Peninsula, Livingston Island. We monitored air, surface and ground (two boreholes of 135 and 80 cm deep) temperatures and Active Layer Thickness (ALT) was measured by mechanical probing in early February 2009, 2010 and 2011. The mean ALT was 44 cm with a range of about 92 cm, but where permafrost existed it was deeper than 1.0 m, as could be inferred from the borehole temperatures. ALT at this site was very dependent on air temperature and snow cover thickness, the ALT spatial distribution presenting the same pattern as soil penetration resistance, and higher values ALT coinciding with sites where patterned ground, ponds, and a near surface ground water saturation were observed. Additionally, ground temperature data provided an excellent tool for understanding the relationship between the ALT measured during the thaw season and the thermal evolution of the ground throughout the year.</t>
  </si>
  <si>
    <t>[de Pablo, M. A.] Univ Alcala, Dept Geol, Madrid 28871, Spain; [Blanco, J. J.; Ramos, M.] Univ Alcala, Dept Fis, Madrid 28871, Spain; [Molina, A.] Ctr Astrobiol CSIC INTA, Madrid 28850, Spain; [Quesada, A.] Univ Autonoma Madrid, Fac Biol, E-28049 Madrid, Spain; [Vieira, G.] Univ Lisbon, Ctr Estudos Geog, P-1600214 Lisbon, Portugal</t>
  </si>
  <si>
    <t>Universidad de Alcala; Universidad de Alcala; Consejo Superior de Investigaciones Cientificas (CSIC); CSIC - Centro de Astrobiologia (INTA); Autonomous University of Madrid; Universidade de Lisboa</t>
  </si>
  <si>
    <t>de Pablo, MA (corresponding author), Univ Alcala, Dept Geol, Madrid 28871, Spain.</t>
  </si>
  <si>
    <t>miguelangel.depablo@uah.es</t>
  </si>
  <si>
    <t>Ramos, Miguel/K-2230-2014; Avalos, Juan Jose Blanco/AAB-9447-2021; Molina, Antonio/AAE-1314-2020; Vieira, Goncalo/G-5958-2010; Blanco-Avalos, Juan Jose/E-3627-2014; De Pablo, Miguel Ángel/J-6442-2014; Quesada, Antonio/L-2430-2013</t>
  </si>
  <si>
    <t>Ramos, Miguel/0000-0003-3648-6818; Avalos, Juan Jose Blanco/0000-0002-8666-0696; Molina, Antonio/0000-0002-5038-2022; Vieira, Goncalo/0000-0001-7611-3464; Blanco-Avalos, Juan Jose/0000-0002-8666-0696; De Pablo, Miguel Ángel/0000-0002-4496-2741; Quesada, Antonio/0000-0002-8913-5993</t>
  </si>
  <si>
    <t>Science and Technology Ministry (Spain) [POL2006-006635, CTM2008-02042-E/ANT, CTM2009-10165, REN2000-0435-ANT]; Ministerio de Ciencia e Innovacion (Spain) [CTM2011-12973-E]</t>
  </si>
  <si>
    <t>Science and Technology Ministry (Spain)(Spanish Government); Ministerio de Ciencia e Innovacion (Spain)(Spanish Government)</t>
  </si>
  <si>
    <t>This research was possible thanks to POL2006-006635, CTM2008-02042-E/ANT, CTM2009-10165, and REN2000-0435-ANT projects, supported by Science and Technology Ministry (Spain). The authors thank the Spanish Polar Committee, the Spanish Army and crew of the Las Palmas Oceanographic Research and Logistical Ship, and the Maritime Technology Unit (UTM, CSIC) for their help that made the fieldwork on Byers Peninsula possible. Special thanks to the mountain guides, for their assistance during the fieldworks. This paper was published with the financial support of the grant CTM2011-12973-E from Ministerio de Ciencia e Innovacion (Spain)</t>
  </si>
  <si>
    <t>10.1017/S0954102012000818</t>
  </si>
  <si>
    <t>WOS:000316479700005</t>
  </si>
  <si>
    <t>Lyons, WB; Welch, KA; Welch, SA; Camacho, A; Rochera, C; Michaud, L; Dewit, R; Carey, AE</t>
  </si>
  <si>
    <t>Lyons, W. Berry; Welch, K. A.; Welch, S. A.; Camacho, A.; Rochera, C.; Michaud, L.; Dewit, R.; Carey, A. E.</t>
  </si>
  <si>
    <t>Geochemistry of streams from Byers Peninsula, Livingston Island</t>
  </si>
  <si>
    <t>Antarctic; freshwater; hydrology; lithology; South Shetland Islands</t>
  </si>
  <si>
    <t>SOUTH-SHETLAND-ISLANDS; TAYLOR VALLEY; WATER CHEMISTRY; SIGNY ISLAND; ANTARCTICA; RIVER; ASSEMBLAGES; ECOSYSTEMS; CATCHMENT; SEDIMENTS</t>
  </si>
  <si>
    <t>In January and February 2009, a series of water samples were collected from streams on Byers Peninsula. These samples were analysed for major elements and delta O-18 to determine the role of lithology and landscape position on stream geochemistry, and to understand better the hydrology (i.e. residence time of water) of these systems. Precipitation chemistry is enriched in Na+, as are the streams located close to the coast. Streams originating from inland locations have much higher percentages of Ca2+. In contrast, Mg2+ varied little, though streams that are in greater contact with volcanic-derived soils have slightly higher concentrations. Anion percentages varied greatly between streams with SO42- ranging from 5% to 45% of the anion composition. Dissolved Si concentrations as high as 141 mu M were observed. All these data suggest that active chemical weathering is occurring in this region. A time series over 13 days at one stream showed little variation in major element geochemistry. The delta O-18 of precipitation samples collected over this same period varied by similar to 10 parts per thousand while the majority of stream samples varied less than similar to 1.5 parts per thousand. These data indicate that the stream waters represent mixtures of precipitation events, melting snow and water from the subsurface that had gained solutes through chemical weathering.</t>
  </si>
  <si>
    <t>[Lyons, W. Berry; Welch, K. A.; Welch, S. A.; Carey, A. E.] Ohio State Univ, Sch Earth Sci &amp; Byrd Polar Res Ctr, Columbus, OH 43210 USA; [Camacho, A.; Rochera, C.] Univ Valencia, Inst Cavanilles Biodivers &amp; Evolutionary Biol, E-46100 Burjassot, Spain; [Michaud, L.] Univ Messina, I-98100 Messina, Italy; [Dewit, R.] Univ Montpellier, Montpellier, France</t>
  </si>
  <si>
    <t>University System of Ohio; Ohio State University; University of Valencia; University of Messina; Universite de Montpellier</t>
  </si>
  <si>
    <t>Lyons, WB (corresponding author), Ohio State Univ, Sch Earth Sci &amp; Byrd Polar Res Ctr, Columbus, OH 43210 USA.</t>
  </si>
  <si>
    <t>lyons.142@osu.edu</t>
  </si>
  <si>
    <t>Carey, Anne E./Q-9296-2019; De Wit, Rutger/KBD-4717-2024; Rochera, Carlos/M-2932-2014; Camacho, Antonio/I-3417-2015</t>
  </si>
  <si>
    <t>Rochera, Carlos/0000-0002-8294-4755; Welch, Susan/0000-0002-2890-0065; Camacho, Antonio/0000-0003-0841-2010; Welch, Kathleen/0000-0003-1028-3086; Carey, Anne E./0000-0002-0272-5254</t>
  </si>
  <si>
    <t>Spanish Ministry of Science and Technology [POL2006-06635, CGL2005-06549-C02-02/ANT]; US-NSF [OPP-ANT-0423595]; European FEDER funds; Ministerio de Ciencia e Innovacion (Spain) [CTM2011-12973-E]</t>
  </si>
  <si>
    <t>Spanish Ministry of Science and Technology(Spanish Government); US-NSF(National Science Foundation (NSF)); European FEDER funds(European Union (EU)); Ministerio de Ciencia e Innovacion (Spain)(Spanish Government)</t>
  </si>
  <si>
    <t>The senior author is greatly appreciative to the Spanish Antarctic Programme and especially Dr Antonio Quesada for allowing his participation in the IPY Byers Peninsula/Limnopolar Project (POL2006-06635) funded by the Spanish Ministry of Science and Technology. He also acknowledges the wonderful working atmosphere of the camp during his stay. Parts of the analytical work were supported by US-NSF grant OPP-ANT-0423595. Work by AC and CR was supported by the Spanish Ministry of Science and Technology through project CGL2005-06549-C02-02/ANT to AC, which was co-financed by European FEDER funds. We thank Bruce Vaughn and his group at INSTAAR for the delta18O analyses. This article was published thanks to the financial support given by the Ministerio de Ciencia e Innovacion (Spain) with the grant ref. CTM2011-12973-E. This manuscript is Byrd Polar Research Center contribution C-1422.</t>
  </si>
  <si>
    <t>10.1017/S0954102012000776</t>
  </si>
  <si>
    <t>WOS:000316479700006</t>
  </si>
  <si>
    <t>Velázquez, D; Lezcano, MA; Frias, A; Quesada, A</t>
  </si>
  <si>
    <t>Velazquez, David; Angeles Lezcano, Maria; Frias, Ana; Quesada, Antonio</t>
  </si>
  <si>
    <t>Ecological relationships and stoichiometry within a Maritime Antarctic watershed</t>
  </si>
  <si>
    <t>ecological stoichiometry; lichens; microbial mats; moss carpets; water catchment</t>
  </si>
  <si>
    <t>NITROGEN DYNAMICS; BYERS PENINSULA; NUTRIENT LIMITATION; LIVINGSTON ISLAND; MICROBIAL MATS; LAKES; TERRESTRIAL; ECOSYSTEMS; RESPONSES; CARBON</t>
  </si>
  <si>
    <t>During summer, ice-free areas are common in Maritime Antarctica, and vegetation and microbial communities frequently occur in the moist parts of catchments. In this paper, we present new data and evaluate the biomass, C, N, and P content of various types of vegetation, and the water catchment of an oligotrophic lake sited at Byers Peninsula, Livingston Island, South Shetland Islands. As the main results show, the total amount of C, N, and P contained in the organisms of the watershed is 144, 0.71 and 0.018 g m(-2), respectively. According to element contents, 98% of the biological C from the watershed is within mosses and microbial mats structures (79.1 and 19.0% respectively). Also, 98.7% of the N is partially distributed between moss carpets, microbial mats and lichens, 55.2, 43.5, and 3.37 x 10(-7)% respectively. On the other hand, 90.2% of P is within moss carpets structures. Nutrient pools in the communities of Limnopolar Lake itself are a minor component of the whole catchment.</t>
  </si>
  <si>
    <t>[Velazquez, David; Frias, Ana; Quesada, Antonio] Univ Autonoma Madrid, Dept Biol, E-28049 Madrid, Spain; [Angeles Lezcano, Maria] IMDEA Agua, Alcala De Henares 28805, Spain</t>
  </si>
  <si>
    <t>Autonomous University of Madrid</t>
  </si>
  <si>
    <t>Lezcano, María Ángeles/Y-7291-2018; Velazquez, David/M-2309-2017; Quesada, Antonio/L-2430-2013</t>
  </si>
  <si>
    <t>Lezcano, María Ángeles/0000-0001-8173-4388; Velazquez, David/0000-0002-4127-8370; Quesada, Antonio/0000-0002-8913-5993</t>
  </si>
  <si>
    <t>Ministerio de Ciencia e Innovacion (Spain) [CGL2005-06549-C02-01/ANT, CTM2011-12973-E]</t>
  </si>
  <si>
    <t>Ministerio de Ciencia e Innovacion (Spain)(Spanish Government)</t>
  </si>
  <si>
    <t>We are extremely grateful to all the members of the LIMNOPOLAR project. This work was funded by the Ministerio de Ciencia e Innovacion (Spain) through the grants CGL2005-06549-C02-01/ANT and CTM2011-12973-E. This project could not have been done without the generous help provided by the Unidad Tecnica Marina (UTM) and the Spanish Navy crew of Las Palmas. Also, the authors would like to thank and recognize the work of the two anonymous reviewers to improve the manuscript.</t>
  </si>
  <si>
    <t>10.1017/S0954102012000843</t>
  </si>
  <si>
    <t>WOS:000316479700007</t>
  </si>
  <si>
    <t>Toro, M; Granados, I; Pla, S; Giralt, S; Antoniades, D; Galan, L; Cortizas, AM; Lim, HS; Appleby, PG</t>
  </si>
  <si>
    <t>Toro, Manuel; Granados, Ignacio; Pla, Sergi; Giralt, Santiago; Antoniades, Dermot; Galan, Luis; Martinez Cortizas, Antonio; Lim, Hyoun Soo; Appleby, Peter G.</t>
  </si>
  <si>
    <t>Chronostratigraphy of the sedimentary record of Limnopolar Lake, Byers Peninsula, Livingston Island, Antarctica</t>
  </si>
  <si>
    <t>Cs-137 dating; deglaciation; Drepanocladus longifolius; Pb-210 dating; radiocarbon dating; tephrachronology</t>
  </si>
  <si>
    <t>SOUTH-SHETLAND-ISLANDS; CLIMATE HISTORY; TEPHRA; ICE; TEPHROCHRONOLOGY; REGION</t>
  </si>
  <si>
    <t>The chronostratigraphy of the sedimentary record of Limnopolar Lake, located on Byers Peninsula (Livingston Island, South Shetland Islands, Maritime Antarctica), is described based on radionuclides and radiocarbon age dating. The oldest moss macrofossil age was 6700 +/- 50 yr BP (7510 +/- 80 cal yr BP) from which the age/depth model estimates a basal age for the sedimentary record of c. 8300 cal yr BP, suggesting an earlier deglaciation of Byers Peninsula than reported in previous studies. Lithological units and other stratigraphic zones are described throughout the sediment core, showing different mineralogical composition and a fine alternation of clays and silty clays and moss layers of Drepanocladus longifolius. Based on magnetic susceptibility analyses, a number of probable primary and reworked tephra layers were identified, seven of them confirmed by SEM observations, and most of them in agreement with the regional tephrachronology stratigraphy for the north-west Antarctic Peninsula. Sedimentation rates showed no significant changes during the last 5000 years with the exception of an abrupt event that took place around 5400 cal yr BP, which implied the sedimentation of c. 30 cm of clays in a very short time, probably related to a period of glacial re-advance that caused abrupt changes in geomorphological processes in the catchment.</t>
  </si>
  <si>
    <t>[Toro, Manuel] Ctr Estudios Hidrog CEDEX, Madrid, Spain; [Granados, Ignacio] Ctr Invest &amp; Gest Puente Perdon, Rascafria 28740, Spain; [Pla, Sergi] CSIC CEAB, Biogeodynam &amp; Biodivers Grp, Blanes 17300, Spain; [Giralt, Santiago] Jaume Almera CSIC, Inst Earth Sci, Barcelona 08028, Spain; [Antoniades, Dermot] Univ Laval, Ctr Eudes Nord, Quebec City, PQ G1V 0A6, Canada; [Galan, Luis] IGME, Madrid 28003, Spain; [Martinez Cortizas, Antonio] Fac Biol, Dept Edafol &amp; Quim Agr, Santiago De Compostela 15782, Spain; [Lim, Hyoun Soo] Pusan Natl Univ, Dept Geol Sci, Pusan 609735, South Korea; [Appleby, Peter G.] Univ Liverpool, Dept Math Sci, Liverpool L69 3BX, Merseyside, England</t>
  </si>
  <si>
    <t>Consejo Superior de Investigaciones Cientificas (CSIC); CSIC - Centre d'Estudis Avancats de Blanes (CEAB); Consejo Superior de Investigaciones Cientificas (CSIC); CSIC - Geociencias Barcelona (GEO3BCN); Laval University; Universidade de Santiago de Compostela; Pusan National University; University of Liverpool</t>
  </si>
  <si>
    <t>Toro, M (corresponding author), Ctr Estudios Hidrog CEDEX, Paseo Bajo Virgen Puerto 3, Madrid, Spain.</t>
  </si>
  <si>
    <t>manuel.toro@cedex.es</t>
  </si>
  <si>
    <t>Giralt, Santiago/G-4823-2011; Lim, Hyoun Soo/AAC-5499-2022; Granados, Ignacio/A-3737-2013; Pla-Rabes, Sergi/J-9209-2012; Martínez-Cortizas, Antonio/M-6196-2015; Giralt, Santiago/AAA-8585-2020</t>
  </si>
  <si>
    <t>Giralt, Santiago/0000-0001-8570-7838; Lim, Hyoun Soo/0000-0002-2489-4470; Granados, Ignacio/0000-0002-8669-6613; Pla-Rabes, Sergi/0000-0003-3532-9466; Martínez-Cortizas, Antonio/0000-0003-0430-5760; Giralt, Santiago/0000-0001-8570-7838; Toro Velasco, Manuel/0000-0002-4860-7229; Antoniades, Dermot/0000-0001-6629-4839; Appleby, Peter/0000-0002-6945-1841</t>
  </si>
  <si>
    <t>Science and Technology Ministry (Spain) [REN2000-0435-ANT, CTM2009-07869-E/ANT, CSD2007-00067, CTM2011-12973-E]; Education and Culture Ministry (Spain) [POL2006-06635/CGL]; KOPRI (Korea Polar Research Institute) [PP12020]</t>
  </si>
  <si>
    <t>Science and Technology Ministry (Spain)(Spanish Government); Education and Culture Ministry (Spain); KOPRI (Korea Polar Research Institute)(Korea Polar Research Institute of Marine Research Placement (KOPRI))</t>
  </si>
  <si>
    <t>Field work was supported by grants REN2000-0435-ANT from the Science and Technology Ministry (Spain) and POL2006-06635/CGL from the Education and Culture Ministry (Spain) in the framework of the International Polar Year 2007-09 activities. Laboratory analyses were supported by grants CTM2009-07869-E/ANT and CSD2007-00067 from the Science and Innovation Ministry (Spain) and grant PP12020 from KOPRI (Korea Polar Research Institute). Publication expenses have been covered by grant CTM2011-12973-E from the Science and Innovation Ministry (Spain). A. Quesada, A. Justel and C. Rochera, from the Limnopolar Project team, helped with coring in 2003 and S. Fassnacht helped in 2008. UTM (Maritime Technology Unit, CSIC) and the captain and crew of the Spanish Navy ship Las Palmas provided us with the logistical support necessary for the expedition. We are grateful to Dominic Hodgson and Christian Hjort for insightful and constructive reviews of the manuscript.</t>
  </si>
  <si>
    <t>10.1017/S0954102012000788</t>
  </si>
  <si>
    <t>WOS:000316479700008</t>
  </si>
  <si>
    <t>Villaescusa, JA; Casamayor, EO; Rochera, C; Quesada, A; Michaud, L; Camacho, A</t>
  </si>
  <si>
    <t>Villaescusa, Juan A.; Casamayor, Emilio O.; Rochera, Carlos; Quesada, Antonio; Michaud, Luigi; Camacho, Antonio</t>
  </si>
  <si>
    <t>Heterogeneous vertical structure of the bacterioplankton community in a non-stratified Antarctic lake</t>
  </si>
  <si>
    <t>bacteria; biological stratification; maritime Antarctic lakes; vertical heterogeneity; 16S rRNA gene</t>
  </si>
  <si>
    <t>LIMNOLOGICAL CHARACTERISTICS; LIVINGSTON ISLAND; BYERS PENINSULA; BACTERIAL; ASSEMBLAGES; STABILITY; PREDATION; DYNAMICS; PLANKTON; PERIOD</t>
  </si>
  <si>
    <t>Bacterial community composition during summer was analysed in surface and bottom waters of the oligotrophic shallow (4.5 m) Lake Limnopolar (Livingston Island, South Shetland Islands, Antarctica), using 16S rRNA gene clone libraries and sequencing. Up to 61% of the 16S rDNA sequences found were closely related to sequences retrieved from lakes, glaciers or polar systems. The distribution of these sequences was not homogeneous, with vertical differences found in both bacterial taxa composition and isolation source of the closest match from GenBank. In the surface sample 86% of the sequences were related to bacteria found in soils, seawater or gut microbiota, probably explained by waterborne transport from the catchment, by wind through sea sprays, or local bird activity. Conversely, in the deep samples, 95% of the sequences were closer to bacteria typically described for lakes, glaciers or polar systems. The presence of benthic mosses covering the bottom of the lake favours a more stable deep layer leading to the existence of this biological heterogeneity through the water column, although the lake does not show physical-chemical stratification in summer. This study illustrates a strong influence of external factors on the microbial ecology of this model Antarctic lake.</t>
  </si>
  <si>
    <t>[Villaescusa, Juan A.; Rochera, Carlos; Camacho, Antonio] Univ Valencia, Dept Microbiol &amp; Ecol, E-46100 Burjassot, Spain; [Casamayor, Emilio O.] CEAB CSIC, E-17300 Blanes, Spain; [Quesada, Antonio] Univ Autonoma Madrid, Dept Biol, E-28049 Madrid, Spain; [Michaud, Luigi] Univ Messina, Dipartamento Biol Anim &amp; Ecol Marina, I-98122 Messina, Italy</t>
  </si>
  <si>
    <t>University of Valencia; Consejo Superior de Investigaciones Cientificas (CSIC); CSIC - Centre d'Estudis Avancats de Blanes (CEAB); Autonomous University of Madrid; University of Messina</t>
  </si>
  <si>
    <t>Camacho, A (corresponding author), Univ Valencia, Dept Microbiol &amp; Ecol, Edificio Invest Jeroni Munoz,Campus Burjassot, E-46100 Burjassot, Spain.</t>
  </si>
  <si>
    <t>Rochera, Carlos/M-2932-2014; Casamayor, Emilio/A-3676-2010; Camacho, Antonio/I-3417-2015; Quesada, Antonio/L-2430-2013</t>
  </si>
  <si>
    <t>Rochera, Carlos/0000-0002-8294-4755; Casamayor, Emilio/0000-0001-7074-3318; Camacho, Antonio/0000-0003-0841-2010; Quesada, Antonio/0000-0002-8913-5993</t>
  </si>
  <si>
    <t>Spanish Ministry of Education and Science [CGL2005-06549-C02-02/ANT]; European FEDER funds [CGL2005-06549-C02-01/ANT]; Spanish Ministry of Science and Innovation [CGL2007-29841-E, CTM2008-05205-E]; Ministerio de Ciencia e Innovacion (Spain) [CTM2011-12973-E]; [CGL2006-27884-E/ANT]</t>
  </si>
  <si>
    <t>Spanish Ministry of Education and Science(Spanish Government); European FEDER funds(European Union (EU)); Spanish Ministry of Science and Innovation(Spanish Government); Ministerio de Ciencia e Innovacion (Spain)(Spanish Government);</t>
  </si>
  <si>
    <t>This study was supported by the project CGL2005-06549-C02-02/ANT from the Spanish Ministry of Education and Science to AC, which was co-financed by European FEDER funds, and CGL2005-06549-C02-01/ANT to AQ. Part of the molecular analyses were funded by project CGL2006-27884-E/ANT to EOC. Support for travel costs was also obtained from grants CGL2007-29841-E and CTM2008-05205-E, given by the Spanish Ministry of Science and Innovation to AC. The authors are indebted to the colleagues of the LIMNOPOLAR research team for their support, as well as to the crew of the ship Las Palmas (Spanish Navy) and the Marine Technology Unit (UTM-CSIC) for logistic support. We also thank Prof Berry Lyons for his editing of the manuscript, as well as to two anonymous reviewers for their suggestions to improve the manuscript. We also acknowledge the Central Service for the Support to Experimental Research (SCSIE) from the University of Valencia for their assistance with some of the analyses. This article was published thanks to the financial support given by the Ministerio de Ciencia e Innovacion (Spain) with the grant ref. CTM2011-12973-E.</t>
  </si>
  <si>
    <t>10.1017/S0954102012000910</t>
  </si>
  <si>
    <t>WOS:000316479700011</t>
  </si>
  <si>
    <t>Kopalová, K; van de Vijver, B</t>
  </si>
  <si>
    <t>Kopalova, Katerina; van de Vijver, Bart</t>
  </si>
  <si>
    <t>Structure and ecology of freshwater benthic diatom communities from Byers Peninsula, Livingston Island, South Shetland Islands</t>
  </si>
  <si>
    <t>Bacillariophyta; lakes; Maritime Antarctic Region; streams</t>
  </si>
  <si>
    <t>KING-GEORGE ISLAND; JAMES-ROSS-ISLAND; LARSEMANN HILLS; BACILLARIOPHYCEAE; ANTARCTICA; LAKES; DIVERSITY; DISTANTES; REVISION; NUMBER</t>
  </si>
  <si>
    <t>Diatom and water chemistry samples were collected from 49 lakes, pools and rivers on Byers Peninsula (Livingston Island, South Shetland Islands) during the summer of 2009. A diverse diatom flora of 143 taxa was found. Fragilaria capucina s.l., Psammothidium papilio, Navicula dobrinatemniskovae and several Nitzschia taxa dominated the flora. The biogeographical analysis showed that more than 55% of all observed taxa presented a restricted Antarctic biogeographic distribution and only 30% had a cosmopolitan distribution, contrary to previously published data. Cluster analysis and Principal Components Analysis were used to classify the samples based on their chemical characteristics, revealing that nutrients and specific conductance were the main factors dividing the samples into four groups: young lakes, coastal lakes, larger lakes on the central plateau and smaller, temporary pools. Diatom communities corresponded well to this division and were strongly influenced by salinity and nutrients.</t>
  </si>
  <si>
    <t>[Kopalova, Katerina] Charles Univ Prague, Fac Sci, Dept Ecol, CR-12844 Prague 2, Czech Republic; [Kopalova, Katerina] Acad Sci Czech Republ, Inst Bot, Sect Plant Ecol, CS-37982 Trebon, Czech Republic; [van de Vijver, Bart] Natl Bot Garden Belgium, Dept Bryophyta &amp; Thallophyta, B-1860 Domein Van Bouchout, Belgium; [van de Vijver, Bart] Univ Antwerp, Dept Biol, B-2610 Antwerp, Belgium</t>
  </si>
  <si>
    <t>Charles University Prague; Czech Academy of Sciences; Institute of Botany of the Czech Academy of Sciences; University of Antwerp</t>
  </si>
  <si>
    <t>van de Vijver, B (corresponding author), Natl Bot Garden Belgium, Dept Bryophyta &amp; Thallophyta, B-1860 Domein Van Bouchout, Belgium.</t>
  </si>
  <si>
    <t>Kopalová, Kateřina/H-1598-2014; Kopalova, Katerina/M-6207-2017</t>
  </si>
  <si>
    <t>Kopalova, Katerina/0000-0002-7905-4268</t>
  </si>
  <si>
    <t>IPY-Limnopolar Project [POL2006-06635]; Ministerio de Ciencia e Innovacion (Spain) [CTM2011-12973-E]; FWO [G.0533.07]; Erasmus grant; [RVO 67985939]; [GA UK 394211]</t>
  </si>
  <si>
    <t>IPY-Limnopolar Project; Ministerio de Ciencia e Innovacion (Spain)(Spanish Government); FWO(FWO); Erasmus grant(Erasmus+); ;</t>
  </si>
  <si>
    <t>The authors wish to thank the participants of the January 2009 Byers Peninsula expedition for their assistance during the fieldwork. Samples were collected as part of the IPY-Limnopolar Project POL2006-06635. This article was published thanks to the financial support given by the Ministerio de Ciencia e Innovacion (Spain) with the grant ref. CTM2011-12973-E. The study was supported as a long-term research development project no. RVO 67985939 and project GA UK 394211. Part of this research was funded within the FWO project G.0533.07. Mrs K. Kopalova benefited from an Erasmus grant during her stay in Belgium. The staff of the Laboratory for Ecosystem Management (University of Antwerp, Belgium) is thanked for their help with the physicochemical analyses. Three reviewers are thanked for their very constructive remarks that greatly improved this paper.</t>
  </si>
  <si>
    <t>10.1017/S0954102012000764</t>
  </si>
  <si>
    <t>WOS:000316479700012</t>
  </si>
  <si>
    <t>Pla-Rabes, S; Toro, M; van de Vijver, B; Rochera, C; Villaescusa, JA; Camacho, A; Quesada, A</t>
  </si>
  <si>
    <t>Pla-Rabes, Sergi; Toro, Manuel; van de Vijver, Bart; Rochera, Carlos; Antonio Villaescusa, Juan; Camacho, Antonio; Quesada, Antonio</t>
  </si>
  <si>
    <t>Stability and endemicity of benthic diatom assemblages from different substrates in a maritime stream on Byers Peninsula, Livingston Island, Antarctica: the role of climate variability</t>
  </si>
  <si>
    <t>climate change; community turnover; disturbance; epilithon; hydrology; species association</t>
  </si>
  <si>
    <t>JAMES-ROSS-ISLAND; SOUTH SHETLAND ISLANDS; FRESH-WATER STREAM; DECEPTION ISLAND; DISTURBANCE; BACILLARIOPHYTA; ALGAE; ECOSYSTEMS; PERIPHYTON; TAXA</t>
  </si>
  <si>
    <t>Diatom assemblages from four different substrates from a stream on Byers Peninsula were analysed during the summer. The substrate type was the main factor explaining the variability in the diatom assemblages. Sandy biofilms showed a higher diversity and a greater number of endemic species. Two main hydrological regimes were observed: 1) a hydrologically unstable period with high variability in stream flow and successive freezing and thawing periods, 2) a late summer hydrologically stable period, characterized by low stream velocity and variability. The structure of the diatom communities was different between the two hydrological periods, although the substrate modulated the difference. The diatom assemblages showed low similarity among the substrates and high dominance of endemic species during early summer. The late summer community showed high dominance of motile cosmopolitan species on all substrate types. As the length of both hydrological regimes would ultimately be driven by climatic variability, the predicted climate warming could reduce overall stream diversity. Hence, subtle changes could alter the length of both hydrological periods. The relationship between diatom species association with different substrates and hydrological regimes could be relevant for tracking past climate variability using diatom palaeorecords.</t>
  </si>
  <si>
    <t>[Pla-Rabes, Sergi] CSIC CEAB, Biogeodynam &amp; Biodivers Grp, Blanes 17300, Girona, Spain; [Pla-Rabes, Sergi] CREAF, Catalonia 08193, Spain; [Toro, Manuel] CEDEX, Ctr Estudios Hidrog, Madrid 28005, Spain; [van de Vijver, Bart] Natl Bot Garden Belgium, Dept Bryophyta &amp; Thallophyta, B-1860 Domein Van Bouchout, Meise, Belgium; [Rochera, Carlos; Antonio Villaescusa, Juan; Camacho, Antonio] Univ Valencia, Inst Cavanilles Biodiversidad &amp; Biol Evolut, E-46100 Burjassot, Spain; [Rochera, Carlos; Antonio Villaescusa, Juan; Camacho, Antonio] Univ Valencia, Dept Microbiol &amp; Ecol, E-46100 Burjassot, Spain; [Quesada, Antonio] Univ Autonoma Madrid, Dept Biol, E-28049 Madrid, Spain</t>
  </si>
  <si>
    <t>Consejo Superior de Investigaciones Cientificas (CSIC); CSIC - Centre d'Estudis Avancats de Blanes (CEAB); Centro de Investigacion Ecologica y Aplicaciones Forestales (CREAF-CERCA); University of Valencia; University of Valencia; Autonomous University of Madrid</t>
  </si>
  <si>
    <t>Pla-Rabes, S (corresponding author), CSIC CEAB, Biogeodynam &amp; Biodivers Grp, C Carrer Acces Cala St Francesc 14, Blanes 17300, Girona, Spain.</t>
  </si>
  <si>
    <t>sergiplarabes@gmail.com</t>
  </si>
  <si>
    <t>Rochera, Carlos/M-2932-2014; Pla-Rabes, Sergi/J-9209-2012; Quesada, Antonio/L-2430-2013; Camacho, Antonio/I-3417-2015</t>
  </si>
  <si>
    <t>Rochera, Carlos/0000-0002-8294-4755; Pla-Rabes, Sergi/0000-0003-3532-9466; Toro Velasco, Manuel/0000-0002-4860-7229; Quesada, Antonio/0000-0002-8913-5993; Camacho, Antonio/0000-0003-0841-2010</t>
  </si>
  <si>
    <t>Spanish Ministry of Science and Technology through LIMNOPOLAR projects [REN2000-0435-ANT, CGL2005-06549-C02-01/ANT, CGL2005-06549-C02-02/ANT]; European FEDER funds; Ministerio de Ciencia e Innovacion (Spain) [CTM2011-12973-E]</t>
  </si>
  <si>
    <t>Spanish Ministry of Science and Technology through LIMNOPOLAR projects; European FEDER funds(European Union (EU)); Ministerio de Ciencia e Innovacion (Spain)(Spanish Government)</t>
  </si>
  <si>
    <t>This study was supported by the Spanish Ministry of Science and Technology through LIMNOPOLAR projects (REN2000-0435-ANT and CGL2005-06549-C02-01/ANT to AQ, as well as CGL2005-06549-C02-02/ANT to AC, with the last being co-financed by European FEDER funds), which are aimed at investigating aquatic ecosystem responses under different environmental conditions and to predicting their sensitivity to climate variability. This article was published thanks to the financial support given by the Ministerio de Ciencia e Innovacion (Spain) (CTM2011-12973-E). The authors are indebted to Dr Ana Justel and Dr Annick Wilmotte (LIMNOPOLAR Team) for their help with the fieldwork, as well as to Vicente Marco (UTM-CSIC) and the Spanish Navy (Las Palmas crew) for logistical support. The constructive comments of the reviewers are also gratefully acknowledged.</t>
  </si>
  <si>
    <t>10.1017/S0954102012000922</t>
  </si>
  <si>
    <t>WOS:000316479700013</t>
  </si>
  <si>
    <t>Vera, ML; Fernández-Teruel, T; Quesada, A</t>
  </si>
  <si>
    <t>Luisa Vera, Maria; Fernandez-Teruel, Teresa; Quesada, Antonio</t>
  </si>
  <si>
    <t>Distribution and reproductive capacity of Deschampsia antarctica and Colobanthus quitensis on Byers Peninsula, Livingston Island, South Shetland Islands, Antarctica</t>
  </si>
  <si>
    <t>colonization capacity; flowers and seed development; habitats; vascular plants</t>
  </si>
  <si>
    <t>VASCULAR PLANTS; FLOWERING PLANTS; CLIMATE-CHANGE; RESPONSES; GROWTH; POPULATION; RADIATION; PHENOLOGY; SIZE</t>
  </si>
  <si>
    <t>The Maritime Antarctic is one of the regions where regional climate change is most intense and the reproductive performance of plants may be enhanced. Reporting the distribution of Deschampsia antarctica and Colobanthus quitensis on Byers Peninsula (Livingston Island, South Shetland Islands), our results confirm that D. antarctica is more widespread than C. quitensis. Flower and seed development of both species varied between sites. Deschampsia antarctica produced more viable seeds than C. quitensis, although fully developed seeds were not found at all locations. Seed production in C. quitensis was low in comparison with other Antarctic locations. The largest cushions of Colobanthus observed in 2002 were 15cm in diameter, suggesting that the populations may have established at least 50 years ago. Deschampsia antarctica tussocks were very often 20 cm in diameter, although turf areas up to 1.5m across were also observed, probably due to coalesced aggregates of individuals. This study shows that, although seed production is low, the presence of seedlings and young individuals suggests an expansion process.</t>
  </si>
  <si>
    <t>[Luisa Vera, Maria] Univ Oviedo, Dept Biol Organizmos &amp; Sistemas, E-33071 Oviedo, Spain; [Quesada, Antonio] Univ Autonoma Madrid, Dept Biol, E-28049 Madrid, Spain</t>
  </si>
  <si>
    <t>University of Oviedo; Autonomous University of Madrid</t>
  </si>
  <si>
    <t>Vera, ML (corresponding author), Univ Oviedo, Dept Biol Organizmos &amp; Sistemas, E-33071 Oviedo, Spain.</t>
  </si>
  <si>
    <t>mlvera@uniovi.es</t>
  </si>
  <si>
    <t>Quesada, Antonio/L-2430-2013</t>
  </si>
  <si>
    <t>Quesada, Antonio/0000-0002-8913-5993; Vera-de la Puente, Maria Luisa/0000-0001-9332-5020</t>
  </si>
  <si>
    <t>ECOTER project [ANT99-0680-C02-01]; LIMNOPOLAR projects [REN2000-04235, CGL2005-06549, POL2006-06635]; Ministerio de Ciencia e Innovacion, Spain [CTM2011-12973-E]</t>
  </si>
  <si>
    <t>ECOTER project; LIMNOPOLAR projects; Ministerio de Ciencia e Innovacion, Spain(Spanish Government)</t>
  </si>
  <si>
    <t>This research was funded by the ECOTER project co-ordinated by Dr Leopoldo G. Sancho (ANT99-0680-C02-01) and by the LIMNOPOLAR projects (REN2000-04235, CGL2005-06549, POL2006-06635). We are very grateful to the members of ECOTER and LIMNOPOLAR expeditions for their co-operation and support. We are very grateful to anonymous reviewers for their revisions and helpful comments. This work could not have been done without the excellent logistical support provided by UTM and the crew of the Spanish Navy ship Las Palmas. The publication of this paper received financial support from the grant CTM2011-12973-E (Ministerio de Ciencia e Innovacion, Spain).</t>
  </si>
  <si>
    <t>10.1017/S0954102012000995</t>
  </si>
  <si>
    <t>WOS:000316479700017</t>
  </si>
  <si>
    <t>Gil-Delgado, JA; González-Solís, J; Barbosa, A</t>
  </si>
  <si>
    <t>Gil-Delgado, J. A.; Gonzalez-Solis, J.; Barbosa, A.</t>
  </si>
  <si>
    <t>Populations of breeding birds in Byers Peninsula, Livingston Island, South Shetland Islands</t>
  </si>
  <si>
    <t>Antarctic; densities; line transects; nests; penguin colonies; population size</t>
  </si>
  <si>
    <t>ANTARCTICA; GIGANTEUS; PENGUIN</t>
  </si>
  <si>
    <t>Data about breeding populations of birds in the Antarctica are rare and fragmented. Thus, information about the status of the breeding populations of Antarctic birds is crucial given the current scenario of climate change, which is particularly acute in Antarctica. This paper presents new information about the populations of the Antarctic tern Sterna vittata, the kelp gull Larus dominicanus, the southern giant petrel Macronectes giganteus, the Antarctic skua Catharacta antarctica lonnbergi, the chinstrap penguin Pygoscelis antarctica and the gentoo penguin Pygoscelis papua on Byers Peninsula (Livingston Island, South Shetland Islands). We used line transects counts to estimate both densities and numbers of nests of the different species. We estimate that there are 398.96 birds km(-2) of southern giant petrels (2793 individuals), 62.4 birds km(-2) of Antarctic tern (3746 individuals) and 269.1 birds km(-2) of kelp gull (1884 individuals). Furthermore, we found 15 nests of Antarctic skua in 25 km(2), from which we can estimate that 60-91 birds must breed on Byers Peninsula. We also censused two colonies of gentoo penguins (3000 and 1200 pairs) and 50 pairs of chinstrap. Compared to previous estimates, gentoo penguins seem to have increased whereas chinstrap penguin have decreased. Finally, the populations of Antarctic tern, southern giant petrel and kelp gull have stabilized or slightly increased.</t>
  </si>
  <si>
    <t>[Gil-Delgado, J. A.] Univ Valencia, Inst Cavanilles Biodiversidad &amp; Biol Evolut, E-46003 Valencia, Spain; [Gonzalez-Solis, J.] Univ Barcelona, Inst Recerca Biodiversitat, E-08007 Barcelona, Spain; [Gonzalez-Solis, J.] Univ Barcelona, Dept Biol Anim, E-08007 Barcelona, Spain; [Barbosa, A.] CSIC, Museo Nacl Ciencias Nat, Dept Ecol Evolut, Madrid, Spain</t>
  </si>
  <si>
    <t>University of Valencia; University of Barcelona; University of Barcelona; Consejo Superior de Investigaciones Cientificas (CSIC); CSIC - Museo Nacional de Ciencias Naturales (MNCN)</t>
  </si>
  <si>
    <t>Gil-Delgado, JA (corresponding author), Univ Valencia, Inst Cavanilles Biodiversidad &amp; Biol Evolut, E-46003 Valencia, Spain.</t>
  </si>
  <si>
    <t>Gil-Delgado, Jose Antonio/I-2471-2015; Gonzalez-Solis, Jacob/C-3942-2008; Barbosa, Andrés/C-3208-2008; González-Solís, Jacob/AAB-1161-2019</t>
  </si>
  <si>
    <t>Gonzalez-Solis, Jacob/0000-0002-8691-9397; Barbosa, Andrés/0000-0001-8434-3649;</t>
  </si>
  <si>
    <t>Spanish Ministry of Education and Science [CGL2005-06549-C02-02, CGL2007-29841-E, CTM2008-05205-E]; Spanish Ministry of Science and Innovation [CGL2005-06549-C02-02, CGL2007-29841-E, CTM2008-05205-E]; European FEDER funds; European Regional Development Fund; Ministerio de Ciencia e Innovacion (Spain) [CTM2011-12973-E]; [CGL2005-06549-C02-01]; [POL2006-06635]; [POL2006-05175]; [CGL2007-60369]</t>
  </si>
  <si>
    <t>Spanish Ministry of Education and Science(Spanish Government); Spanish Ministry of Science and Innovation(Spanish Government); European FEDER funds(European Union (EU)); European Regional Development Fund(European Union (EU)); Ministerio de Ciencia e Innovacion (Spain)(Spanish Government); ; ; ;</t>
  </si>
  <si>
    <t>Jose A. Gil-Delgado has been supported by several grants from the Spanish Ministries of Education and Science and of Science and Innovation as follows: grants CGL2005-06549-C02-02, CGL2007-29841-E and CTM2008-05205-E were given to Antonio Camacho (University of Valencia) and were co-financed by European FEDER funds. Grants CGL2005-06549-C02-01 and POL2006-06635 were given to Antonio Quesada (Autonomous University of Madrid). A. Barbosa was supported by the POL2006-05175 and CGL2007-60369 project funded by the Spanish Ministry of Science and Innovation and by the European Regional Development Fund. This article was published thanks to the financial support given by the Ministerio de Ciencia e Innovacion (Spain) with the grant ref. CTM2011-12973-E. We thank N. Coria and an anonymous referee for helpful suggestions that improved an early version of the manuscript.</t>
  </si>
  <si>
    <t>10.1017/S0954102012000752</t>
  </si>
  <si>
    <t>WOS:000316479700018</t>
  </si>
  <si>
    <t>Pertierra, LR; Hughes, KA; Benayas, J; Justel, A; Quesada, A</t>
  </si>
  <si>
    <t>Pertierra, Luis R.; Hughes, Kevin A.; Benayas, Javier; Justel, Ana; Quesada, Antonio</t>
  </si>
  <si>
    <t>Environmental management of a scientific field camp in Maritime Antarctica: reconciling research impacts with conservation goals in remote ice-free areas</t>
  </si>
  <si>
    <t>carbon footprint; impact assessment; science; South Shetland Islands; terrestrial ecosystems</t>
  </si>
  <si>
    <t>DIVERSITY</t>
  </si>
  <si>
    <t>Currently, a substantial proportion of Antarctic research is carried out through deployment of field camps, but little detailed information on the running of these facilities is often available. The remoteness of camps and the fragility of local Antarctic terrestrial ecosystems make the running of sustainable, low impact field science and logistics in ice-free areas a challenge for environmental managers. In this study we examined the environmental management at the Spanish camp within Antarctic Specially Protected Area (ASPA) No. 126 Byers Peninsula, Livingston Island, South Shetland Islands. Firstly, the input of materials and generation of pollution associated with the camp during a ten year period of operation was quantified. Examination of greenhouse gas emissions shows a mean of 14 t CO2 equivalent per researcher associated with transportation of people to the site, plus 44 t CO2 equivalent per researcher, associated with transportation of cargo to the field site. Secondly, the cumulative trampling footprint across Byers Peninsula and associated local impacts were recorded. Results showed the pattern of human movement within the ASPA and how activities concentrated around the field camp site. At the same time every effort was taken to ensure scientific outputs from research activities within the ASPA were maximized. Practical recommendations on operational logistics are discussed to minimize environmental impacts and optimize scientific benefits.</t>
  </si>
  <si>
    <t>[Pertierra, Luis R.; Benayas, Javier] Univ Autonoma Madrid, Dept Ecol, E-28049 Madrid, Spain; [Hughes, Kevin A.] British Antarctic Survey, NERC, Cambridge CB3 0ET, England; [Justel, Ana] Univ Autonoma Madrid, Dept Math, E-28049 Madrid, Spain; [Quesada, Antonio] Univ Autonoma Madrid, Dept Biol, E-28049 Madrid, Spain</t>
  </si>
  <si>
    <t>Autonomous University of Madrid; UK Research &amp; Innovation (UKRI); Natural Environment Research Council (NERC); NERC British Antarctic Survey; Autonomous University of Madrid; Autonomous University of Madrid</t>
  </si>
  <si>
    <t>Hughes, Kevin/JVZ-0793-2024; Pertierra, Luis R./K-3727-2017; Justel, Ana/A-3955-2010; Benayas Del Alamo, Fco. Javier/E-5663-2017; Quesada, Antonio/L-2430-2013</t>
  </si>
  <si>
    <t>Pertierra, Luis R./0000-0002-2232-428X; Justel, Ana/0000-0003-3335-0579; Benayas Del Alamo, Fco. Javier/0000-0002-5906-9569; Quesada, Antonio/0000-0002-8913-5993</t>
  </si>
  <si>
    <t>Spanish Government [CGL2005-0654, POL2006-06533, CGL2007-28761-E/ANT, CTM2009-06604-E, CTM2010-11613-E]; Ministerio de Ciencia e Innovacion (Spain) [CTM2011-12973-E]; Spanish Polar Committee; SM BIO Las Palmas of the Spanish Navy; Unit of Marine Technology (UMT) from CSIC; Spanish Station Juan Carlos I; Natural Environment Research Council [bas0100025] Funding Source: researchfish; NERC [bas0100025] Funding Source: UKRI</t>
  </si>
  <si>
    <t>Spanish Government(Spanish Government); Ministerio de Ciencia e Innovacion (Spain)(Spanish Government); Spanish Polar Committee; SM BIO Las Palmas of the Spanish Navy; Unit of Marine Technology (UMT) from CSIC; Spanish Station Juan Carlos I; Natural Environment Research Council(UK Research &amp; Innovation (UKRI)Natural Environment Research Council (NERC)); NERC(UK Research &amp; Innovation (UKRI)Natural Environment Research Council (NERC))</t>
  </si>
  <si>
    <t>This paper was contributed to by two projects: LIMNOPOLAR and EBA-ANTARCTICA. It was supported by the Spanish Government (CGL2005-0654, POL2006-06533, CGL2007-28761-E/ANT, CTM2009-06604-E and CTM2010-11613-E). Permission to inspect the ASPA was granted on 2009/10 season by the Spanish Polar Committee. The publication of this paper has been funded by the grant CTM2011-12973-E by the Ministerio de Ciencia e Innovacion (Spain). We would like to thank the Spanish Polar Committee, the SM BIO Las Palmas of the Spanish Navy, the Unit of Marine Technology (UMT) from CSIC, the Spanish Station Juan Carlos I and the UTM members that provided support to Byers Peninsula camp. We thank Peter Fretwell (BAS) for cartographic support and all those on Byers Peninsula who contributed to this research project. This paper also contributes to the British Antarctic Survey Polar Science for Planet Earth (PSPE) Environment Office Long-term Monitoring and Survey project. Finally, we thank the anonymous reviewers for their useful comments.</t>
  </si>
  <si>
    <t>10.1017/S0954102012001083</t>
  </si>
  <si>
    <t>WOS:000316479700019</t>
  </si>
  <si>
    <t>Jahn, AE; Levey, DJ; Cueto, VR; Ledezma, JP; Tuero, DT; Fox, JW; Masson, D</t>
  </si>
  <si>
    <t>Jahn, Alex E.; Levey, Douglas J.; Cueto, Victor R.; Pinto Ledezma, Jesus; Tuero, Diego T.; Fox, James W.; Masson, Diego</t>
  </si>
  <si>
    <t>LONG-DISTANCE BIRD MIGRATION WITHIN SOUTH AMERICA REVEALED BY LIGHT-LEVEL GEOLOCATORS</t>
  </si>
  <si>
    <t>AUK</t>
  </si>
  <si>
    <t>Argentina; Fork-tailed Flycatcher; geolocator; Neotropical austral migrants; Tyrannidae; Tyrannus savana</t>
  </si>
  <si>
    <t>SEASONAL MOVEMENTS; ANNUAL CYCLE; TRACKING; MIGRANTS; CONNECTIVITY; VARIABILITY; STRATEGIES; HEMISPHERE; SYSTEMS; BASIN</t>
  </si>
  <si>
    <t>Little is known about the timing of migration, migration routes, and migratory connectivity of most of the &gt;230 species of birds that breed at south temperate latitudes of South America and then migrate toward the tropics to overwinter. We used light-level geolocators to track the migration of 3 male and 3 female Fork-tailed Flycatchers (Tyrannus savana) captured on their breeding territories in Argentina. All birds initiated fall migration between late January and late February, and migrated 45 to 66 km day(-1) in a northwesterly direction through central South America to either one or two wintering areas. Five individuals first spent several weeks (in April and May) in western Amazonia (mainly Peru, northwestern Brazil, and southern Colombia) before moving east to spend the rest of the non-breeding season in central Venezuela and northern Brazil. One individual occupied primarily one wintering area in eastern Colombia, northwestern Brazil, and southwestern Venezuela. Fall migration took approximately 7-12 weeks to complete and covered a distance of 2,888-4,105 km. We did not analyze spring migration data because of broad overlap with the austral spring equinox. These results are the first data on wintering locations, migration timing, and routes of individual migrant passerine birds that breed in South America. Given the general lack of similar data for practically all migratory birds that breed in South America, geolocator technology has the potential to revolutionize our understanding of how birds migrate-and the threats they face-on South America's rapidly changing landscape.</t>
  </si>
  <si>
    <t>[Jahn, Alex E.; Levey, Douglas J.] Univ Florida, Dept Biol, Gainesville, FL 32611 USA; [Jahn, Alex E.; Cueto, Victor R.; Tuero, Diego T.; Masson, Diego] Univ Buenos Aires, Fac Ciencias Exactas &amp; Nat, IEGEBA, Buenos Aires, DF, Argentina; [Jahn, Alex E.; Cueto, Victor R.; Tuero, Diego T.; Masson, Diego] Consejo Nacl Invest Cient &amp; Tecn, RA-1033 Buenos Aires, DF, Argentina; [Levey, Douglas J.] Natl Sci Fdn, Arlington, VA 22230 USA; [Pinto Ledezma, Jesus] Museo Hist Nat Noel Kempff Mercado, Santa Cruz, Bolivia; [Fox, James W.] British Antarctic Survey, Nat Environm Res Council, Cambridge CB3 0ET, England; [Fox, James W.] Migrate Technol Ltd, Cambridge CB1 0QY, England</t>
  </si>
  <si>
    <t>State University System of Florida; University of Florida; University of Buenos Aires; Consejo Nacional de Investigaciones Cientificas y Tecnicas (CONICET); National Science Foundation (NSF); UK Research &amp; Innovation (UKRI); Natural Environment Research Council (NERC); NERC British Antarctic Survey</t>
  </si>
  <si>
    <t>Jahn, AE (corresponding author), Univ Florida, Dept Biol, Gainesville, FL 32611 USA.</t>
  </si>
  <si>
    <t>alexjahn77@yahoo.com</t>
  </si>
  <si>
    <t>Tuero, Diego Tomás/N-2915-2014; Pinto-Ledezma, Jesus N./E-7984-2014</t>
  </si>
  <si>
    <t>Tuero, Diego Tomás/0000-0002-9115-1001; Pinto-Ledezma, Jesus N./0000-0001-6668-9670; Cueto, Victor/0000-0001-9594-0086; Fox, James W./0000-0002-3107-696X</t>
  </si>
  <si>
    <t>Scientific Research Grant from the National Geographic Society [8444-08]; National Science Foundation International Research Fellowship [IRFP-0965213]; Gatorade Fund of the University of Florida; Optics for the Tropics; Consejo Nacional de Investigaciones Cientificas y Tecnicas; Universidad de Buenos Aires; Natural Environment Research Council [bas010013, bas010011] Funding Source: researchfish; NERC [bas010011, bas010013] Funding Source: UKRI</t>
  </si>
  <si>
    <t>Scientific Research Grant from the National Geographic Society(National Geographic Society); National Science Foundation International Research Fellowship(National Science Foundation (NSF)); Gatorade Fund of the University of Florida; Optics for the Tropics; Consejo Nacional de Investigaciones Cientificas y Tecnicas(Consejo Nacional de Investigaciones Cientificas y Tecnicas (CONICET)); Universidad de Buenos Aires(University of Buenos Aires); Natural Environment Research Council(UK Research &amp; Innovation (UKRI)Natural Environment Research Council (NERC)); NERC(UK Research &amp; Innovation (UKRI)Natural Environment Research Council (NERC))</t>
  </si>
  <si>
    <t>We dedicate this paper to our late friend and colleague Marvin Morales Jacinto. P. Stouffer and two anonymous reviewers provided many valuable comments that greatly improved the manuscript. We thank the Elsa Shaw de Pearson Foundation for providing logistical support; the staff of Reserva Privada El Destino for their hospitality; and O. Barroso, N. Bogado, V. Sandoval, Q. Vidoz, and E. Williams for assistance in the field. This research was funded through a Scientific Research Grant (no. 8444-08) from the National Geographic Society, a National Science Foundation International Research Fellowship to A.E.J. (IRFP-0965213), the Gatorade Fund of the University of Florida, and Optics for the Tropics. V.R.C. acknowledges the Consejo Nacional de Investigaciones Cientificas y Tecnicas and Universidad de Buenos Aires for supporting his research in Argentina. This research was conducted with the authorization of the Departamento de Flora y Fauna, Ministerio de Asuntos Agrarios, Provincia de Buenos Aires, Argentina (disposicion 256/11).</t>
  </si>
  <si>
    <t>1938-4254</t>
  </si>
  <si>
    <t>10.1525/auk.2013.12077</t>
  </si>
  <si>
    <t>157KV</t>
  </si>
  <si>
    <t>WOS:000319895900002</t>
  </si>
  <si>
    <t>Jahn, AE; Cueto, VR; Fox, JW; Husak, MS; Kim, DH; Landoll, DV; Ledezma, JP; LePage, HK; Levey, DJ; Murphy, MT; Renfrew, RB</t>
  </si>
  <si>
    <t>Jahn, Alex E.; Cueto, Victor R.; Fox, James W.; Husak, Michael S.; Kim, Daniel H.; Landoll, Diane V.; Pinto Ledezma, Jesus; LePage, Heather K.; Levey, Douglas J.; Murphy, Michael T.; Renfrew, Rosalind B.</t>
  </si>
  <si>
    <t>MIGRATION TIMING AND WINTERING AREAS OF THREE SPECIES OF FLYCATCHERS (TYRANNUS) BREEDING IN THE GREAT PLAINS OF NORTH AMERICA</t>
  </si>
  <si>
    <t>Eastern Kingbird; light-level geolocator; migration speed; Nebraska; Neotropics; Oklahoma; Scissor-tailed Flycatcher; Tyrannus; Western Kingbird; wintering area</t>
  </si>
  <si>
    <t>VEERY CATHARUS-FUSCESCENS; POPULATION-DYNAMICS; STOPOVER SITES; FALL MIGRATION; BIRD MIGRATION; ANNUAL CYCLE; MOLT; TRACKING; CONNECTIVITY; KINGBIRDS</t>
  </si>
  <si>
    <t>Descriptions of intra- and interspecific variation in migratory patterns of closely related species are rare yet valuable because they can help assess how differences in ecology and life-history strategies drive the evolution of migration. We report data on timing and location of migration routes and wintering areas, and on migratory speed and phenology, of Eastern Kingbirds (Tyrannus tyrannus) from Nebraska and Oklahoma and of Western Kingbirds (T. verticalis) and Scissor-tailed Flycatchers (T. forficatus) from Oklahoma. Eastern Kingbirds primarily departed the breeding site in September, migrating to the Amazon Basin (Bolivia and Brazil), &gt;6,400 km from their breeding site, then used a second wintering site in northwestern South America (Colombia, Ecuador, and Peru) before returning to the breeding site in April. Western Kingbirds left Oklahoma in late July, migrating &gt;1,400 km to northwestern Mexico, then to central Mexico and finally to Central America before returning to Oklahoma in April. Scissor-tailed Flycatchers departed Oklahoma mainly in mid-October, migrating to Central America (El Salvador, Guatemala, Honduras, and Nicaragua), similar to 2,600 km from the breeding site, remaining there until early April before returning to Oklahoma. Timing of migration appears to be tightly linked to molt. Early departure of Western Kingbirds from the breeding site appears to be timed so that they molt in the Sonoran Desert region during the monsoon, whereas Scissor-tailed Flycatchers remain at their breeding site to complete molt in late summer, when insect prey are abundant. Eastern Kingbirds delay molt until reaching South America where, possibly, abundant fruit supports molt.</t>
  </si>
  <si>
    <t>[Jahn, Alex E.; Levey, Douglas J.] Univ Florida, Dept Biol, Gainesville, FL 32611 USA; [Jahn, Alex E.; Cueto, Victor R.] Univ Buenos Aires, Fac Ciencias Exactas &amp; Nat, IEGEBA, Buenos Aires, DF, Argentina; [Jahn, Alex E.; Cueto, Victor R.] Consejo Nacl Invest Cient &amp; Tecn, RA-1033 Buenos Aires, DF, Argentina; [Fox, James W.] British Antarctic Survey, Nat Environm Res Council, Cambridge CB3 0ET, England; [Fox, James W.] Migrate Technol Ltd, Cambridge CB1 0QY, England; [Husak, Michael S.] Cameron Univ, Dept Biol Sci, Lawton, OK 73505 USA; [Kim, Daniel H.] Platte River Whooping Crane Maintenance Trust, Wood River, NE 68883 USA; [Landoll, Diane V.] Univ Oklahoma, Dept Biol, Norman, OK 73019 USA; [Pinto Ledezma, Jesus] Univ Autonoma Gabriel Rene Moreno, Fac Ciencias Agr, Museo Hist Nat Noel Kempff Mercado, Santa Cruz, Bolivia; [LePage, Heather K.] Univ Florida, Dept Wildlife Ecol &amp; Conservat, Gainesville, FL 32611 USA; [Levey, Douglas J.] Natl Sci Fdn, Arlington, VA 22230 USA; [Murphy, Michael T.] Portland State Univ, Dept Biol, Portland, OR 97219 USA; [Renfrew, Rosalind B.] Vermont Ctr Ecostudies, Norwich, VT 05055 USA</t>
  </si>
  <si>
    <t>State University System of Florida; University of Florida; University of Buenos Aires; Consejo Nacional de Investigaciones Cientificas y Tecnicas (CONICET); UK Research &amp; Innovation (UKRI); Natural Environment Research Council (NERC); NERC British Antarctic Survey; University of Oklahoma System; University of Oklahoma - Norman; State University System of Florida; University of Florida; National Science Foundation (NSF); Portland State University</t>
  </si>
  <si>
    <t>Pinto-Ledezma, Jesus N./E-7984-2014</t>
  </si>
  <si>
    <t>Pinto-Ledezma, Jesus N./0000-0001-6668-9670; Cueto, Victor/0000-0001-9594-0086; Roeder, Diane/0000-0002-2366-9781; Fox, James W./0000-0002-3107-696X</t>
  </si>
  <si>
    <t>National Science Foundation (NSF) International Research Fellowship [IRFP-0965213]; Scientific Research Grant from the National Geographic Society [8444-08]; Gatorade Fund of the University of Florida; NSF [IOS-0539370]; Faculty Enhancement Grant from Portland State University; NERC [bas010013, bas010011] Funding Source: UKRI; Natural Environment Research Council [bas010011, bas010013] Funding Source: researchfish</t>
  </si>
  <si>
    <t>National Science Foundation (NSF) International Research Fellowship(National Science Foundation (NSF)); Scientific Research Grant from the National Geographic Society(National Geographic Society); Gatorade Fund of the University of Florida; NSF(National Science Foundation (NSF)); Faculty Enhancement Grant from Portland State University; NERC(UK Research &amp; Innovation (UKRI)Natural Environment Research Council (NERC)); Natural Environment Research Council(UK Research &amp; Innovation (UKRI)Natural Environment Research Council (NERC))</t>
  </si>
  <si>
    <t>B. J. Stutchbury and two anonymous reviewers provided numerous comments that greatly improved the manuscript. We thank J. Kelly, the staff at Cameron University, the Crane Trust, Fort Sill Military Reservation, Lawton Country Club, Wichita Mountains Wildlife Refuge, the Museum of the Great Plains, and the City of Lawton for providing logistical support. P. Beal, V. Bejarano, R. Fox, J. I. Giraldo, V. Sandoval, and Q. Vidoz provided invaluable assistance in the field. This research was funded through a National Science Foundation (NSF) International Research Fellowship to A.E.J. (IRFP-0965213), a Scientific Research Grant (no. 8444-08) from the National Geographic Society, the Gatorade Fund of the University of Florida, and an NSF (IOS-0539370) and Faculty Enhancement Grant from Portland State University to M.T.M. eBird, an online database of bird distribution and abundance, is available at www.ebird.org/content/ebird. InfoNatura is available at www.natureserve.org/infonatura.</t>
  </si>
  <si>
    <t>10.1525/auk.2013.13010</t>
  </si>
  <si>
    <t>WOS:000319895900005</t>
  </si>
  <si>
    <t>Cormier, RL; Humple, DL; Gardali, T; Seavy, NE</t>
  </si>
  <si>
    <t>Cormier, Renee L.; Humple, Diana L.; Gardali, Thomas; Seavy, Nathaniel E.</t>
  </si>
  <si>
    <t>LIGHT-LEVEL GEOLOCATORS REVEAL STRONG MIGRATORY CONNECTIVITY AND WITHIN-WINTER MOVEMENTS FOR A COASTAL CALIFORNIA SWAINSON'S THRUSH (CATHARUS USTULATUS) POPULATION</t>
  </si>
  <si>
    <t>Catharus ustulatus; Mantel's correlation coefficient; Mexico; Neotropical; Palomarin; Swainson's Thrush; tag effects</t>
  </si>
  <si>
    <t>BODY CONDITION; SONGBIRD; SITE; CONSERVATION; SEGREGATION; SPARROWS; SURVIVAL; PACKAGE</t>
  </si>
  <si>
    <t>We used light-level geolocators to describe the migratory geography of Swainson's Thrushes (Catharus ustulatus) from a breeding population in central coastal California. Between 11 June and 20 July 2010, we attached geolocator tags to 35 Swainson's Thrushes at three sites in Mann County, California, and recovered 12 in the following two breeding seasons. All 12 birds spent the winter in Mexico, north of the Isthmus of Tehuantepec. Eleven of the birds went to the Jalisco region in western Mexico, but two of those birds (18% of total) moved east in midwinter to either the Sierra Madre Oriental or Sierra Madre del Sur; the 12th bird went directly to one of the latter regions. The return rate over the next 2 years for tagged birds (34%) was not statistically lower than that for control birds (45%). We combined our results with the results of an earlier study that used geolocators on Swainson's Thrushes from British Columbia to quantify the strength of migratory connectivity using Mantel's correlation coefficient. Our estimate of the strength of migratory connectivity for Swainson's Thrushes (r(m) = 0.72) was much stronger than that reported using band returns of Barn Swallows (Hirundo rustica) in the Eastern Hemisphere (r(m) = 0.03). To our knowledge, this is the first quantitative measure of migratory connectivity derived from geolocators.</t>
  </si>
  <si>
    <t>[Cormier, Renee L.; Humple, Diana L.; Gardali, Thomas; Seavy, Nathaniel E.] PRBO Conservat Sci, Petaluma, CA 94954 USA</t>
  </si>
  <si>
    <t>Cormier, RL (corresponding author), PRBO Conservat Sci, 3820 Cypress Dr 11, Petaluma, CA 94954 USA.</t>
  </si>
  <si>
    <t>rcormier@prbo.org</t>
  </si>
  <si>
    <t>Cormier, Renee/JNE-2787-2023</t>
  </si>
  <si>
    <t>March Foundation; Point Reyes National Seashore; Golden Gate National Recreation Area; National Park Service Inventory and Monitoring Program; National Science Foundation [DBI-0533918]; Mann County Open Space District; Kimball Foundation; Karen A. and Kevin W. Kennedy Foundation; Schultz Donor Advised Fund; Makray Family Foundation; PRBO Conservation Science</t>
  </si>
  <si>
    <t>March Foundation; Point Reyes National Seashore; Golden Gate National Recreation Area; National Park Service Inventory and Monitoring Program; National Science Foundation(National Science Foundation (NSF)); Mann County Open Space District; Kimball Foundation; Karen A. and Kevin W. Kennedy Foundation; Schultz Donor Advised Fund; Makray Family Foundation; PRBO Conservation Science</t>
  </si>
  <si>
    <t>Funding for the deployment of geolocators was provided by the March Foundation and D. and L. Johnston. Financial and logistical support for the Palomarin Field Station, Pine Gulch, and Muddy Hollow was provided by the Point Reyes National Seashore, the Golden Gate National Recreation Area, the National Park Service Inventory and Monitoring Program, the National Science Foundation (DBI-0533918), Mann County Open Space District, the Kimball Foundation, the Karen A. and Kevin W. Kennedy Foundation, Mrs. M. M. Strand, the Schultz Donor Advised Fund, the Makray Family Foundation, and the members and board of directors of PRBO Conservation Science. We thank J. Fox and the British Antarctic Survey for technical support and for supplying geolocator tags; the staff of the U.S. Geological Survey Bird Banding Laboratory for their support and for providing banding and encounter data; M. Stake and Ventana Wildlife Society for details of their recovery record; Palomarin Field Station interns and staff for assisting with field work; and K. McFarland, N. Diggs, and P. Marra for providing tag attachment advice. S. N. G. Howell and two anonymous reviewers provided helpful comments on the manuscript. This is PRBO Conservation Science contribution no. 1927.</t>
  </si>
  <si>
    <t>10.1525/auk.2013.12228</t>
  </si>
  <si>
    <t>WOS:000319895900009</t>
  </si>
  <si>
    <t>Autophagy in Antarctica Combating dehydration stress in the world's southernmost insect</t>
  </si>
  <si>
    <t>AUTOPHAGY</t>
  </si>
  <si>
    <t>antarctic midge; dehydration; environmental stress; RNA-seq; autophagy; sestrin</t>
  </si>
  <si>
    <t>The midge Belgica antarctica is the only insect endemic to Antarctica and has the southernmost range of any insect. In its natural environment, B. antarctica frequently faces desiccating conditions, as environmental water is frozen for up to 9 months annually. The molecular mechanisms by which B. antarctica tolerates extreme dehydration are poorly understood, but recent work from our laboratory reports genome-wide expression changes in response to extreme dehydration (similar to 40% water loss), the first genome-scale transcriptome reported for an Antarctic animal. Among transcripts differentially regulated during dehydration, there is coordinated upregulation of numerous genes involved in autophagy, including genes responsible for autophagosome synthesis and autophagy-associated transcription factors. Also, several genes and pathways that interact with and regulate autophagy, e.g., sestrins and proteasomal genes, are concurrently upregulated. This suggests that autophagy and related processes are key elements regulating stress tolerance in this extreme environment.</t>
  </si>
  <si>
    <t>[Teets, Nicholas M.; Denlinger, David L.] Ohio State Univ, Dept Entomol, Columbus, OH 43210 USA; [Denlinger, David L.] Ohio State Univ, Dept Evolut Ecol &amp; Organismal Biol, Columbus, OH 43210 USA</t>
  </si>
  <si>
    <t>Teets, NM (corresponding author), Ohio State Univ, Dept Entomol, 1735 Neil Ave, Columbus, OH 43210 USA.</t>
  </si>
  <si>
    <t>Directorate For Geosciences; Office of Polar Programs (OPP) [0837613] Funding Source: National Science Foundation</t>
  </si>
  <si>
    <t>Directorate For Geosciences; Office of Polar Programs (OPP)(National Science Foundation (NSF)NSF - Directorate for Geosciences (GEO))</t>
  </si>
  <si>
    <t>LANDES BIOSCIENCE</t>
  </si>
  <si>
    <t>AUSTIN</t>
  </si>
  <si>
    <t>1806 RIO GRANDE ST, AUSTIN, TX 78702 USA</t>
  </si>
  <si>
    <t>1554-8627</t>
  </si>
  <si>
    <t>Autophagy</t>
  </si>
  <si>
    <t>10.4161/auto.23643</t>
  </si>
  <si>
    <t>Cell Biology</t>
  </si>
  <si>
    <t>114HR</t>
  </si>
  <si>
    <t>WOS:000316732200023</t>
  </si>
  <si>
    <t>Martin, T; Park, W; Latif, M</t>
  </si>
  <si>
    <t>Martin, Torge; Park, Wonsun; Latif, Mojib</t>
  </si>
  <si>
    <t>Multi-centennial variability controlled by Southern Ocean convection in the Kiel Climate Model</t>
  </si>
  <si>
    <t>Multi-centennial climate variability; Deep convection; Southern Ocean; Weddell Polynya; Coupled climate model</t>
  </si>
  <si>
    <t>THERMOHALINE OSCILLATIONS; WEDDELL POLYNYA; CIRCULATION; HEAT; PACIFIC; ATMOSPHERE; TRANSPORT; IMPACT</t>
  </si>
  <si>
    <t>A quasi-oscillatory multi-centennial mode of open ocean deep convection in the Atlantic sector of the Southern Ocean in the Kiel Climate Model is described. The quasi-periodic occurrence of the deep convection causes variations in regional and global surface air temperature, Southern Hemisphere sea ice coverage, Southern Ocean and North Atlantic sea surface height, the Antarctic Circumpolar Current and the Atlantic Meridional Overturning Circulation (AMOC). The deep convection is stimulated by a strong built-up of heat at mid-depth. When the heat reservoir is virtually depleted a coincidental strong freshening event at the sea surface shuts down the convection. The heat originates from relatively warm deep water formed in the North Atlantic. The several decades lasting recharge process of the heat reservoir depends on the AMOC and the Weddell Gyre and sets a minimum delay for the deep convection to recur. While the strength of the AMOC increases, the Weddell Gyre weakens during the non-convective regime. Convection onset and shutdown also depend on the stochastic occurrence of favorable sea surface conditions, which contributes to the multi-centennial period of the phenomenon. The shutdown triggers a century-long deviation in AMOC strength caused by significant reductions in bottom water formation and surface salinity in the Southern Ocean's Atlantic sector. Additional numerical experimentation reveals that sea ice has an important effect on the frequency of occurrence and intensity of the deep convection. Further, we find intriguing similarities to the Weddell Polynya observed during the 1970s.</t>
  </si>
  <si>
    <t>[Martin, Torge; Park, Wonsun; Latif, Mojib] Helmholtz Ctr Ocean Res Kiel GEOMAR, D-24105 Kiel, Germany</t>
  </si>
  <si>
    <t>Helmholtz Association; GEOMAR Helmholtz Center for Ocean Research Kiel</t>
  </si>
  <si>
    <t>Martin, T (corresponding author), Univ Washington, Polar Sci Ctr, Appl Phys Lab, 1013 NE 40th St, Seattle, WA 98105 USA.</t>
  </si>
  <si>
    <t>torge.martin@gmail.com</t>
  </si>
  <si>
    <t>Park, Wonsun/J-8097-2012; Martin, Torge/H-2613-2017; Latif, Mojib/C-2428-2016</t>
  </si>
  <si>
    <t>Park, Wonsun/0000-0002-6345-8428; Martin, Torge/0000-0002-0882-8780; Latif, Mojib/0000-0003-1079-5604</t>
  </si>
  <si>
    <t>BMBF; DFG [SFB754]; European Union [212643]</t>
  </si>
  <si>
    <t>BMBF(Federal Ministry of Education &amp; Research (BMBF)); DFG(German Research Foundation (DFG)); European Union(European Union (EU))</t>
  </si>
  <si>
    <t>This work was supported by the BMBF-supported Nordatlantik and DFG-supported SFB754 (www.sfb754.de), and the European Union's Seventh Framework Programme (FP7/2007-2013) under grant agreement no 212643 (THOR: Thermohaline Overturning-at Risk). The model integrations were performed at the DKRZ Hamburg and the Computer Centre at Kiel University.</t>
  </si>
  <si>
    <t>10.1007/s00382-012-1586-7</t>
  </si>
  <si>
    <t>WOS:000317075700027</t>
  </si>
  <si>
    <t>Lenton, TM; Ciscar, JC</t>
  </si>
  <si>
    <t>Lenton, Timothy M.; Ciscar, Juan-Carlos</t>
  </si>
  <si>
    <t>Integrating tipping points into climate impact assessments</t>
  </si>
  <si>
    <t>ANTARCTIC ICE-SHEET; SEA-LEVEL RISE; TEMPERATURE; COLLAPSE; SYSTEM; ECONOMICS; ELEMENTS; GROWTH</t>
  </si>
  <si>
    <t>There is currently a huge gulf between natural scientists' understanding of climate tipping points and economists' representations of climate catastrophes in integrated assessment models (IAMs). In particular, there are multiple potential tipping points and they are not all low-probability events; at least one has a significant probability of being passed this century under mid-range (2-4 A degrees C) global warming, and they cannot all be ruled out at low (&lt; 2 A degrees C) warming. In contrast, the dominant framing of climate catastrophes in IAMs, and in critiques of them, is that they are associated with high (&gt; 4 A degrees C) or very high (&gt; 8 A degrees C) global warming. This discrepancy could qualitatively alter the predictions of IAMs, including estimates of the social cost of carbon. To address this discrepancy and assess the economic impact of crossing different climate tipping points, we highlight a list of scientific points that should be considered, at least in a stylised form, in simplified IAMs. For nine different tipping events, the range of expected physical climate impacts is summarised and some suggestions are made for how they may translate into socio-economic impacts on particular sectors or regions. We also consider how passing climate tipping points could affect economic growth.</t>
  </si>
  <si>
    <t>[Lenton, Timothy M.] Univ Exeter, Coll Life &amp; Environm Sci, Hatherly Labs, Exeter EX4 4PS, Devon, England; [Ciscar, Juan-Carlos] Inst Prospect Technol Studies, Joint Res Ctr, Seville 41092, Spain</t>
  </si>
  <si>
    <t>University of Exeter; European Commission Joint Research Centre; EC JRC Institute for Prospective Technological Studies (IPTS)</t>
  </si>
  <si>
    <t>Lenton, TM (corresponding author), Univ Exeter, Coll Life &amp; Environm Sci, Hatherly Labs, Prince Wales Rd, Exeter EX4 4PS, Devon, England.</t>
  </si>
  <si>
    <t>t.m.lenton@exeter.ac.uk</t>
  </si>
  <si>
    <t>Lenton, Tim M/X-1893-2018</t>
  </si>
  <si>
    <t>Lenton, Tim M/0000-0002-6725-7498</t>
  </si>
  <si>
    <t>NERC [NE/F005474/2] Funding Source: UKRI; Natural Environment Research Council [NE/F005474/2] Funding Source: researchfish</t>
  </si>
  <si>
    <t>10.1007/s10584-012-0572-8</t>
  </si>
  <si>
    <t>106FS</t>
  </si>
  <si>
    <t>WOS:000316129000012</t>
  </si>
  <si>
    <t>Singh, P; Tsuji, M; Singh, SM; Roy, U; Hoshino, T</t>
  </si>
  <si>
    <t>Singh, Purnima; Tsuji, Masaharu; Singh, Shiv Mohan; Roy, Utpal; Hoshino, Tamotsu</t>
  </si>
  <si>
    <t>Taxonomic characterization, adaptation strategies and biotechnological potential of cryophilic yeasts from ice cores of Midre Lovenbreen glacier, Svalbard, Arctic</t>
  </si>
  <si>
    <t>CRYOBIOLOGY</t>
  </si>
  <si>
    <t>Cryophilic yeast; Diversity; Enzymes; Fatty acids; Svalbard</t>
  </si>
  <si>
    <t>FATTY-ACID-COMPOSITION; COLD-ADAPTED YEASTS; BASIDIOMYCETOUS YEAST; CRYOCONITE HOLES; SP-NOV.; EXTRACELLULAR PROTEASES; CYTOCHROME COMPOSITION; PSYCHROPHILIC ENZYMES; MICROBIAL ACTIVITY; LIPASE</t>
  </si>
  <si>
    <t>Ten strains of cryophilic yeast were studied from glacier ice cores of Svalbard, Arctic. The ice melt samples contained about 3 x 10(3) - 1 x 10(4) colony forming unit (CFUs) per ml. Sequence analysis of the isolates, using D1/D2 domain identified five species of yeasts: Cryptococcus adeliensis (MLB-18 JX192655), Cryptococcus albidosimilis (MLB-19 JX192656), Cryptococcus saitoi (MLB-22 JX192659), Rhodosporidium lusitaniae (MLB-20 JX192657), and Rhodotorula mucilaginosa (MLB-27 JX192664). Effect of temperature on growth of these isolates was studied. The strains are able to grow at temperatures ranging between 1 and 20 degrees C. Screening of the cultures for amylase, cellulase, protease, lipase, urease and catalase activity were carried out indicating varying amounts of enzyme production at different temperatures. Characterization of lipase in strain Cryptococcus sp. MLB-24 was performed. Fatty acid methyl ester (FAME) analysis of the cultures grown at four different temperatures (1, 4, 15, and 20 degrees C) was also done. Decrease in temperature was reported to cause increase in concentration of unsaturated fatty acids. High amount of oleic acid accumulated with increase in temperature. These fatty acids possibly help the strains to survive in glacial ice core cold environment. The extracellular and intracellular filtrate of the cultures showed negative antifreeze protein (AFP) activity. The observations indicate that probably the isolates in the present undertaking adapt to low temperatures, by enzyme and PUFA secretion rather than by antifreeze protein secretion. (C) 2013 Elsevier Inc. All rights reserved.</t>
  </si>
  <si>
    <t>[Singh, Purnima; Roy, Utpal] Birla Inst Technol &amp; Sci, Dept Biol Sci, Zuarinagar 403726, Goa, India; [Tsuji, Masaharu; Hoshino, Tamotsu] Natl Inst Adv Ind Sci &amp; Technol, BRRC, Higashihiroshima 7390046, Japan; [Singh, Shiv Mohan] Minist Earth Sci, Natl Ctr Antarctic &amp; Ocean Res, Vasco Da Gama 403804, Goa, India</t>
  </si>
  <si>
    <t>Birla Institute of Technology &amp; Science Pilani (BITS Pilani); National Institute of Advanced Industrial Science &amp; Technology (AIST); Ministry of Earth Sciences (MoES) - India; National Centre for Polar and Ocean Research (NCPOR)</t>
  </si>
  <si>
    <t>Singh, P (corresponding author), Birla Inst Technol &amp; Sci, Dept Biol Sci, Pilani KK Birla Goa Campus, Zuarinagar 403726, Goa, India.</t>
  </si>
  <si>
    <t>purnimabitsgoa@gmail.com</t>
  </si>
  <si>
    <t>HOSHINO, Tamotsu/R-2959-2019; Hoshino, Tamotsu/F-3357-2017; Tsuji, Masaharu/M-6609-2019; Roy, Utpal/GOP-1757-2022</t>
  </si>
  <si>
    <t>Tsuji, Masaharu/0000-0002-9375-7998; Roy, Utpal/0000-0003-2500-078X</t>
  </si>
  <si>
    <t>DST India; Japan Society for the Promotion of Science (JSPS)</t>
  </si>
  <si>
    <t>DST India(Department of Science &amp; Technology (India)); Japan Society for the Promotion of Science (JSPS)(Ministry of Education, Culture, Sports, Science and Technology, Japan (MEXT)Japan Society for the Promotion of Science)</t>
  </si>
  <si>
    <t>We would like to thank Directors, BITS, NCAOR and AIST for facilities. Author PS is thankful to DST India for financial support. This work was also partially supported by a grant for Japan Society for the Promotion of Science (JSPS). SMS is thankful to Dr Puja Gawas and Ms Simintani Naik for technical help, and Dr SM Pedneker for plotting the GPS locations on the map.</t>
  </si>
  <si>
    <t>0011-2240</t>
  </si>
  <si>
    <t>1090-2392</t>
  </si>
  <si>
    <t>Cryobiology</t>
  </si>
  <si>
    <t>10.1016/j.cryobiol.2013.01.002</t>
  </si>
  <si>
    <t>Biology; Physiology</t>
  </si>
  <si>
    <t>Life Sciences &amp; Biomedicine - Other Topics; Physiology</t>
  </si>
  <si>
    <t>111JR</t>
  </si>
  <si>
    <t>WOS:000316518100015</t>
  </si>
  <si>
    <t>Evans, K; Lea, MA; Patterson, TA</t>
  </si>
  <si>
    <t>Evans, K.; Lea, M-A; Patterson, T. A.</t>
  </si>
  <si>
    <t>Recent advances in bio-logging science: Technologies and methods for understanding animal behaviour and physiology and their environments Introduction</t>
  </si>
  <si>
    <t>Animal behaviour; Animal physiology; Ecology; Telemetry; Bio-logging; Oceanography</t>
  </si>
  <si>
    <t>MARINE PREDATOR; BLUEFIN TUNA; TAG DATA; MOVEMENTS; RATES; SEALS; CHALLENGES; MANAGEMENT; FISHERIES; MORTALITY</t>
  </si>
  <si>
    <t>The deployment of an ever-evolving array of animal-borne telemetry and data logging devices is rapidly increasing our understanding of the movement, behaviour and physiology of a variety species and the complex, and often highly dynamic, environments they use and respond to. The rapid rate at which new technologies, improvements to current technologies and new analytical techniques are being developed has meant that movements, behaviour and physiological processes are being quantified at finer spatial and temporal scales than ever before. The Fourth International Symposium on Bio-logging Science, held on 14-18 March in Hobart, Australia, brought together scientists across multiple disciplines to discuss the latest innovations in technology, applications and analytical techniques in bio-logging science, building on research presented at three previous conferences. Here we present an update on the state of bio-logging research and provide some views on the future of this field of research. Papers were grouped into five theme areas: (i) Southern Ocean ecosystems; (ii) fishery and biodiversity management applications; (iii) from individuals to populations-inferences of population dynamics from individuals; (iv) conservation biology and (v) habitat modelling. Papers reflected wider uptake of newer technologies, with a greater proportion of studies utilising accelerometry and incorporating advances in statistical modelling of behaviour and habitats, especially via state space modelling methods. Environmental data collected by tags at increasing accuracies are now having wider application beyond the bio-logging community, providing important oceanographic data from regions difficult to sample using traditional methodologies. Partnerships between multiple organisations are also now enabling regional assessments of species movements, behaviour and physiology at population scales and will continue to be important for applying bio-logging technologies to species conservation and management applications. (C) 2012 Elsevier Ltd. All rights reserved.</t>
  </si>
  <si>
    <t>[Evans, K.; Patterson, T. A.] CSIRO Marine &amp; Atmospher Res, Wealth Oceans Natl Res Flagship, Hobart, Tas 7001, Australia; [Lea, M-A] Univ Tasmania, Inst Marine &amp; Antarctic Sci, Hobart, Tas 7001, Australia</t>
  </si>
  <si>
    <t>Commonwealth Scientific &amp; Industrial Research Organisation (CSIRO); University of Tasmania</t>
  </si>
  <si>
    <t>Evans, K (corresponding author), CSIRO Marine &amp; Atmospher Res, Wealth Oceans Natl Res Flagship, GPO Box 1538, Hobart, Tas 7001, Australia.</t>
  </si>
  <si>
    <t>karen.evans@csiro.au</t>
  </si>
  <si>
    <t>evans, karen/D-7110-2012; Patterson, Toby A/B-3836-2011; Lea, Mary-Anne/E-9054-2013</t>
  </si>
  <si>
    <t>Lea, Mary-Anne/0000-0001-8318-9299; Evans, Karen/0000-0003-2205-4264</t>
  </si>
  <si>
    <t>10.1016/j.dsr2.2012.10.005</t>
  </si>
  <si>
    <t>WOS:000317636400001</t>
  </si>
  <si>
    <t>Jonsen, ID; Basson, M; Bestley, S; Bravington, MV; Patterson, TA; Pedersen, MW; Thomson, R; Thygesen, UH; Wotherspoon, SJ</t>
  </si>
  <si>
    <t>Jonsen, I. D.; Basson, M.; Bestley, S.; Bravington, M. V.; Patterson, T. A.; Pedersen, M. W.; Thomson, R.; Thygesen, U. H.; Wotherspoon, S. J.</t>
  </si>
  <si>
    <t>State-space models for bio-loggers: A methodological road map</t>
  </si>
  <si>
    <t>Animal movement; Bayesian statistics; Foraging behaviour; Frequentist statistics; Hidden Markov model; Migration; Telemetry; Time series analysis</t>
  </si>
  <si>
    <t>HIDDEN MARKOV-MODELS; ANIMAL MOVEMENT; BAYESIAN-INFERENCE; IMPROVING LIGHT; NORTH-SEA; GEOLOCATION; TELEMETRY; ARCHIVAL; TEMPERATURE; LOCATION</t>
  </si>
  <si>
    <t>Ecologists have an unprecedented array of bio-logging technologies available to conduct in situ studies of horizontal and vertical movement patterns of marine animals. These tracking data provide key information about foraging, migratory, and other behaviours that can be linked with bio-physical datasets to understand physiological and ecological influences on habitat selection. In most cases, however, the behavioural context is not directly observable and therefore, must be inferred. Animal movement data are complex in structure, entailing a need for stochastic analysis methods. The recent development of state-space modelling approaches for animal movement data provides statistical rigor for inferring hidden behavioural states, relating these states to bio-physical data, and ultimately for predicting the potential impacts of climate change. Despite the widespread utility, and current popularity, of state-space models for analysis of animal tracking data, these tools are not simple and require considerable care in their use. Here we develop a methodological road map for ecologists by reviewing currently available state-space implementations. We discuss appropriate use of state-space methods for location and/or behavioural state estimation from different tracking data types. Finally, we outline key areas where the methodology is advancing, and where it needs further development. (C) 2012 Elsevier Ltd. All rights reserved.</t>
  </si>
  <si>
    <t>[Jonsen, I. D.; Bestley, S.] Dalhousie Univ, Dept Biol, Ocean Tracking Network, Halifax, NS, Canada; [Jonsen, I. D.; Patterson, T. A.; Thomson, R.] CSIRO Marine &amp; Atmospher Res, Wealth Ocean Flagship, Hobart, Tas, Australia; [Bravington, M. V.] CSIRO Math Informat &amp; Stat, Hobart, Tas, Australia; [Pedersen, M. W.; Thygesen, U. H.] Tech Univ Denmark, Natl Inst Aquat Resources, Charlottenlund, Denmark; [Bestley, S.; Wotherspoon, S. J.] Univ Tasmania, Inst Marine &amp; Antarctic Studies, Hobart, Tas, Australia; [Wotherspoon, S. J.] Australian Antarctic Div, Kingston, Tas, Australia</t>
  </si>
  <si>
    <t>Dalhousie University; Commonwealth Scientific &amp; Industrial Research Organisation (CSIRO); Commonwealth Scientific &amp; Industrial Research Organisation (CSIRO); Technical University of Denmark; University of Tasmania; Australian Antarctic Division</t>
  </si>
  <si>
    <t>Jonsen, ID (corresponding author), Dalhousie Univ, Dept Biol, Ocean Tracking Network, Halifax, NS, Canada.</t>
  </si>
  <si>
    <t>ijonsen@dal.ca</t>
  </si>
  <si>
    <t>Bestley, Sophie/AAN-2483-2021; Wotherspoon, Simon J/B-2390-2013; Thomson, Robin/G-2882-2015; Bravington, Mark V/E-8897-2010; Bestley, Sophie/E-9521-2013; Patterson, Toby A/B-3836-2011; Thygesen, Uffe Høgsbro/HZL-5515-2023; Thygesen, Uffe Høgsbro/AGI-6889-2022</t>
  </si>
  <si>
    <t>Bestley, Sophie/0000-0001-9342-669X; Wotherspoon, Simon J/0000-0002-6947-4445; Thomson, Robin/0000-0001-8499-2059; Bestley, Sophie/0000-0001-9342-669X; Thygesen, Uffe Høgsbro/0000-0002-4311-6324; Patterson, Toby/0000-0002-7150-9205; Jonsen, Ian/0000-0001-5423-6076</t>
  </si>
  <si>
    <t>Natural Sciences and Engineering Research Council of Canada (NSERC); Canadian Foundation for Innovation (CFI) through Ocean Tracking Network in Canada; Nordic Centre of Excellence project Climate Change on Marine Ecosystems and Resource Economics (NorMER); Nordforsk Top-Level Research Initiative (TFI), NordForsk Project [36800]; Villum Fonden [00007178] Funding Source: researchfish</t>
  </si>
  <si>
    <t>Natural Sciences and Engineering Research Council of Canada (NSERC)(Natural Sciences and Engineering Research Council of Canada (NSERC)); Canadian Foundation for Innovation (CFI) through Ocean Tracking Network in Canada; Nordic Centre of Excellence project Climate Change on Marine Ecosystems and Resource Economics (NorMER); Nordforsk Top-Level Research Initiative (TFI), NordForsk Project; Villum Fonden(Villum Fonden)</t>
  </si>
  <si>
    <t>The idea for this paper emerged at an informal workshop on quantitative approaches to animal movement modelling, organized by TAP, during the Fourth International Science Symposium on Bio-logging (14-18 March 2011 in Hobart, Tasmania, Australia). IDJ thanks the Symposium organizers for the invitation to give a keynote talk; some of the themes of the talk are represented in this paper, but the substance is very much a group effort. We thank two anonymous reviewers and Karen Evans for comments that helped improve the clarity of the paper. IDJ was funded by the Natural Sciences and Engineering Research Council of Canada (NSERC) and the Canadian Foundation for Innovation (CFI) through their support of the Ocean Tracking Network in Canada. MWP was funded by the Nordic Centre of Excellence project Climate Change on Marine Ecosystems and Resource Economics (NorMER) supported financially by the Nordforsk Top-Level Research Initiative (TFI), NordForsk Project number 36800.</t>
  </si>
  <si>
    <t>10.1016/j.dsr2.2012.07.008</t>
  </si>
  <si>
    <t>WOS:000317636400005</t>
  </si>
  <si>
    <t>Williams, ST; Smith, LM; Herbert, DG; Marshall, BA; Warén, A; Kiel, S; Dyal, P; Linse, K; Vilvens, C; Kano, Y</t>
  </si>
  <si>
    <t>Williams, S. T.; Smith, L. M.; Herbert, D. G.; Marshall, B. A.; Waren, A.; Kiel, S.; Dyal, P.; Linse, K.; Vilvens, C.; Kano, Y.</t>
  </si>
  <si>
    <t>Cenozoic climate change and diversification on the continental shelf and slope: evolution of gastropod diversity in the family Solariellidae (Trochoidea)</t>
  </si>
  <si>
    <t>Biogeography; deep sea; EoceneOligocene transition; phylogeny</t>
  </si>
  <si>
    <t>CALCITE COMPENSATION DEPTH; SOUTHERN-OCEAN; MOLECULAR SYSTEMATICS; BENTHIC COMMUNITIES; BAYESIAN-INFERENCE; GENETIC-STRUCTURE; SPECIES TREES; DEEP; SEA; PACIFIC</t>
  </si>
  <si>
    <t>Recent expeditions have revealed high levels of biodiversity in the tropical deep-sea, yet little is known about the age or origin of this biodiversity, and large-scale molecular studies are still few in number. In this study, we had access to the largest number of solariellid gastropods ever collected for molecular studies, including many rare and unusual taxa. We used a Bayesian chronogram of these deep-sea gastropods (1) to test the hypothesis that deep-water communities arose onshore, (2) to determine whether Antarctica acted as a source of diversity for deep-water communities elsewhere and (3) to determine how factors like global climate change have affected evolution on the continental slope. We show that although fossil data suggest that solariellid gastropods likely arose in a shallow, tropical environment, interpretation of the molecular data is equivocal with respect to the origin of the group. On the other hand, the molecular data clearly show that Antarctic species sampled represent a recent invasion, rather than a relictual ancestral lineage. We also show that an abrupt period of global warming during the Palaeocene Eocene Thermal Maximum (PETM) leaves no molecular record of change in diversification rate in solariellids and that the group radiated before the PETM. Conversely, there is a substantial, although not significant increase in the rate of diversification of a major clade approximately 33.7Mya, coinciding with a period of global cooling at the EoceneOligocene transition. Increased nutrients made available by contemporaneous changes to erosion, ocean circulation, tectonic events and upwelling may explain increased diversification, suggesting that food availability may have been a factor limiting exploitation of deep-sea habitats. Tectonic events that shaped diversification in reef-associated taxa and deep-water squat lobsters in central Indo-West Pacific were also probably important in the evolution of solariellids during the Oligo-Miocene.</t>
  </si>
  <si>
    <t>[Williams, S. T.; Smith, L. M.; Dyal, P.] Nat Hist Museum, Dept Life Sci, London SW7 5BD, England; [Herbert, D. G.] KwaZulu Natal Museum, ZA-3200 Pietermaritzburg, South Africa; [Herbert, D. G.] Univ KwaZulu Natal, Sch Life Sci, ZA-3206 Pietermaritzburg, South Africa; [Marshall, B. A.] Museum New Zealand Te Papa Tongarewa, Wellington, New Zealand; [Waren, A.] Swedish Museum Nat Hist, SE-10405 Stockholm, Sweden; [Kiel, S.] Univ Gottingen, Abt Geobiol, Geowissensch Zentrum, D-37077 Gottingen, Germany; [Kiel, S.] Univ Gottingen, Courant Res Ctr Geobiol, D-37077 Gottingen, Germany; [Linse, K.] British Antarctic Survey, Cambridge CB3 0ET, England; [Vilvens, C.] Museum Natl Hist Nat, F-75231 Paris 05, France; [Kano, Y.] Univ Tokyo, Atmosphere &amp; Ocean Res Inst, Dept Marine Ecosyst Dynam, Kashiwa, Chiba 2778564, Japan</t>
  </si>
  <si>
    <t>Natural History Museum London; University of Kwazulu Natal; Swedish Museum of Natural History; University of Gottingen; University of Gottingen; UK Research &amp; Innovation (UKRI); Natural Environment Research Council (NERC); NERC British Antarctic Survey; Museum National d'Histoire Naturelle (MNHN); University of Tokyo</t>
  </si>
  <si>
    <t>Williams, ST (corresponding author), Nat Hist Museum, Cromwell Rd, London SW7 5BD, England.</t>
  </si>
  <si>
    <t>s.williams@nhm.ac.uk</t>
  </si>
  <si>
    <t>Kiel, Steffen/C-3150-2009; Williams, Suzanne/A-9604-2008</t>
  </si>
  <si>
    <t>Kiel, Steffen/0000-0001-6281-100X; Herbert, David/0000-0002-4689-2759; Williams, Suzanne/0000-0003-2995-5823; Linse, Katrin/0000-0003-3477-3047</t>
  </si>
  <si>
    <t>Integration Research Grant from the European Distributed Institute of Taxonomy (EDIT); Collaborative Scheme for Systematics Research grant from the Systematics Association (CoSyst); Deutsche Forschungsgemeinschaft [Ki802/6-1]; JSPS KA-KENHI Grant [23370040]; NERC; Grants-in-Aid for Scientific Research [23370040, 24770072] Funding Source: KAKEN; Natural Environment Research Council [bas0100026] Funding Source: researchfish; NERC [bas0100026] Funding Source: UKRI</t>
  </si>
  <si>
    <t>Integration Research Grant from the European Distributed Institute of Taxonomy (EDIT); Collaborative Scheme for Systematics Research grant from the Systematics Association (CoSyst); Deutsche Forschungsgemeinschaft(German Research Foundation (DFG)); JSPS KA-KENHI Grant(Ministry of Education, Culture, Sports, Science and Technology, Japan (MEXT)Japan Society for the Promotion of ScienceGrants-in-Aid for Scientific Research (KAKENHI));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</si>
  <si>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acknowledge funding from an Integration Research Grant from the European Distributed Institute of Taxonomy (EDIT) and a Collaborative Scheme for Systematics Research grant from the Systematics Association (CoSyst), and grant Ki802/6-1 from the Deutsche Forschungsgemeinschaft, and JSPS KA-KENHI Grant (no. 23370040).r We are especially grateful to P. Bouchet, who provided most the samples in this study and to B. Buge, P. Maestrati, N. Puillandre, V. Heros and P. Lozouet for co-ordinating the loans and providing information about the sampling localities. MNHN material used in this study was collected during expeditions arranged by P. Bouchet and acknowledged in Williams (2012) and the following MNHN expeditions: BERYX, BIOPAPUA, BOA 1, BORDEAU 1, CONCALIS, NORFOLK 1 and 2, SOLOMON 1 and TARASOC. We are grateful to T. Hoisaeter for samples from Norway, M. Ito and K. Sakuma for the specimen of Hazuregyra watanabei collected by RV Wakataka-maru (Tohoku National Fisheries Research Institute; Ninth Cruise, 2010, Leg. 3) and to chief scientist J. Hashimoto for specimens collected by T/V Nagasaki-maru. We also thank J. Llewellyn-Hughes and C. Griffin for operating automated sequencers at the NHM. The following people kindly arranged loans: J. Waterhouse and I. Loch (AM), G. Harasewych (SI), C. Whisson, S. Slack-Smith, and J. Fromont (WAM). Thanks to T. Nakano for sequences for Minolia sp., P. Kuklinski for analyses in Statistica and comments on the text, T. Ozawa for new locality data for GenBank specimens, J. Zachos for providing a copy of his figure (Fig. 4A), J. Pickering for building a systematic database, H. Taylor for photos of specimens in Figure 3 and G. Vermeij and R. Helwerda for helpful discussions. Two anonymous reviewers and M. Hart made comments that improved the manuscript. The BIOPEARL II expedition and KL are part of the BAS Polar Science for Planet Earth Programme funded by NERC.</t>
  </si>
  <si>
    <t>10.1002/ece3.513</t>
  </si>
  <si>
    <t>126FW</t>
  </si>
  <si>
    <t>WOS:000317599300013</t>
  </si>
  <si>
    <t>Stanish, LF; O'Neill, SP; Gonzalez, A; Legg, TM; Knelman, J; McKnight, DM; Spaulding, S; Nemergut, DR</t>
  </si>
  <si>
    <t>Stanish, Lee F.; O'Neill, Sean P.; Gonzalez, Antonio; Legg, Teresa M.; Knelman, Joseph; McKnight, Diane M.; Spaulding, Sarah; Nemergut, Diana R.</t>
  </si>
  <si>
    <t>Bacteria and diatom co-occurrence patterns in microbial mats from polar desert streams</t>
  </si>
  <si>
    <t>MCMURDO DRY VALLEYS; SOUTHERN VICTORIA LAND; JAMES-ROSS-ISLAND; GLACIAL MELTWATER STREAM; TAYLOR VALLEY; COMMUNITY COMPOSITION; ICE SHELF; ANTARCTIC CYANOBACTERIA; IONIZING-RADIATION; NORTHERN PART</t>
  </si>
  <si>
    <t>The ephemeral stream habitats of the McMurdo Dry Valleys of Antarctica support desiccation and freeze-tolerant microbial mats that are hot spots of primary productivity in an otherwise inhospitable environment. The ecological processes that structure bacterial communities in this harsh environment are not known; however, insights from diatom community ecology may prove to be informative. We examined the relationships between diatoms and bacteria at the community and taxon levels. The diversity and community structure of stream microbial mats were characterized using high-throughput pyrosequencing for bacteria and morphological identification for diatoms. We found significant relationships between diatom communities and the communities of cyanobacteria and heterotrophic bacteria, and co-occurrence analysis identified numerous correlations between the relative abundances of individual diatom and bacterial taxa, which may result from species interactions. Additionally, the strength of correlations between heterotrophic bacteria and diatoms varied along a hydrologic gradient, indicating that flow regime may influence the overall community structure. Phylogenetic consistency in the co-occurrence patterns suggests that the associations are ecologically relevant. Despite these community- and taxon-level relationships, diatom and bacterial alpha diversity were inversely correlated, which may highlight a fundamental difference between the processes that influence bacterial and diatom community assembly in these streams. Our results therefore demonstrate that the relationships between diatoms and bacteria are complex and may result from species interactions as well as niche-specific processes.</t>
  </si>
  <si>
    <t>[O'Neill, Sean P.; Legg, Teresa M.; Knelman, Joseph] Univ Colorado, Inst Arctic &amp; Alpine Res, Dept Ecol, Boulder, CO 80309 USA; [O'Neill, Sean P.; Legg, Teresa M.; Knelman, Joseph] Univ Colorado, Inst Arctic &amp; Alpine Res, Dept Evolutionary Biol, Boulder, CO 80309 USA; [Gonzalez, Antonio] Univ Colorado, Inst Arctic &amp; Alpine Res, Dept Comp Sci, Boulder, CO 80309 USA; [McKnight, Diane M.] Univ Colorado, Inst Arctic &amp; Alpine Res, Dept Civil &amp; Environm Engn, Boulder, CO 80309 USA; [Spaulding, Sarah] Univ Colorado, US Geol Survey, Inst Arctic &amp; Alpine Res, Boulder, CO 80309 USA</t>
  </si>
  <si>
    <t>University of Colorado System; University of Colorado Boulder; University of Colorado System; University of Colorado Boulder; University of Colorado System; University of Colorado Boulder; University of Colorado System; University of Colorado Boulder; University of Colorado System; University of Colorado Boulder; United States Department of the Interior; United States Geological Survey</t>
  </si>
  <si>
    <t>Stanish, LF (corresponding author), Univ Colorado, Inst Arctic &amp; Alpine Res, 1560 30th St,Campus Box 450, Boulder, CO 80309 USA.</t>
  </si>
  <si>
    <t>lee.stanish@colorado.edu</t>
  </si>
  <si>
    <t>Gonzalez, Antonio/A-6421-2018; Spaulding, Sarah Ann/AEZ-7757-2022</t>
  </si>
  <si>
    <t>Spaulding, Sarah Ann/0000-0002-9787-7743; MCKNIGHT, DIANE/0000-0002-4171-1533</t>
  </si>
  <si>
    <t>MCMLTER [OPP-0096250]; National Science Foundation Antarctic Organisms and Ecosystems Program [0839020]; Division Of Ocean Sciences; Directorate For Geosciences [0839020] Funding Source: National Science Foundation; Office of Polar Programs (OPP); Directorate For Geosciences [1115245] Funding Source: National Science Foundation</t>
  </si>
  <si>
    <t>MCMLTER; National Science Foundation Antarctic Organisms and Ecosystems Program(National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</si>
  <si>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Thanks to Kathy Welch and the staff at Crary Laboratory for water quality analyses. Raytheon Polar Services Company and PHI Helicopters provided essential logistic and transportation support during the field campaign. Funding was generously provided by the MCMLTER (OPP-0096250) and National Science Foundation Antarctic Organisms and Ecosystems Program Award #0839020. Many thanks to David Vuono for critical comments.</t>
  </si>
  <si>
    <t>10.1111/j.1462-2920.2012.02872.x</t>
  </si>
  <si>
    <t>122AM</t>
  </si>
  <si>
    <t>WOS:000317287200011</t>
  </si>
  <si>
    <t>Nelson, TM; Rogers, TL; Carlini, AR; Brown, MV</t>
  </si>
  <si>
    <t>Nelson, Tiffanie M.; Rogers, Tracey L.; Carlini, Alejandro R.; Brown, Mark V.</t>
  </si>
  <si>
    <t>Diet and phylogeny shape the gut microbiota of Antarctic seals: a comparison of wild and captive animals</t>
  </si>
  <si>
    <t>SOUTHERN ELEPHANT SEALS; RIBOSOMAL-RNA SEQUENCES; MIROUNGA-LEONINA; INTESTINAL MICROBIOTA; HYDRURGA-LEPTONYX; MOLECULAR ANALYSIS; FECAL MICROBIOTA; PRYDZ BAY; DIVERSITY; HOST</t>
  </si>
  <si>
    <t>The gut microbiota of mammals underpins the metabolic capacity and health of the host. Our understanding of what influences the composition of this community has been limited primarily to evidence from captive and terrestrial mammals. Therefore, the gut microbiota of southern elephant seals, Mirounga leonina, and leopard seals, Hydrurga leptonyx, inhabiting Antarctica were compared with captive leopard seals. Each seal exhibited a gut microbiota dominated by four phyla: Firmicutes (41.5 +/- 4.0%), Fusobacteria (25.6 +/- 3.9%), Proteobacteria (17.0 +/- 3.2%) and Bacteroidetes (14.1 +/- 1.7%). Species, age, sex and captivity were strong drivers of the composition of the gut microbiota, which can be attributed to differences in diet, gut length and physiology and social interactions. Differences in particular prey items consumed by seal species could contribute to the observed differences in the gut microbiota. The longer gut of the southern elephant seal provides a habitat reduced in available oxygen and more suitable to members of the phyla Bacteroidetes compared with other hosts. Among wild seals, 16 core' bacterial community members were present in the gut of at least 50% of individuals. As identified between southern elephant seal motherpup pairs, core' members are passed on via vertical transmission from a young age and persist through to adulthood. Our study suggests that these hosts have co-evolved with their gut microbiota and core members may provide some benefit to the host, such as developing the immune system. Further evidence of their strong evolutionary history is provided with the presence of 18 shared core' members in the gut microbiota of related seals living in the Arctic. The influence of diet and other factors, particularly in captivity, influences the composition of the community considerably. This study suggests that the gut microbiota has co-evolved with wild mammals as is evident in the shared presence of core' members.</t>
  </si>
  <si>
    <t>[Nelson, Tiffanie M.; Rogers, Tracey L.; Brown, Mark V.] Univ New S Wales, Evolut &amp; Ecol Res Ctr, Kensington, NSW 2033, Australia; [Nelson, Tiffanie M.; Rogers, Tracey L.] Univ New S Wales, Sch Biol Earth &amp; Environm Sci, Kensington, NSW 2033, Australia; [Brown, Mark V.] Univ New S Wales, Sch Biotechnol &amp; Biomol Sci, Kensington, NSW 2033, Australia; [Carlini, Alejandro R.] Inst Antartico Argentina, Dept Ciencias Biol, Buenos Aires, DF, Argentina</t>
  </si>
  <si>
    <t>University of New South Wales Sydney; University of New South Wales Sydney; University of New South Wales Sydney; Instituto Antartico Argentino</t>
  </si>
  <si>
    <t>Nelson, TM (corresponding author), Univ New S Wales, Evolut &amp; Ecol Res Ctr, POB 1, Kensington, NSW 2033, Australia.</t>
  </si>
  <si>
    <t>t.nelson@aims.gov.au</t>
  </si>
  <si>
    <t>Rogers, Tracey L/C-3419-2008; Nelson, Tiffanie/A-9907-2013</t>
  </si>
  <si>
    <t>Rogers, Tracey/0000-0002-7141-4177; Nelson, Tiffanie/0000-0002-5341-312X</t>
  </si>
  <si>
    <t>Secretaria de Ciencia y Tecnologia; Direccion Nacional del Antartico (PICTO) [36054]; Australian Research Council; Winifred Scott Foundation; Evolution and Ecology Research Centre</t>
  </si>
  <si>
    <t>Secretaria de Ciencia y Tecnologia(Secretaria de Ciencia y Tecnologia (SECYT)); Direccion Nacional del Antartico (PICTO); Australian Research Council(Australian Research Council); Winifred Scott Foundation; Evolution and Ecology Research Centre</t>
  </si>
  <si>
    <t>The contributors are grateful for the field assistance provided by Instituto Antartico Argentino, members of the Australian Marine Mammal Research Centre and Taronga Zoo staff. Funding for the field support was provided by the Secretaria de Ciencia y Tecnologia and the Direccion Nacional del Antartico (PICTO No. 36054), the Australian Research Council, Winifred Scott Foundation, and the Evolution and Ecology Research Centre. We dedicate this publication to our friend, colleague and contributor, Alejandro Carlini, who passed away in December 2010.</t>
  </si>
  <si>
    <t>10.1111/1462-2920.12022</t>
  </si>
  <si>
    <t>WOS:000317287200012</t>
  </si>
  <si>
    <t>Hafsteinsdóttir, EG; White, DA; Gore, DB</t>
  </si>
  <si>
    <t>Hafsteinsdottir, Erla G.; White, Duanne A.; Gore, Damian B.</t>
  </si>
  <si>
    <t>Effects of freeze-thaw cycling on metal-phosphate formation and stability in single and multi-metal systems</t>
  </si>
  <si>
    <t>Polar regions; Copper; Lead; Zinc; Contamination</t>
  </si>
  <si>
    <t>IN-SITU STABILIZATION; LEAD ORTHOPHOSPHATES; IMMOBILIZATION; SOILS; ZN; PB; CU; CONTAMINATION; REMEDIATION; PHOSPHORUS</t>
  </si>
  <si>
    <t>Freeze-thaw cycling may influence the chemistry, mineral stability and reaction rate during metal orthophosphate fixation. This study assessed the formation and stability of Cu-, Pb-, and Zn-phosphates in chemically simple laboratory systems during 240 freeze-thaw cycles (120 days) from +10 to 20 degrees C, using X-ray diffractometry. In single heavy metal systems, chloro- and hydroxy-pyromorphite (Pb-5(PO4)(3)(Cl,OH)), sodalite (Na6Zn6(PO4)(6)center dot 8H(2)O), chiral zincophosphate (Na-12(Zn12P12O48)center dot 12H(2)O), and copper phosphate hydrate (Cu-3(PO4)(2)center dot 3H(2)O) were the primary phosphate minerals that formed, and were typically stable during the experiment. Zinc and Cu-phosphate formation was reduced in multi heavy metal systems, and was substantially lower in abundance than chloropyromorphite. Successful Cu-, Pb- and Zn-phosphate formation can be expected in cold and freezing environments like the polar regions. However, field implementation of orthophosphate fixation needs to consider competing ion effects, concentration of the phosphate source, and the amount of free-water. (C) 2013 Elsevier Ltd. All rights reserved.</t>
  </si>
  <si>
    <t>[Hafsteinsdottir, Erla G.; White, Duanne A.; Gore, Damian B.] Macquarie Univ, Dept Environm &amp; Geog, N Ryde, NSW 2109, Australia</t>
  </si>
  <si>
    <t>Hafsteinsdóttir, EG (corresponding author), URS Australia, 53 Cleary St, Hamilton, NSW 2303, Australia.</t>
  </si>
  <si>
    <t>erla_gud@hotmail.com; duanne.white@canberra.edu.au; damian.gore@mq.edu.au</t>
  </si>
  <si>
    <t>White, Duanne A/E-6919-2012</t>
  </si>
  <si>
    <t>White, Duanne/0000-0003-0740-2072; Gore, Damian/0000-0002-0377-8518</t>
  </si>
  <si>
    <t>Australian Antarctic Division [AAS2937]; Australian Research Council; PANalytical and Veolia Environmental Services [LP0776373]; Australian Research Council [LP0776373] Funding Source: Australian Research Council</t>
  </si>
  <si>
    <t>Australian Antarctic Division; Australian Research Council(Australian Research Council); PANalytical and Veolia Environmental Services; Australian Research Council(Australian Research Council)</t>
  </si>
  <si>
    <t>We thank the Australian Antarctic Division (AAS2937), and the Australian Research Council, PANalytical and Veolia Environmental Services for financial support under Linkage Project LP0776373. The industry sponsors did not contribute to, but have approved the design, conduct and publication of this research. We thank Scott Stark and two anonymous reviewers for helpful comments on the manuscript.</t>
  </si>
  <si>
    <t>10.1016/j.envpol.2013.01.007</t>
  </si>
  <si>
    <t>WOS:000316517200022</t>
  </si>
  <si>
    <t>Zhang, T; Zhang, YQ; Liu, HY; Wei, YZ; Li, HL; Su, J; Zhao, LX; Yu, LY</t>
  </si>
  <si>
    <t>Zhang, Tao; Zhang, Yu-Qin; Liu, Hong-Yu; Wei, Yu-Zhen; Li, Hai-Long; Su, Jing; Zhao, Li-Xun; Yu, Li-Yan</t>
  </si>
  <si>
    <t>Diversity and cold adaptation of culturable endophytic fungi from bryophytes in the Fildes Region, King George Island, maritime Antarctica</t>
  </si>
  <si>
    <t>FEMS MICROBIOLOGY LETTERS</t>
  </si>
  <si>
    <t>liverwort and moss; fungal endophytes; polar ecosystem; extremophiles; culture- dependent method</t>
  </si>
  <si>
    <t>EOCRONARTIUM-MUSCICOLA; ENDOLICHENIC FUNGI; WINDMILL ISLANDS; LIVERWORT; BIODIVERSITY; ASSOCIATION; HOST</t>
  </si>
  <si>
    <t>Endophytic fungi associated with three bryophyte species in the Fildes Region, King George Island, maritime Antarctica, that is, the liverwort Barbilophozia hatcheri, the mosses Chorisodontium aciphyllum and Sanionia uncinata, were studied by culture-dependent method. A total of 128 endophytic fungi were isolated from 1329 tissue segments of 14 samples. The colonization rate of endophytic fungi in three bryophytes species were 12.3%, 12.1%, and 8.7%, respectively. These isolates were identified to 21 taxa, with 15 Ascomycota, 5 Basidiomycota, and 1 unidentified fungus, based on morphological characteristics and sequence analyses of ITS region and D1/D2 domain. The dominant fungal endophyte was Hyaloscyphaceae sp. in B.hatcheri, Rhizoscyphus sp. in C.aciphyllum, and one unidentified fungus in S.uncinata; and their relative frequencies were 33.3%, 32.1%, and 80.0%, respectively. Furthermore, different ShannonWeiner diversity indices (0.911.99) for endophytic fungi and low endophytic fungal composition similarities (0.190.40) were found in three bryophyte species. Growth temperature tests indicated that 21 taxa belong to psychrophiles (9), psychrotrophs (11), and mesophile (1). The results herein demonstrate that the Antarctic bryophytes are an interesting source of fungal endophytes and the endophytic fungal composition is different among the bryophyte species, and suggest that these fungal endophytes are adapted to cold stress in Antarctica.</t>
  </si>
  <si>
    <t>[Yu, Li-Yan] Chinese Acad Med Sci, Inst Med Biotechnol, Beijing 100050, Peoples R China; Peking Union Med Coll, Beijing 100050, Peoples R China</t>
  </si>
  <si>
    <t>Chinese Academy of Medical Sciences - Peking Union Medical College; Institute of Medicinal Biotechnology - CAMS; Chinese Academy of Medical Sciences - Peking Union Medical College; Peking Union Medical College</t>
  </si>
  <si>
    <t>Yu, LY (corresponding author), Chinese Acad Med Sci, Inst Med Biotechnol, Beijing 100050, Peoples R China.</t>
  </si>
  <si>
    <t>yly@cpcc.ac.cn</t>
  </si>
  <si>
    <t>yu, liyan/GYD-2950-2022; Zhang, Yu-Qin/AEH-7339-2022</t>
  </si>
  <si>
    <t>yu, liyan/0000-0002-8861-9806; Zhang, Yu-Qin/0000-0002-1739-6705</t>
  </si>
  <si>
    <t>0378-1097</t>
  </si>
  <si>
    <t>1574-6968</t>
  </si>
  <si>
    <t>FEMS MICROBIOL LETT</t>
  </si>
  <si>
    <t>FEMS Microbiol. Lett.</t>
  </si>
  <si>
    <t>10.1111/1574-6968.12090</t>
  </si>
  <si>
    <t>106MZ</t>
  </si>
  <si>
    <t>WOS:000316149500007</t>
  </si>
  <si>
    <t>Bustnes, JO; Moe, B; Helberg, M; Phillips, RA</t>
  </si>
  <si>
    <t>Bustnes, Jan O.; Moe, Borge; Helberg, Morten; Phillips, Richard A.</t>
  </si>
  <si>
    <t>Rapid long-distance migration in Norwegian Lesser Black-backed Gulls Larus fuscus fuscus along their eastern flyway</t>
  </si>
  <si>
    <t>IBIS</t>
  </si>
  <si>
    <t>animal movements; migration strategies; migratory stopover</t>
  </si>
  <si>
    <t>GEOLOCATION; TRACKING; SEABIRD; SPEED; OCEAN; WIND</t>
  </si>
  <si>
    <t>We studied the long-distance migration of Lesser Black-backed Gulls Larus fuscus fuscus breeding in northern Norway along their eastern flyway using geolocators in 2009 and 2010. The majority of birds wintered in lakes in East Africa and the southeast Mediterranean was the most important stopover area. Larus f.fuscus along the eastern flyway travelled at a net travel speed of 399 and 177km/day during the autumn and spring migration, respectively, higher than published travel speeds for Dutch Larus fuscus migrating along the western flyway. The results suggest that the long-distance migratory Norwegian L.f.fuscus seek to minimize time spent in transit, whereas lower travel speed during northerly spring migration may reflect differences in wind patterns or food conditions between spring and autumn.</t>
  </si>
  <si>
    <t>[Bustnes, Jan O.; Moe, Borge] Norwegian Inst Nat Res, Fram Ctr, Tromso, Norway; [Helberg, Morten] Univ Oslo, Dept Biol, CEES, Oslo, Norway; [Phillips, Richard A.] British Antarctic Survey, Nat Environm Res Council, Cambridge CB3 0ET, England</t>
  </si>
  <si>
    <t>Norwegian Institute Nature Research; University of Oslo; UK Research &amp; Innovation (UKRI); Natural Environment Research Council (NERC); NERC British Antarctic Survey</t>
  </si>
  <si>
    <t>Bustnes, JO (corresponding author), Norwegian Inst Nat Res, Fram Ctr, Tromso, Norway.</t>
  </si>
  <si>
    <t>jan.o.bustnes@nina.no</t>
  </si>
  <si>
    <t>Moe, Borge/P-2946-2015</t>
  </si>
  <si>
    <t>Moe, Borge/0000-0002-2306-1899</t>
  </si>
  <si>
    <t>Norwegian Seabird Research Program SEA-POP; Fram Centre; NERC [bas0100025] Funding Source: UKRI; Natural Environment Research Council [bas0100025] Funding Source: researchfish</t>
  </si>
  <si>
    <t>Norwegian Seabird Research Program SEA-POP; Fram Centre; NERC(UK Research &amp; Innovation (UKRI)Natural Environment Research Council (NERC)); Natural Environment Research Council(UK Research &amp; Innovation (UKRI)Natural Environment Research Council (NERC))</t>
  </si>
  <si>
    <t>We thank two anonymous reviewers for comments that greatly improved an earlier draft of the manuscript. The study was funded through the Norwegian Seabird Research Program SEA-POP and the Fram Centre.</t>
  </si>
  <si>
    <t>0019-1019</t>
  </si>
  <si>
    <t>Ibis</t>
  </si>
  <si>
    <t>10.1111/ibi.12022</t>
  </si>
  <si>
    <t>108WN</t>
  </si>
  <si>
    <t>WOS:000316327000017</t>
  </si>
  <si>
    <t>Wiebe, PH; Lawson, GL; Lavery, AC; Copley, NJ; Horgan, E; Bradley, A</t>
  </si>
  <si>
    <t>Wiebe, Peter H.; Lawson, Gareth L.; Lavery, Andone C.; Copley, Nancy J.; Horgan, Erich; Bradley, Albert</t>
  </si>
  <si>
    <t>Improved agreement of net and acoustical methods for surveying euphausiids by mitigating avoidance using a net-based LED strobe light system</t>
  </si>
  <si>
    <t>acoustics; avoidance; euphausiids; krill; strobe light; zooplankton</t>
  </si>
  <si>
    <t>MESOPELAGIC CRUSTACEANS; SCATTERING MODELS; ANTARCTIC KRILL; ZOOPLANKTON; BIOMASS; CATCH; BACKSCATTERING; MIGRATION; ABUNDANCE; VOLUME</t>
  </si>
  <si>
    <t>Euphausiids are known for their ability to avoid capture by standard plankton nets. Repeat sampling was conducted in the Gulf of Maine with a 1 m(2) MOCNESS equipped with a light-emitting diode (LED)-based strobe light concurrent to multifrequency acoustic data collection. On cruise one, the strobe light's efficacy in reducing euphausiid net avoidance was evaluated on two horizontal tows where four of the eight nets were sampled with the strobe flashing and four with the strobe off. With the strobe light on, there was a significant increase in euphausiid abundance by a factor of 4.5 at night and by a factor of 11.0 during the day. There was also a significant increase in biovolume catch of zooplankton when the strobe light was on by factors of 2.2 at night and 5.5 during the day due to a higher abundance of 10 and 35 mm euphausiids. Euphausiids caught with the strobe light on accounted for most of the observed backscattering, and acoustic and net estimates of their abundance agreed. Similar results were obtained on cruise two. Agreement of acoustic and net estimates when using the strobe light suggests that reduced avoidance enhanced the efficiency of catching euphausiids.</t>
  </si>
  <si>
    <t>[Wiebe, Peter H.; Lawson, Gareth L.; Copley, Nancy J.; Horgan, Erich] Woods Hole Oceanog Inst, Dept Biol, Woods Hole, MA 02543 USA; [Lavery, Andone C.; Bradley, Albert] Woods Hole Oceanog Inst, Dept Appl Ocean Phys &amp; Engn, Woods Hole, MA 02543 USA</t>
  </si>
  <si>
    <t>Woods Hole Oceanographic Institution; Woods Hole Oceanographic Institution</t>
  </si>
  <si>
    <t>Wiebe, PH (corresponding author), Woods Hole Oceanog Inst, Dept Biol, Woods Hole, MA 02543 USA.</t>
  </si>
  <si>
    <t>pwiebe@whoi.edu</t>
  </si>
  <si>
    <t>Wiebe, Peter/0000-0002-6059-4651</t>
  </si>
  <si>
    <t>National Science Foundation [OCE-0928801]; Office of Naval Research's Marine Mammals and Biology Program; Directorate For Geosciences; Division Of Ocean Sciences [0928801] Funding Source: National Science Foundation</t>
  </si>
  <si>
    <t>National Science Foundation(National Science Foundation (NSF)); Office of Naval Research's Marine Mammals and Biology Program(Office of Naval Research); Directorate For Geosciences; Division Of Ocean Sciences(National Science Foundation (NSF)NSF - Directorate for Geosciences (GEO))</t>
  </si>
  <si>
    <t>We thank Cindy Sellers, Wu-Jung Lee, Tobias Work, Kaylyn Becker, Phil Alatalo, Nick Nidzieko, and Nick Woods for their assistance with the MOCNESS tows, and Robert Levine for assistance with net and acoustic analyses. We also acknowledge the assistance provided by Dave Nelson (URI Marine Technician) and the Captain and Crew of the R/V Endeavor as well as our National Marine Fisheries Service collaborator Mike Jech. This material is based upon work supported by the National Science Foundation under Grant Number OCE-0928801. The Saanich Inlet study mentioned in the Discussion of this paper was conducted as part of the summer 2011 Marine Bioacoustics course taught at the University of Washington's Friday Harbor Laboratories. Ship time and other logistics associated with the course were supported by a grant from the Office of Naval Research's Marine Mammals and Biology Program. Finally we thank the three anonymous reviewers for the positive and constructive reviews.</t>
  </si>
  <si>
    <t>10.1093/icesjms/fst005</t>
  </si>
  <si>
    <t>WOS:000318093200015</t>
  </si>
  <si>
    <t>Klein, SR</t>
  </si>
  <si>
    <t>Klein, Spencer R.</t>
  </si>
  <si>
    <t>A Radio Detector Array for Cosmic Neutrinos on the Ross Ice Shelf</t>
  </si>
  <si>
    <t>IEEE TRANSACTIONS ON NUCLEAR SCIENCE</t>
  </si>
  <si>
    <t>Symposium on Radiation Measurements and Applications (SORMA)</t>
  </si>
  <si>
    <t>MAY 14-17, 2012</t>
  </si>
  <si>
    <t>Oakland, CA</t>
  </si>
  <si>
    <t>Askaryan effect; neutrinos cosmic rays; radio-detection</t>
  </si>
  <si>
    <t>ARIANNA; PULSES; CHARGE</t>
  </si>
  <si>
    <t>ARIANNA (The Antarctic Ross Ice Shelf Antenna Neutrino Array) is a proposed large detector for ultrahigh energy (above 10(17) eV) astrophysical neutrinos. It will instrument 900 km(2) of the 550 m thick Ross Ice Shelf (450 km(3) total volume) with radio detectors, to study the origins of ultrahigh energy cosmic rays by searching for the neutrinos produced when these cosmic rays interact with the cosmic microwave background. Over 900 independently operating stations will detect the coherent radio Cherenkov emission produced when astrophysical neutrinos with energy above 10(17) eV interact in the Antarctic Ross Ice Shelf. Each station will use 8 log periodic dipole antennas to look for short RF pulses, with the most important frequencies between 80 MHz and 1 GHz. By measuring the pulse polarization and frequency spectrum, the neutrino arrival direction can be determined. In one year of operation, the full array should observe a clear GZK neutrino signal, with different models predicting between 3 and 51 events, depending on the nuclear composition of the cosmic-rays and on the cosmic evolution of their sources.</t>
  </si>
  <si>
    <t>[Klein, Spencer R.] Univ Calif Berkeley, Lawrence Berkeley Natl Lab, Berkeley, CA 94720 USA; [Klein, Spencer R.] Univ Calif Berkeley, Berkeley, CA 94720 USA</t>
  </si>
  <si>
    <t>United States Department of Energy (DOE); Lawrence Berkeley National Laboratory; University of California System; University of California Berkeley; University of California System; University of California Berkeley</t>
  </si>
  <si>
    <t>Klein, SR (corresponding author), Univ Calif Berkeley, Lawrence Berkeley Natl Lab, Berkeley, CA 94720 USA.</t>
  </si>
  <si>
    <t>srklein@lbl.gov</t>
  </si>
  <si>
    <t>Klein, Spencer/0000-0003-2841-6553</t>
  </si>
  <si>
    <t>0018-9499</t>
  </si>
  <si>
    <t>1558-1578</t>
  </si>
  <si>
    <t>IEEE T NUCL SCI</t>
  </si>
  <si>
    <t>IEEE Trans. Nucl. Sci.</t>
  </si>
  <si>
    <t>10.1109/TNS.2013.2248746</t>
  </si>
  <si>
    <t>Engineering, Electrical &amp; Electronic; Nuclear Science &amp; Technology</t>
  </si>
  <si>
    <t>Engineering; Nuclear Science &amp; Technology</t>
  </si>
  <si>
    <t>170MR</t>
  </si>
  <si>
    <t>WOS:000320856500027</t>
  </si>
  <si>
    <t>Franzke, Christian</t>
  </si>
  <si>
    <t>Significant reduction of cold temperature extremes at Faraday/Vernadsky station in the Antarctic Peninsula</t>
  </si>
  <si>
    <t>Antarctic warming; extremes; Faraday station; Vernadsky station</t>
  </si>
  <si>
    <t>EMPIRICAL MODE DECOMPOSITION; MODULATED ANNUAL CYCLE; LONG-RANGE DEPENDENCE; CLIMATE-CHANGE; ICE-SHEET; NOISE; VARIABILITY; TRENDS; CHINA</t>
  </si>
  <si>
    <t>This study examines the daily observed temperature at the Faraday/Vernadsky station in the Antarctic Peninsula for the period February 1947 through January 2011. Faraday/Vernadsky is experiencing a significant warming trend of about 0.6 degrees C/decade over the last few decades. Concurrently, the magnitude of extremely cold temperatures has reduced while there is no evidence for an increase of the annual maximum temperature. An empirical mode decomposition reveals that most of the temperature variability occurs on intraannual time scales and that changes in the magnitude of the annual cycle can be explained by a simple periodic stochastic process. Extremely cold temperatures below a threshold follow a generalised Pareto distribution (GPD) with a negative shape parameter and thus are bounded. We find that the extremely cold behaviour in the first half of the record is significantly different from the second half. At the same time there is no evident increase of warm temperatures or in the location of the maximum of the temperature probability distribution. These findings provide evidence that at Faraday/Vernadsky, it is the change in the shape of the temperature distribution that has substantially contributed to the observed warming over the last few decades. Furthermore, we find evidence for clustering of extreme cold events and show that they are predictable a few days in advance using a precursor-based prediction scheme. Copyright (c) 2012 Royal Meteorological Society</t>
  </si>
  <si>
    <t>Franzke, C (corresponding author), British Antarctic Survey, Madingley Rd, Cambridge CB3 0ET, England.</t>
  </si>
  <si>
    <t>; Franzke, Christian/A-6191-2012</t>
  </si>
  <si>
    <t>Franzke, Christian/0000-0002-8084-3256; Franzke, Christian/0000-0003-4111-1228</t>
  </si>
  <si>
    <t>I thank Mervyn Freeman and two anonymous reviewers for their very valuable comments on an earlier draft of this manuscript. This study is part of the British Antarctic Survey Polar Science for Planet Earth Programme. It was funded by The Natural Environment Research Council.</t>
  </si>
  <si>
    <t>10.1002/joc.3490</t>
  </si>
  <si>
    <t>WOS:000317423800002</t>
  </si>
  <si>
    <t>Autret, G; Rémy, F; Roques, S</t>
  </si>
  <si>
    <t>Autret, Guilhem; Remy, Frederique; Roques, Sylvie</t>
  </si>
  <si>
    <t>Multiscale Analysis of Antarctic Surface Temperature Series by Empirical Mode Decomposition</t>
  </si>
  <si>
    <t>CIRCUMPOLAR WAVE; TIME-SERIES; TROPOSPHERIC RESPONSE; SOUTHERN-OCEAN; NONSTATIONARY</t>
  </si>
  <si>
    <t>This article illustrates the multiscale nature of the Antarctica climatology. Its variability is analyzed from coastal weather stations climate recordings of the continent, supplying temperature data since 1955. Using empirical mode decomposition, coupled to wavelet analysis, climatological signals are detected of a weak near-8-yr rotating wave that could be the so-called Antarctic Circumpolar Wave.</t>
  </si>
  <si>
    <t>[Autret, Guilhem; Remy, Frederique] Univ Toulouse, CNRS, LEGOS, F-31400 Toulouse, France; [Autret, Guilhem; Roques, Sylvie] Univ Toulouse, CNRS, Inst Rech Astrophys &amp; Planetol, F-31400 Toulouse, France</t>
  </si>
  <si>
    <t>Universite de Toulouse; Universite Toulouse III - Paul Sabatier; Centre National de la Recherche Scientifique (CNRS); Institut de Recherche pour le Developpement (IRD); Laboratoire d'Etudes en Geophysique et oceanographie spatiales; Universite de Toulouse; Universite Toulouse III - Paul Sabatier; Centre National de la Recherche Scientifique (CNRS)</t>
  </si>
  <si>
    <t>Roques, S (corresponding author), Univ Toulouse, CNRS, Inst Rech Astrophys &amp; Planetol, 14 Ave Edouard Belin, F-31400 Toulouse, France.</t>
  </si>
  <si>
    <t>sylvie.roques@ast.obs-mip.fr</t>
  </si>
  <si>
    <t>10.1175/JTECH-D-11-00050.1</t>
  </si>
  <si>
    <t>130YF</t>
  </si>
  <si>
    <t>WOS:000317955700001</t>
  </si>
  <si>
    <t>Porta, A; Fortino, V; Armenante, A; Maresca, B</t>
  </si>
  <si>
    <t>Porta, Amalia; Fortino, Vittorio; Armenante, Annunziata; Maresca, Bruno</t>
  </si>
  <si>
    <t>Cloning and characterization of a Δ9-desaturase gene of the Antarctic fish Chionodraco hamatus and Trematomus bernacchii</t>
  </si>
  <si>
    <t>JOURNAL OF COMPARATIVE PHYSIOLOGY B-BIOCHEMICAL SYSTEMS AND ENVIRONMENTAL PHYSIOLOGY</t>
  </si>
  <si>
    <t>Antarctic fish; Delta(9)-desaturase; Temperature adaptation; Protein adaptation; S. cerevisiae; ClustalW alignment</t>
  </si>
  <si>
    <t>STEAROYL-COA DESATURASE; AMINO-ACID-SEQUENCE; BIOLOGICAL-MEMBRANES; HOMEOVISCOUS ADAPTATION; TEMPERATURE ADAPTATION; NOTOTHENIOID FISHES; GROWTH TEMPERATURE; EXPRESSION; COLD; EVOLUTION</t>
  </si>
  <si>
    <t>Chionodraco hamatus and Trematomus bernacchii are perciforms, members of the fish suborder Notothenioidei that live in the Antarctic Ocean and experience very cold and persistent environmental temperature. These fish have biochemical and molecular features that allow them to live at these extreme cold temperatures. Fine tuning of the level of unsaturated fatty acids content in membrane is a key mechanism of living organisms to adapt to cold and high temperatures. Desaturases are key enzymes that synthesize unsaturated fatty acyl-CoAs from saturated fatty acids. We cloned and sequenced a Delta(9)-desaturase gene and its cDNA of C. hamatus, and the cDNA of T. bernacchii. The coded proteins are virtually identical and share homology to other Delta(9)-desaturase fish sequences. These proteins contain, in the first trans-membrane domain, two cysteine residues that may form a disulfur bond present in the corresponding membrane region of Delta(9)-desaturase proteins of other Antarctic fish but not in Eleginops maclovinus that experiences higher environmental temperatures and in all other Delta(9)-desaturase genes of mammals present in data bases. C. hamatus Delta(9)-desaturase gene complements a Saccharomyces cerevisiae mutant lacking Delta(9)-desaturase (Ole1) gene. Analysis of sequence homology of the trans-membrane domains of Delta(9)-desaturase and the cytoplasmic region of the same proteins of Antarctic fish, non-Antarctic fish and mammals suggest that the significant differences found in the homologous sequences of the first trans-membrane domain may be due to the specific lipid content of their membrane.</t>
  </si>
  <si>
    <t>[Porta, Amalia; Armenante, Annunziata; Maresca, Bruno] Univ Salerno, Div Biomed, Dept Pharmaceut &amp; Biomed Sci, Sch Pharm, I-84100 Salerno, Italy; [Fortino, Vittorio] Univ Salerno, Dept Informat, I-84100 Salerno, Italy</t>
  </si>
  <si>
    <t>University of Salerno; University of Salerno</t>
  </si>
  <si>
    <t>Maresca, B (corresponding author), Univ Salerno, Div Biomed, Dept Pharmaceut &amp; Biomed Sci, Sch Pharm, I-84100 Salerno, Italy.</t>
  </si>
  <si>
    <t>bmaresca@unisa.it</t>
  </si>
  <si>
    <t>Porta, Amalia/E-9540-2012</t>
  </si>
  <si>
    <t>PNRA (National Program on Antarctic Research, Italy); FARB Grant, MURST, Unisa, Italy</t>
  </si>
  <si>
    <t>This work was supported in part by a Grant from PNRA (National Program on Antarctic Research, Italy) and by FARB Grant 2010, MURST, Unisa, Italy. We wish to thank Dr. Chi-Hing Christina Cheng, University of Illinois at Urbana-Champaign, for her critical reading of the manuscript and very helpful suggestions.</t>
  </si>
  <si>
    <t>0174-1578</t>
  </si>
  <si>
    <t>1432-136X</t>
  </si>
  <si>
    <t>J COMP PHYSIOL B</t>
  </si>
  <si>
    <t>J. Comp. Physiol. B-Biochem. Syst. Environ. Physiol.</t>
  </si>
  <si>
    <t>10.1007/s00360-012-0702-7</t>
  </si>
  <si>
    <t>Physiology; Zoology</t>
  </si>
  <si>
    <t>114RV</t>
  </si>
  <si>
    <t>WOS:000316760900007</t>
  </si>
  <si>
    <t>Sallée, JB; Shuckburgh, E; Bruneau, N; Meijers, AJS; Bracegirdle, TJ; Wang, Z; Roy, T</t>
  </si>
  <si>
    <t>Sallee, J. -B.; Shuckburgh, E.; Bruneau, N.; Meijers, A. J. S.; Bracegirdle, T. J.; Wang, Z.; Roy, T.</t>
  </si>
  <si>
    <t>Assessment of Southern Ocean water mass circulation and characteristics in CMIP5 models: Historical bias and forcing response</t>
  </si>
  <si>
    <t>Southern Ocean; water mass; overturning; CMIP5</t>
  </si>
  <si>
    <t>SUB-ANTARCTIC MODE; OVERTURNING CIRCULATION; DEEP; INTERMEDIATE; SUBDUCTION; SHALLOW; TRANSPORT; ATLANTIC</t>
  </si>
  <si>
    <t>The ability of the models contributing to the fifth Coupled Models Intercomparison Project (CMIP5) to represent the Southern Ocean hydrological properties and its overturning is investigated in a water mass framework. Models have a consistent warm and light bias spread over the entire water column. The greatest bias occurs in the ventilated layers, which are volumetrically dominated by mode and intermediate layers. The ventilated layers have been observed to have a strong fingerprint of climate change and to impact climate by sequestrating a significant amount of heat and carbon dioxide. The mode water layer is poorly represented in the models and both mode and intermediate water have a significant fresh bias. Under increased radiative forcing, models simulate a warming and lightening of the entire water column, which is again greatest in the ventilated layers, highlighting the importance of these layers for propagating the climate signal into the deep ocean. While the intensity of the water mass overturning is relatively consistent between models, when compared to observation-based reconstructions, they exhibit a slightly larger rate of overturning at shallow to intermediate depths, and a slower rate of overturning deeper in the water column. Under increased radiative forcing, atmospheric fluxes increase the rate of simulated upper cell overturning, but this increase is counterbalanced by diapycnal fluxes, including mixed-layer horizontal mixing, and mostly vanishes.</t>
  </si>
  <si>
    <t>[Sallee, J. -B.; Shuckburgh, E.; Bruneau, N.; Meijers, A. J. S.; Bracegirdle, T. J.] British Antarctic Survey, Cambridge CB3 0ET, England; [Wang, Z.] Nanjing Univ Informat Sci &amp; Technol, Sch Marine Sci, Nanjing, Jiangsu, Peoples R China; [Roy, T.] Lab Oceanog &amp; Climat Experimentat &amp; Approches Num, Paris, France</t>
  </si>
  <si>
    <t>UK Research &amp; Innovation (UKRI); Natural Environment Research Council (NERC); NERC British Antarctic Survey; Nanjing University of Information Science &amp; Technology; Museum National d'Histoire Naturelle (MNHN); Sorbonne Universite</t>
  </si>
  <si>
    <t>Sallée, JB (corresponding author), British Antarctic Survey, Madingley Rd, Cambridge CB3 0ET, England.</t>
  </si>
  <si>
    <t>jbsallee@gmail.com</t>
  </si>
  <si>
    <t>SALLEE, Jean baptiste/HDO-5355-2022; Bracegirdle, Tom/AAD-6060-2020; Bruneau, Nicolas/AAS-8232-2021; SALLEE, Jean baptiste/A-5837-2010</t>
  </si>
  <si>
    <t>Bruneau, Nicolas/0000-0002-9017-1000; SALLEE, Jean baptiste/0000-0002-6109-5176; Bracegirdle, Thomas/0000-0002-8868-4739; Shuckburgh, Emily/0000-0001-9206-3444</t>
  </si>
  <si>
    <t>UK Natural Environment Research Council [NE/J005339/1]; China National Natural Science Foundation (NSFC) [41276200]; Special Program for China Meteorology Trade [GYHY201306020]; Chinese National Key Basic Research Program [2010CB950301]; Priority Academic Program Development of Jiangsu Higher Education Institutions (PAPD); EU; European Commission [264879]; Natural Environment Research Council [NE/J005339/1, bas0100023, bas0100028] Funding Source: researchfish; NERC [bas0100028, bas0100023, NE/J005339/1] Funding Source: UKRI</t>
  </si>
  <si>
    <t>UK Natural Environment Research Council(UK Research &amp; Innovation (UKRI)Natural Environment Research Council (NERC)); China National Natural Science Foundation (NSFC)(National Natural Science Foundation of China (NSFC)); Special Program for China Meteorology Trade; Chinese National Key Basic Research Program(National Basic Research Program of China); Priority Academic Program Development of Jiangsu Higher Education Institutions (PAPD); EU(European Union (EU)); European Commission(European Union (EU)European Commission Joint Research Centre);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</si>
  <si>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UK Natural Environment Research Council (grant reference number NE/J005339/1). We acknowledge the World Climate Research Programme's Working Group on Coupled Modeling,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the development of software infrastructure in partnership with the Global Organization for Earth System Science Portals. Z.W. is supported by China National Natural Science Foundation (NSFC) Project (41276200), the Special Program for China Meteorology Trade (Grant No. GYHY201306020), the Chinese National Key Basic Research Program (2010CB950301), and by a project funded by the Priority Academic Program Development of Jiangsu Higher Education Institutions (PAPD). T. R. is supported through EU FP7 project CARBOCHANGE Changes in carbon uptake and emissions by oceans in a changing climate, which received funding from the European Commission's Seventh Framework Programme under grant agreement no. 264879. Finally, we thank the British Atmospheric Data Centre for downloading and managing the model output data and making them available to us.</t>
  </si>
  <si>
    <t>10.1002/jgrc.20135</t>
  </si>
  <si>
    <t>WOS:000320324100014</t>
  </si>
  <si>
    <t>Sallée, JB; Shuckburgh, E; Bruneau, N; Meijers, AJS; Bracegirdle, TJ; Wang, Z</t>
  </si>
  <si>
    <t>Sallee, J. -B.; Shuckburgh, E.; Bruneau, N.; Meijers, A. J. S.; Bracegirdle, T. J.; Wang, Z.</t>
  </si>
  <si>
    <t>Assessment of Southern Ocean mixed-layer depths in CMIP5 models: Historical bias and forcing response</t>
  </si>
  <si>
    <t>mixed-layer; climate model; ventilation; Southern Ocean</t>
  </si>
  <si>
    <t>SUB-ANTARCTIC MODE; ANTHROPOGENIC CARBON-DIOXIDE; WAVE BREAKING; WATER MASSES; INTERMEDIATE; SUBDUCTION; TRANSPORT; IMPACT; DRIVEN; SEA</t>
  </si>
  <si>
    <t>The development of the deep Southern Ocean winter mixed layer in the climate models participating in the fifth Coupled Models Intercomparison Project (CMIP5) is assessed. The deep winter convection regions are key to the ventilation of the ocean interior, and changes in their properties have been related to climate change in numerous studies. Their simulation in climate models is consistently too shallow, too light and shifted equatorward compared to observations. The shallow bias is mostly associated with an excess annual-mean freshwater input at the sea surface that over-stratifies the surface layer and prevents deep convection from developing in winter. In contrast, modeled future changes are mostly associated with a reduced heat loss in winter that leads to even shallower winter mixed layers. The mixed layers shallow most strongly in the Pacific basin under future scenarios, and this is associated with a reduction of the ventilated water volume in the interior. We find a strong state dependency for the future change of mixed-layer depth, with larger future shallowing being simulated by models with larger historical mixed-layer depths. Given that most models are biased shallow, we expect that most CMIP5 climate models might underestimate the future winter mixed-layer shallowing, with important implications for the sequestration of heat, and gases such as carbon dioxide, and therefore for climate.</t>
  </si>
  <si>
    <t>[Sallee, J. -B.; Shuckburgh, E.; Bruneau, N.; Meijers, A. J. S.; Bracegirdle, T. J.] British Antarctic Survey, Cambridge CB3 0ET, England; [Wang, Z.] Nanjing Univ Informat Sci &amp; Technol, Sch Marine Sci, Nanjing, Jiangsu, Peoples R China</t>
  </si>
  <si>
    <t>UK Research &amp; Innovation (UKRI); Natural Environment Research Council (NERC); NERC British Antarctic Survey; Nanjing University of Information Science &amp; Technology</t>
  </si>
  <si>
    <t>SALLEE, Jean baptiste/HDO-5355-2022; Bruneau, Nicolas/AAS-8232-2021; Bracegirdle, Tom/AAD-6060-2020; SALLEE, Jean baptiste/A-5837-2010</t>
  </si>
  <si>
    <t>Bruneau, Nicolas/0000-0002-9017-1000; Shuckburgh, Emily/0000-0001-9206-3444; Bracegirdle, Thomas/0000-0002-8868-4739; SALLEE, Jean baptiste/0000-0002-6109-5176</t>
  </si>
  <si>
    <t>UK Natural Environment Research Council [NE/J005339/1]; China National Natural Science Foundation (NSFC) [41276200]; Special Program for China Meteorology Trade [GYHY201306020]; Chinese National Key Basic Research Program [2010CB950301]; Priority Academic Program Development of Jiangsu Higher Education Institutions (PAPD); NERC [NE/J005339/1, bas0100023, bas0100028] Funding Source: UKRI; Natural Environment Research Council [NE/J005339/1, bas0100023, bas0100028] Funding Source: researchfish</t>
  </si>
  <si>
    <t>UK Natural Environment Research Council(UK Research &amp; Innovation (UKRI)Natural Environment Research Council (NERC)); China National Natural Science Foundation (NSFC)(National Natural Science Foundation of China (NSFC)); Special Program for China Meteorology Trade; Chinese National Key Basic Research Program(National Basic Research Program of China); Priority Academic Program Development of Jiangsu Higher Education Institutions (PAPD); NERC(UK Research &amp; Innovation (UKRI)Natural Environment Research Council (NERC)); Natural Environment Research Council(UK Research &amp; Innovation (UKRI)Natural Environment Research Council (NERC))</t>
  </si>
  <si>
    <t>Discussions with Tilla Roy on an earlier version of this study have been very valuable and constructive, and have greatly improved this work. This study is part of the British Antarctic Survey Polar Science for Planet Earth Programme. It was funded by The UK Natural Environment Research Council (grant reference number NE/J005339/1).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the development of software infrastructure in partnership with the Global Organization for Earth System Science Portals. Z.W. is supported by China National Natural Science Foundation (NSFC) Project (41276200), by the Special Program for China Meteorology Trade (Grant GYHY201306020), by Chinese National Key Basic Research Program (2010CB950301), and by a project funded by the Priority Academic Program Development of Jiangsu Higher Education Institutions (PAPD). Finally, we thank the British Atmospheric Data Centre for downloading and managing the model output data and making them available to us.</t>
  </si>
  <si>
    <t>10.1002/jgrc.20157</t>
  </si>
  <si>
    <t>WOS:000320324100015</t>
  </si>
  <si>
    <t>Graham, JA; Heywood, KJ; Chavanne, CP; Holland, PR</t>
  </si>
  <si>
    <t>Graham, Jennifer A.; Heywood, Karen J.; Chavanne, Cedric P.; Holland, Paul R.</t>
  </si>
  <si>
    <t>Seasonal variability of water masses and transport on the Antarctic continental shelf and slope in the southeastern Weddell Sea</t>
  </si>
  <si>
    <t>seasonal cycle; ocean-ice-atmosphere interactions; Antarctic continental shelf; polar oceanography; Antarctic Slope Current</t>
  </si>
  <si>
    <t>OCEAN; FRONT</t>
  </si>
  <si>
    <t>An array of five moorings was deployed from February 2009 to February 2010 across the Antarctic shelf and slope in the southeastern Weddell Sea (18 degrees W). Observations demonstrate the key processes responsible for variability in water masses and transport in the region. Rapid fluctuations in temperature and salinity throughout the year are linked with variability in wind stress over the array. This causes the deepening or shoaling of the pycnocline, past the depth of the moorings. In the upper 500 m, the seasonal cycle in salinity shows freshening in autumn, with the strongest freshening at the shallowest mooring (250 m), furthest on-shelf. The sea ice concentration over the array exceeds 90% during this period and contributes a positive salt flux into the ocean during autumn. Freshening begins during strong along-shore (easterly) winds in late April 2009. This demonstrates that variations in Ekman transport and wind-driven mixing play a key role in determining the salinity of shelf waters around Antarctica. Transport of the Antarctic Slope Current also shows a seasonal cycle with a maximum during late April. Model simulations show the importance of along-shore advection, as the arrival of a fresh anomaly from upstream determines the timing of the salinity minimum at the array. These processes are likely to be important for other regions around the Antarctic continent.</t>
  </si>
  <si>
    <t>[Graham, Jennifer A.; Heywood, Karen J.] Univ E Anglia, Sch Environm Sci, Norwich NR4 7TJ, Norfolk, England; [Chavanne, Cedric P.] Univ Quebec, Inst Sci Mer Rimouski, Rimouski, PQ G5L 3A1, Canada; [Holland, Paul R.] British Antarctic Survey, Cambridge CB3 0ET, England</t>
  </si>
  <si>
    <t>University of East Anglia; University of Quebec; UK Research &amp; Innovation (UKRI); Natural Environment Research Council (NERC); NERC British Antarctic Survey</t>
  </si>
  <si>
    <t>Graham, JA (corresponding author), Univ E Anglia, Sch Environm Sci, Norwich NR4 7TJ, Norfolk, England.</t>
  </si>
  <si>
    <t>j.graham@uea.ac.uk</t>
  </si>
  <si>
    <t>Holland, Paul R/G-2796-2012; Chavanne, Cedric/JJE-4096-2023; Heywood, Karen/L-1757-2016</t>
  </si>
  <si>
    <t>Heywood, Karen/0000-0001-9859-0026; Graham, Jennifer/0000-0002-1950-5266</t>
  </si>
  <si>
    <t>NERC [NE/E012965/1]; NERC [bas0100028, NE/E012965/1] Funding Source: UKRI; Natural Environment Research Council [bas0100028, NE/E012965/1]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</si>
  <si>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</si>
  <si>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NERC grant NE/E012965/1. We thank the scientists, officers, and crew of the RRS Ernest Shackleton and RRS James Clark Ross for the mooring deployments and recoveries respectively. Thanks to Keith Nicholls for the Weddell seal CTD data and Takeshi Tamura for the salt flux data [further information at http://wwwod.lowtem.hokudai.ac.jp/polar-seaflux/]. We would also like to thank two anonymous reviewers for their constructive comments, which significantly improved this manuscript.</t>
  </si>
  <si>
    <t>10.1002/jgrc.20174</t>
  </si>
  <si>
    <t>WOS:000320324100040</t>
  </si>
  <si>
    <t>Smith, AM; Jordan, TA; Ferraccioli, F; Bingham, RG</t>
  </si>
  <si>
    <t>Smith, Andrew M.; Jordan, Tom A.; Ferraccioli, Fausto; Bingham, Robert G.</t>
  </si>
  <si>
    <t>Influence of subglacial conditions on ice stream dynamics: Seismic and potential field data from Pine Island Glacier, West Antarctica</t>
  </si>
  <si>
    <t>subglacial conditions; ice flow controls; Pine Island Glacier; West Antarctic Ice Sheet; seismic and potential field data; subglacial erosion</t>
  </si>
  <si>
    <t>BASAL CONDITIONS BENEATH; AMUNDSEN SEA EMBAYMENT; THWAITES GLACIERS; AEROMAGNETIC DATA; SHEET; RADAR; ROUGHNESS; GEOLOGY; ONSET; RIFT</t>
  </si>
  <si>
    <t>We interpret seismic reflection and airborne potential field data acquired on Pine Island Glacier, West Antarctica and find variations in the subglacial geology which correlate with variations in ice dynamics. Immediately beneath the glacier is a mixture of soft, deforming sediments and harder, non-deforming sediments. Beneath this, a sedimentary basin lies under part of the main glacier, with another under one of its slower-moving tributaries. A tectonic boundary underlies the main trunk of the glacier separating these sedimentary basins to the north from crystalline rocks to the south, which also include a thick, rift-related magmatic intrusion. The boundary correlates with changes in the basal roughness, ice flow speed, and basal drag. Smoother bed, faster flow, and lower basal drag characterize the thicker sedimentary sequences, to the north, but there is no corresponding lateral change in the acoustic properties of the bed. Changes in the sub-bed (i.e., deeper than the ice-bed interface) lithology appear to account for the contrasting basal drag and ice velocity patterns over the glacier. Subglacial erosion could remove a thin layer of soft sediments to the south of the geological boundary, leading to increased basal drag and reduced ice flow in the future. We conclude that the subglacial geology plays a significant role in controlling the spatial pattern of present-day ice flow and that the consequences of subglacial erosion may be reflected in temporal changes to the ice dynamics in the past and perhaps also in the near future.</t>
  </si>
  <si>
    <t>[Smith, Andrew M.; Jordan, Tom A.; Ferraccioli, Fausto] British Antarctic Survey, Cambridge CB3 0ET, England; [Bingham, Robert G.] Univ Aberdeen, Sch Geosci, Aberdeen, Scotland</t>
  </si>
  <si>
    <t>UK Research &amp; Innovation (UKRI); Natural Environment Research Council (NERC); NERC British Antarctic Survey; University of Aberdeen</t>
  </si>
  <si>
    <t>Smith, AM (corresponding author), British Antarctic Survey, Cambridge CB3 0ET, England.</t>
  </si>
  <si>
    <t>amsm@bas.ac.uk</t>
  </si>
  <si>
    <t>Facility, NERC Geophysical Equipment/G-5260-2010; Bingham, Robert G/G-3576-2017</t>
  </si>
  <si>
    <t>Bingham, Robert G/0000-0002-0630-2021; Ferraccioli, Fausto/0000-0002-9347-4736; Jordan, Tom/0000-0003-2780-1986</t>
  </si>
  <si>
    <t>British Antarctic Survey (BAS) programme Polar Science for Planet Earth; NERC [NE/J005665/2, bas0100026, bas0100027] Funding Source: UKRI; Natural Environment Research Council [bas0100027, NE/J005665/2, bas0100026] Funding Source: researchfish</t>
  </si>
  <si>
    <t>British Antarctic Survey (BAS) programme Polar Science for Planet Earth; NERC(UK Research &amp; Innovation (UKRI)Natural Environment Research Council (NERC)); Natural Environment Research Council(UK Research &amp; Innovation (UKRI)Natural Environment Research Council (NERC))</t>
  </si>
  <si>
    <t>Julian Scott made considerable contributions to all aspects of this work. This study is part of the British Antarctic Survey (BAS) programme Polar Science for Planet Earth. We thank NERC Geophysical Equipment Facility (Loan 847), BAS Operations and pilot David Leatherdale for supporting the data acquisition, C. Griffiths and F. Buckley for field assistance, and M. E. Morlighem for providing model results. We are grateful for discussions with Claus-Dieter Hillenbrand and for reviews by John Behrendt, Marta Ghidella, and two anonymous reviewers.</t>
  </si>
  <si>
    <t>10.1029/2012JB009582</t>
  </si>
  <si>
    <t>157VE</t>
  </si>
  <si>
    <t>WOS:000319926600010</t>
  </si>
  <si>
    <t>Raine, AF; Borg, JJ; Raine, H; Phillips, RA</t>
  </si>
  <si>
    <t>Raine, Andre F.; Borg, John J.; Raine, Helen; Phillips, Richard A.</t>
  </si>
  <si>
    <t>Migration strategies of the Yelkouan Shearwater Puffinus yelkouan</t>
  </si>
  <si>
    <t>Seabirds; Telemetry; Conservation; Migration; Malta; Yelkouan; Shearwater</t>
  </si>
  <si>
    <t>SEABIRD MORTALITY; PELAGIC SEABIRD; AEGEAN SEA; FISHERIES; TRACKING; ALBATROSSES; MOVEMENTS; ATLANTIC; DEBRIS; WATERS</t>
  </si>
  <si>
    <t>Although the Yelkouan Shearwater Puffinus yelkouan is listed as near threatened on the International Union for Conservation of Nature Red List, with many populations in serious decline, there is little detailed information on the location of its key foraging areas during the non-breeding season. To address this knowledge gap, adult Yelkouan Shearwaters at a breeding colony in Malta were fitted with geolocators in 2 consecutive years. Of the 13 birds tracked (two of which were tracked in both years), the majority (n = 10; 76.9 %) migrated in June-July to spend most of the non-breeding period in the Black Sea (n = 5), Aegean Sea (n = 2), Black and Aegean seas (n = 2), or Black and Adriatic seas (n = 1). The final three birds remained within the central Mediterranean area and did not move beyond 500 km of the breeding colony. There was considerable variation among individuals in terms of timing of the outward and return migrations, duration and location of periods of residency in different areas, and migration routes. However, migration patterns (including routes and areas visited) were very consistent in the two individuals tracked in consecutive years. All birds returned in November or December to waters closer to the breeding colony, concentrating between the North African coast and the southern Adriatic. This study has identified key areas during the non-breeding season for Yelkouan Shearwaters from Malta which are also likely to be important for other populations. Given the continuing decline of this species throughout its range, this information represents an essential step for improving international conservation efforts. At-sea threats in the wintering regions include by-catch in long-line and trawl fisheries, impacts of over-fishing, illegal hunting (particularly in Maltese waters), ingestion of plastics, pollution, and the potential impact of off-shore wind farms. These threats need to be addressed urgently in the areas identified by this study to prevent further declines.</t>
  </si>
  <si>
    <t>[Raine, Andre F.] Kauai Endangered Seabird Recovery Project, Kauai, HI 96716 USA; [Borg, John J.] Natl Museum Nat Hist, Mdina, Malta; [Raine, Helen] BirdLife Malta, Taxbiex Xbx 1120, Malta; [Phillips, Richard A.] British Antarctic Survey, NERC, Cambridge CB3 0ET, England</t>
  </si>
  <si>
    <t>Raine, AF (corresponding author), Kauai Endangered Seabird Recovery Project, 3900 Hanapepe Rd, Kauai, HI 96716 USA.</t>
  </si>
  <si>
    <t>mkazuni@yahoo.co.uk; diomedea@onvol.net; helenleach2002@yahoo.co.uk; raphil@bas.ac.uk</t>
  </si>
  <si>
    <t>Raine, Andre/0000-0003-0297-3570</t>
  </si>
  <si>
    <t>10.1007/s10336-012-0905-4</t>
  </si>
  <si>
    <t>WOS:000323929100010</t>
  </si>
  <si>
    <t>Thiebot, JB; Weimerskirch, H</t>
  </si>
  <si>
    <t>Thiebot, Jean-Baptiste; Weimerskirch, Henri</t>
  </si>
  <si>
    <t>Contrasted associations between seabirds and marine mammals across four biomes of the southern Indian Ocean</t>
  </si>
  <si>
    <t>Foraging strategies; Interspecific interactions; Marine predators; Bootstrap procedure; At-sea observations; Long-term monitoring</t>
  </si>
  <si>
    <t>PETRELS PROCELLARIA-AEQUINOCTIALIS; COMMUNITY STRUCTURE; PRODUCTIVITY GRADIENT; EUPHAUSIA-SUPERBA; ANTARCTIC KRILL; WHITE; ALBATROSS; PENGUINS; BEHAVIOR; DOLPHINS</t>
  </si>
  <si>
    <t>Seabirds associations with marine mammals have been shown to be an efficient way by which the seabirds can detect and access prey patches. However, these associations have been documented locally in the literature and their relevance at the ecosystem level is unknown, mostly because they constitute relatively rare events and therefore few appropriate data exist. In this study, we aimed at quantifying and qualifying these interactions, based on long-term standardised at-sea observations carried out from 1978 to 2005 in the whole southern Indian Ocean. We(1) investigated whether the observed interspecific associations between foraging seabirds and marine mammals could be distinguished from chance using a bootstrap method, and(2) compared their occurrences between four oceanic biomes sampled(tropical, subtropical, subantarctic, Antarctic). Although in our data we could not discriminate active association versus aggregation of species feeding on the same prey patches, our results indicate that, in each biome, 5-10 seabird species were more frequently associated with marine mammals than expected due to chance. Tropical birds appeared to be associated almost exclusively with Delphinidae schools, whereas in the subtropical waters, all the significant associations occurred with marine mammals others than dolphins. In the subantarctic biome, seabirds were mostly associated with Pinnipeds, and the highly productive Antarctic waters provided opportunities for diverse but rare associations. This study suggests that the ecological links between foraging predators can be measured using a randomisation method, and provides conclusive and comparative information on the ecology of apex trophic levels organisms from pelagic communities.</t>
  </si>
  <si>
    <t>[Thiebot, Jean-Baptiste; Weimerskirch, Henri] CNRS, UPR 1934, Ctr Etud Biol Chize, F-79360 Villiers En Bois, France</t>
  </si>
  <si>
    <t>Centre National de la Recherche Scientifique (CNRS)</t>
  </si>
  <si>
    <t>Weimerskirch, Henri/K-7306-2019; Weimerskirch, Henri/F-5562-2013</t>
  </si>
  <si>
    <t>Weimerskirch, Henri/0000-0002-0457-586X;</t>
  </si>
  <si>
    <t>French Polar Institute (IPEV) [109]; French Southern Territories Administration (TAAF)</t>
  </si>
  <si>
    <t>French Polar Institute (IPEV); French Southern Territories Administration (TAAF)</t>
  </si>
  <si>
    <t>We are very grateful to all the observers who spent many hours time at-sea behind their binoculars, especially to J.C. Stahl, J.P. Roux, C. Barbraud, K. Delord, K.D. Hyrenbach and R.R. Veit, as well as to the French Polar Institute (IPEV, Program no. 109) and the French Southern Territories Administration (TAAF) for providing logistics and cruise funding. We sincerely thank Gabrielle A. Nevitt and Lisa T. Ballance for their extensive comments on the manuscript and for editorial assistance, two anonymous reviewers for their constructive comments and Mael Le Corre for helping with the computing.</t>
  </si>
  <si>
    <t>10.1007/s10336-012-0909-0</t>
  </si>
  <si>
    <t>WOS:000323929100013</t>
  </si>
  <si>
    <t>Choi, KS; Kim, BJ; Lee, JH</t>
  </si>
  <si>
    <t>Choi, Ki Seon; Kim, Baek Jo; Lee, Jong Ho</t>
  </si>
  <si>
    <t>Relationship between rainfall in Korea and Antarctic Oscillation in June</t>
  </si>
  <si>
    <t>Antarctic Oscillation; Mascarene High; Australian High; Tropical cyclone</t>
  </si>
  <si>
    <t>This study examined the effect of the Antarctic Oscillation (AAO) in June on the June rainfall in Korea by using a correlational statistical analysis. Results showed that there is a highly positive correlation between the two variables. In other words, the June rainfall in Korea is influenced by the Mascarene High and Australian High that are strengthened in the Southern Hemisphere, which is a typical positive AAO pattern. When these two anomalous pressure systems strengthen, the cold cross-equatorial flows in the direction from the region around Australia to the equator are intensified, which in turn, force a western North Pacific subtropical high (WNPSH) to develop northward. This pressure development eventually drives the rain belt to head north. As a result, the Changma begins early in the positive AAO phase and the June rainfall increases in Korea. In addition, a WNPSH that develops more northward increases the landfall (or affecting) frequency of tropical cyclones in Korea, which plays an important role in increasing the June rainfall.</t>
  </si>
  <si>
    <t>[Choi, Ki Seon; Lee, Jong Ho] Korea Meteorol Adm, Natl Typhoon Ctr, Jeju 699942, South Korea; [Kim, Baek Jo] Natl Inst Meteorol Res, Policy Res Lab, Seoul 156710, South Korea</t>
  </si>
  <si>
    <t>10.5467/JKESS.2013.34.2.136</t>
  </si>
  <si>
    <t>VE5GY</t>
  </si>
  <si>
    <t>WOS:000439526200003</t>
  </si>
  <si>
    <t>Turk, T; Avgustin, JA; Batista, U; Strugar, G; Kosmina, R; Civovic, S; Janussen, D; Kauferstein, S; Mebs, D; Sepcic, K</t>
  </si>
  <si>
    <t>Turk, Tom; Avgustin, Jerneja Ambrozic; Batista, Urska; Strugar, Gasper; Kosmina, Rok; Civovic, Sandra; Janussen, Dorte; Kauferstein, Silke; Mebs, Dietrich; Sepcic, Kristina</t>
  </si>
  <si>
    <t>Biological Activities of Ethanolic Extracts from Deep-Sea Antarctic Marine Sponges</t>
  </si>
  <si>
    <t>Antarctic marine sponges; hemolysis; antibacterial activity; acetylcholinesterase inhibition; cytotoxicity</t>
  </si>
  <si>
    <t>NATURAL-PRODUCTS; LATRUNCULIA; PYRROLOIMINOQUINONE; METABOLITES</t>
  </si>
  <si>
    <t>We report on the screening of ethanolic extracts from 33 deep-sea Antarctic marine sponges for different biological activities. We monitored hemolysis, inhibition of acetylcholinesterase, cytotoxicity towards normal and transformed cells and growth inhibition of laboratory, commensal and clinically and ecologically relevant bacteria. The most prominent activities were associated with the extracts from sponges belonging to the genus Latrunculia, which show all of these activities. While most of these activities are associated to already known secondary metabolites, the extremely strong acetylcholinesterase inhibitory potential appears to be related to a compound unknown to date. Extracts from Tetilla leptoderma, Bathydorus cf. spinosus, Xestospongia sp., Rossella sp., Rossella cf. racovitzae and Halichondria osculum were hemolytic, with the last two also showing moderate cytotoxic potential. The antibacterial tests showed significantly greater activities of the extracts of these Antarctic sponges towards ecologically relevant bacteria from sea water and from Arctic ice. This indicates their ecological relevance for inhibition of bacterial microfouling.</t>
  </si>
  <si>
    <t>[Turk, Tom; Avgustin, Jerneja Ambrozic; Strugar, Gasper; Kosmina, Rok; Civovic, Sandra; Sepcic, Kristina] Univ Ljubljana, Biotech Fac, Dept Biol, Ljubljana 1000, Slovenia; [Batista, Urska] Univ Ljubljana, Fac Med, Inst Biophys, Ljubljana 1000, Slovenia; [Janussen, Dorte] Senckenberg Res Inst, D-60325 Frankfurt, Germany; [Janussen, Dorte] Nat Hist Museum, D-60325 Frankfurt, Germany; [Kauferstein, Silke; Mebs, Dietrich] Goethe Univ Frankfurt, Inst Legal Med, D-60596 Frankfurt, Germany</t>
  </si>
  <si>
    <t>University of Ljubljana; University of Ljubljana; Senckenberg Gesellschaft fur Naturforschung (SGN); Goethe University Frankfurt</t>
  </si>
  <si>
    <t>Sepcic, K (corresponding author), Univ Ljubljana, Biotech Fac, Dept Biol, Vecna Pot 111, Ljubljana 1000, Slovenia.</t>
  </si>
  <si>
    <t>tom.turk@bf.uni-lj.si; jerneja.ambrozic@bf.uni-lj.si; urska.batista@mf.uni-lj.si; gasper.strugar@gmail.com; rkosmina@health.sdu.dk; supernova.sandra@gmail.com; dorte.janussen@senckenberg.de; kauferstein@em.uni-frankfurt.de; mebs@em.uni-frankfurt.de; kristina.sepcic@bf.uni-lj.si</t>
  </si>
  <si>
    <t>Sepcic, Kristina/S-5533-2018; Kauferstein, Silke/AAG-3102-2022; Kauferstein, Silke/AFK-4350-2022</t>
  </si>
  <si>
    <t>Ambrozic Avgustin, Jerneja/0009-0000-5215-6275</t>
  </si>
  <si>
    <t>Slovenian Research Agency [P1-0207, P1-0055, P1-0198, J1-4044]; German Research Society (DFG) [JA-1063/14-1, JA-1063/14-2, JA-1063/17]</t>
  </si>
  <si>
    <t>Slovenian Research Agency(Slovenian Research Agency - Slovenia); German Research Society (DFG)(German Research Foundation (DFG))</t>
  </si>
  <si>
    <t>The authors gratefully acknowledge the Slovenian Research Agency (Research Programmes P1-0207 and P1-0055 and P1-0198, and Project J1-4044) and Chris Berrie for editing and appraisal of the manuscript. DJ thanks Julian Gutt (Alfred-Wegener-Institute, Bremerhaven, Germany) and Angelika Brandt (University of Hamburg), the Scientific Leaders of the Antarctic expeditions, ANT-XXVIII/8 and ANT-XXIV/2, respectively, and the captain and crew of the RV Polarstern for their constant help and support. The German Research Society (DFG) is acknowledged for financial support to projects on Antarctic sponges (JA-1063/14-1,2; JA-1063/17).</t>
  </si>
  <si>
    <t>10.3390/md11041126</t>
  </si>
  <si>
    <t>131TJ</t>
  </si>
  <si>
    <t>WOS:000318018700011</t>
  </si>
  <si>
    <t>Wu, GW; Lin, AQ; Gu, QQ; Zhu, TJ; Li, DH</t>
  </si>
  <si>
    <t>Wu, Guangwei; Lin, Aiqun; Gu, Qianqun; Zhu, Tianjiao; Li, Dehai</t>
  </si>
  <si>
    <t>Four New Chloro-Eremophilane Sesquiterpenes from an Antarctic Deep-Sea Derived Fungus, Penicillium sp PR19N-1</t>
  </si>
  <si>
    <t>chlorinated eremophilane sesquiterpene; Antarctic deep-sea derived fungus; Penicillium sp.</t>
  </si>
  <si>
    <t>PR TOXIN; ALKALOIDS; ASSAY</t>
  </si>
  <si>
    <t>A new chloro-trinoreremophilane sesquiterpene 1, three new chlorinated eremophilane sesquiterpenes 2-4, together with a known compound, eremofortine C (5), were isolated from an Antarctic deep-sea derived fungus, Penicillium sp. PR19N-1. Structures were established using IR, HRMS, 1D and 2D NMR techniques. In addition, the plausible metabolic network of these isolated products is proposed. Compound 1 showed moderate cytotoxic activity against HL-60 and A549 cancer cell lines.</t>
  </si>
  <si>
    <t>[Wu, Guangwei; Lin, Aiqun; Gu, Qianqun; Zhu, Tianjiao; Li, Dehai] Ocean Univ China, Key Lab Marine Drugs, Chinese Minist Educ, Sch Med &amp; Pharm, Qingdao 266003, Peoples R China</t>
  </si>
  <si>
    <t>Ocean University of China</t>
  </si>
  <si>
    <t>Zhu, TJ (corresponding author), Ocean Univ China, Key Lab Marine Drugs, Chinese Minist Educ, Sch Med &amp; Pharm, Qingdao 266003, Peoples R China.</t>
  </si>
  <si>
    <t>gweiwu@163.com; linaiqun@yahoo.cn; guqianq@ouc.edu.cn; zhutj@ouc.edu.cn; dehaili@ouc.edu.cn</t>
  </si>
  <si>
    <t>Li, Dehai/G-7656-2012</t>
  </si>
  <si>
    <t>Li, Dehai/0000-0002-7191-2002</t>
  </si>
  <si>
    <t>National Natural Science Fundation of China [41176120]; National High Technology Research and Development Program of China [2013AA092901]; Chinese Polar Environment Comprehensive Investigation &amp; Assessment Programmes [CHINARE2013-01-06-06]; Program for New Century Excellent Talents in University [NCET-12-0499]; Public Projects of State Oceanic Administration [2010418022-3]; Promotive Research Fund for Excellent Young and Middle-aged Scientisits of Shandong Province [BS2010HZ027]; Program for Changjiang Scholars and Innovative Research Team in University [IRT0944]</t>
  </si>
  <si>
    <t>National Natural Science Fundation of China(National Natural Science Foundation of China (NSFC)); National High Technology Research and Development Program of China(National High Technology Research and Development Program of China); Chinese Polar Environment Comprehensive Investigation &amp; Assessment Programmes; Program for New Century Excellent Talents in University(Program for New Century Excellent Talents in University (NCET)); Public Projects of State Oceanic Administration; Promotive Research Fund for Excellent Young and Middle-aged Scientisits of Shandong Province; Program for Changjiang Scholars and Innovative Research Team in University(Program for Changjiang Scholars &amp; Innovative Research Team in University (PCSIRT))</t>
  </si>
  <si>
    <t>This work was financially supported by the National Natural Science Fundation of China (No. 41176120), the National High Technology Research and Development Program of China (No. 2013AA092901), the Chinese Polar Environment Comprehensive Investigation &amp; Assessment Programmes (CHINARE2013-01-06-06), and the Program for New Century Excellent Talents in University (No. NCET-12-0499), the Public Projects of State Oceanic Administration (No. 2010418022-3), the Promotive Research Fund for Excellent Young and Middle-aged Scientisits of Shandong Province (No. BS2010HZ027), and the Program for Changjiang Scholars and Innovative Research Team in University (No. IRT0944). We also thank A. R. Pereira (Scripps Institution of Oceanography, La Jolla) for helping with the manuscript preparation.</t>
  </si>
  <si>
    <t>10.3390/md11041399</t>
  </si>
  <si>
    <t>WOS:000318018700028</t>
  </si>
  <si>
    <t>McKenzie, J; Page, B; Goldsworthy, SD; Hindell, MA</t>
  </si>
  <si>
    <t>McKenzie, Jane; Page, Brad; Goldsworthy, Simon D.; Hindell, Mark A.</t>
  </si>
  <si>
    <t>Behavioral responses of New Zealand fur seals (Arctophoca australis forsteri) to darting and the effectiveness of midazolam and tiletamine-zolazepam for remote chemical immobilization</t>
  </si>
  <si>
    <t>MARINE MAMMAL SCIENCE</t>
  </si>
  <si>
    <t>Arctocephalus forsteri; pinniped; anesthesia; chemical immobilization; isoflurane; behavioral response; capture; restraint; darting; tranquillize</t>
  </si>
  <si>
    <t>SOUTHERN ELEPHANT SEALS; LIONS EUMETOPIAS-JUBATUS; MIROUNGA-LEONINA; WEDDELL SEALS; LEPTONYCHOTES-WEDDELLII; ARCTOCEPHALUS-FORSTERI; DRUG-COMBINATIONS; LEOPARD SEALS; GRAY SEALS; ANESTHESIA</t>
  </si>
  <si>
    <t>We evaluated the behavioral response of 125 free-ranging New Zealand fur seals (75 females and 50 males) to darting and the effectiveness and safety of midazolam and tiletamine-zolazepam for remote chemical immobilization. Behavioral reactions to darting were minor and brief. Overall, severe reactions to darting such as long flight responses (7%) and escape to the sea (7%) were uncommon. Midazolam administered by dart failed to produce a satisfactory level of immobilization. Tiletamine-zolazepam was administered to 120 animals (35 females and 85 males), 104 of which were successfully immobilized and 16 escaped to the water following darting or attempted net capture. At least 10 of the 16 animals are known to have survived. Tiletamine-zolazepam caused moderate depression of swimming and diving behavior in the animals that escaped to the water. Data from dive loggers confirmed that seals that escaped remained near the sea surface for extended periods. Tiletamine-zolazepam administered by dart at a mean dosage of 1.87 +/- 0.18 mg/kg for females and 1.49 +/- 0.23 mg/kg for males provided effective and safe immobilization, reducing capture stress for both animals and personnel. Although there is still a risk of drugged animals escaping to the water and possibly drowning, this risk is much lower than previously reported for other pinnipeds.</t>
  </si>
  <si>
    <t>[McKenzie, Jane; Page, Brad; Goldsworthy, Simon D.] La Trobe Univ, Dept Zool, Sea Mammal Ecol Grp, Bundoora, Vic 3086, Australia; [Page, Brad] Plant Biodivers Ctr, Dept Environm &amp; Nat Resources, Adelaide, SA 5001, Australia; [Goldsworthy, Simon D.] South Australian Res &amp; Dev Inst Aquat Sci, Henley Beach, SA 5022, Australia; [Hindell, Mark A.] Univ Tasmania, Sch Zool, Antarctic Wildlife Res Unit, Hobart, Tas 7001, Australia</t>
  </si>
  <si>
    <t>La Trobe University; University of Tasmania</t>
  </si>
  <si>
    <t>McKenzie, J (corresponding author), 235 Robin Rd, Semaphore, SA 5019, Australia.</t>
  </si>
  <si>
    <t>janemckenzie@malpage.com</t>
  </si>
  <si>
    <t>Hindell, Mark A/K-1131-2013</t>
  </si>
  <si>
    <t>Goldsworthy, Simon/0000-0003-4988-9085; Hindell, Mark/0000-0002-7823-7185</t>
  </si>
  <si>
    <t>Sea World Research and Rescue Foundation; Holsworth Wildlife Research Fund grant; South Australian National Parks and Wildlife Council Wildlife Conservation Fund; Australian Postgraduate Award</t>
  </si>
  <si>
    <t>Sea World Research and Rescue Foundation; Holsworth Wildlife Research Fund grant; South Australian National Parks and Wildlife Council Wildlife Conservation Fund; Australian Postgraduate Award(Australian Government)</t>
  </si>
  <si>
    <t>We thank the many enthusiastic assistants who helped us in the field, particularly A. Morrissey, R. McIntosh, and L. Einoder. We thank D. Middleton, B. Walters (Wildvet), and R. Martin (Tranquilarms Company) for use of darting equipment during the initial trial, and A. Maguire, D. Dowie, and other National Parks staff who helped with field logistics. Roche Products Pty. Ltd. donated midazolam in powder form and S. Aldous at the Pharmaceutical Department, University of Tasmania helped to suspend it in solution. This project was funded by a Sea World Research and Rescue Foundation grant to SDG and MAH, a Holsworth Wildlife Research Fund grant and a South Australian National Parks and Wildlife Council Wildlife Conservation Fund grant to JM. JM also received an Australian Postgraduate Award to conduct this project. We also thank R. Woods for veterinary advice and P. Shaughnessy, N. Gales, D. Boness, A. Hall, T. Gelatt, and anonymous reviewers for valuable comments on previous versions of this manuscript. All research procedures were approved by the Animal Ethics Committees at La Trobe University and the South Australian Department for Environment and Heritage (Permit Z24347).</t>
  </si>
  <si>
    <t>0824-0469</t>
  </si>
  <si>
    <t>MAR MAMMAL SCI</t>
  </si>
  <si>
    <t>Mar. Mamm. Sci.</t>
  </si>
  <si>
    <t>10.1111/j.1748-7692.2011.00553.x</t>
  </si>
  <si>
    <t>122AZ</t>
  </si>
  <si>
    <t>WOS:000317288600011</t>
  </si>
  <si>
    <t>Schiwon, K; Arends, K; Rogowski, KM; Fürch, S; Prescha, K; Sakinc, T; Van Houdt, R; Werner, G; Grohmann, E</t>
  </si>
  <si>
    <t>Schiwon, Katarzyna; Arends, Karsten; Rogowski, Katja Marie; Fuerch, Svea; Prescha, Katrin; Sakinc, Tuerkan; Van Houdt, Rob; Werner, Guido; Grohmann, Elisabeth</t>
  </si>
  <si>
    <t>Comparison of Antibiotic Resistance, Biofilm Formation and Conjugative Transfer of Staphylococcus and Enterococcus Isolates from International Space Station and Antarctic Research Station Concordia</t>
  </si>
  <si>
    <t>MICROBIAL ECOLOGY</t>
  </si>
  <si>
    <t>MACROLIDE-LINCOSAMIDE-STREPTOGRAMIN; MOBILE GENETIC ELEMENTS; COAGULASE-NEGATIVE STAPHYLOCOCCI; MICROBIAL-CONTAMINATION; NUCLEOTIDE-SEQUENCE; PLASMID; BACTERIAL; FAECALIS; DNA; LEVEL</t>
  </si>
  <si>
    <t>The International Space Station (ISS) and the Antarctic Research Station Concordia are confined and isolated habitats in extreme and hostile environments. The human and habitat microflora can alter due to the special environmental conditions resulting in microbial contamination and health risk for the crew. In this study, 29 isolates from the ISS and 55 from the Antarctic Research Station Concordia belonging to the genera Staphylococcus and Enterococcus were investigated. Resistance to one or more antibiotics was detected in 75.8 % of the ISS and in 43.6 % of the Concordia strains. The corresponding resistance genes were identified by polymerase chain reaction in 86 % of the resistant ISS strains and in 18.2 % of the resistant Concordia strains. Plasmids are present in 86.2 % of the ISS and in 78.2 % of the Concordia strains. Eight Enterococcus faecalis strains (ISS) harbor plasmids of about 130 kb. Relaxase and/or transfer genes encoded on plasmids from gram-positive bacteria like pIP501, pRE25, pSK41, pGO1 and pT181 were detected in 86.2 % of the ISS and in 52.7 % of the Concordia strains. Most pSK41-homologous transfer genes were detected in ISS isolates belonging to coagulase-negative staphylococci. We demonstrated through mating experiments that Staphylococcus haemolyticus F2 (ISS) and the Concordia strain Staphylococcus hominis subsp. hominis G2 can transfer resistance genes to E. faecalis and Staphylococcus aureus, respectively. Biofilm formation was observed in 83 % of the ISS and in 92.7 % of the Concordia strains. In conclusion, the ISS isolates were shown to encode more resistance genes and possess a higher gene transfer capacity due to the presence of three vir signature genes, virB1, virB4 and virD4 than the Concordia isolates.</t>
  </si>
  <si>
    <t>[Schiwon, Katarzyna; Arends, Karsten; Rogowski, Katja Marie; Fuerch, Svea; Prescha, Katrin; Grohmann, Elisabeth] Tech Univ Berlin, Dept Environm Microbiol Genet, D-10587 Berlin, Germany; [Sakinc, Tuerkan; Grohmann, Elisabeth] Univ Med Ctr Freiburg, Div Infect Dis, D-79106 Freiburg, Germany; [Van Houdt, Rob] Belgian Nucl Res Ctr SCK CEN, Microbiol Unit, B-2400 Mol, Belgium; [Werner, Guido] Robert Koch Inst, Natl Reference Ctr Staphylococci &amp; Enterococci, Div FG Nosocomial Infect 13, D-38855 Wernigerode, Germany</t>
  </si>
  <si>
    <t>Technical University of Berlin; University of Freiburg; Belgian Nuclear Research Centre (SCK CEN); Robert Koch Institute</t>
  </si>
  <si>
    <t>Grohmann, E (corresponding author), Univ Med Ctr Freiburg, Div Infect Dis, Hugstetter Str 55, D-79106 Freiburg, Germany.</t>
  </si>
  <si>
    <t>elisabeth.grohmann@googlemail.com</t>
  </si>
  <si>
    <t>Van Houdt, Rob/B-8599-2011</t>
  </si>
  <si>
    <t>Van Houdt, Rob/0000-0002-7459-496X; Grohmann, Elisabeth/0000-0003-3061-6490</t>
  </si>
  <si>
    <t>BMWi/DLR; Belspo/PRODEX; European Space Agency (ESA); French Polar Institute (IPEV); Italian Antarctic Programme (PNRA)</t>
  </si>
  <si>
    <t>BMWi/DLR(Helmholtz AssociationGerman Aerospace Centre (DLR)Federal Ministry for Economic Affairs and Energy (BMWi)); Belspo/PRODEX; European Space Agency (ESA)(European Space Agency); French Polar Institute (IPEV); Italian Antarctic Programme (PNRA)</t>
  </si>
  <si>
    <t>This work was supported by grants Microbial ISS Gene Exchange and Concordia microbial dynamics from BMWi/DLR (to E. G.) and from Belspo/PRODEX (to R. V. H.). Support of the European Space Agency (ESA) as well as the French Polar Institute (IPEV) and the Italian Antarctic Programme (PNRA) are acknowledged. We thank Vacheslav Ilyin for providing crew samples and all MISSEX and COMICS partners for their constant support and advice. Skillful technical assistance of Christine Bohn and Carola Fleige is highly acknowledged. Special thanks to Prof. Dr. Vincent Perreten for providing the strains E. casseliflavus UC73, E. faecalis RE25, E. faecium SF11770, Enterococcus gallinarum SF9117, L. lactis K214 and S. haemolyticus VPS617, and to Prof. David Dubnau for Bacillus subtilis BP662 and B. subtilis BD1156.</t>
  </si>
  <si>
    <t>0095-3628</t>
  </si>
  <si>
    <t>1432-184X</t>
  </si>
  <si>
    <t>MICROB ECOL</t>
  </si>
  <si>
    <t>Microb. Ecol.</t>
  </si>
  <si>
    <t>10.1007/s00248-013-0193-4</t>
  </si>
  <si>
    <t>Ecology; Marine &amp; Freshwater Biology; Microbiology</t>
  </si>
  <si>
    <t>Environmental Sciences &amp; Ecology; Marine &amp; Freshwater Biology; Microbiology</t>
  </si>
  <si>
    <t>123WB</t>
  </si>
  <si>
    <t>WOS:000317421000012</t>
  </si>
  <si>
    <t>Weymouth, W; Steel, GD</t>
  </si>
  <si>
    <t>Weymouth, Wells; Steel, Gary Daniel</t>
  </si>
  <si>
    <t>Sleep Patterns During an Antarctic Field Expedition</t>
  </si>
  <si>
    <t>MILITARY MEDICINE</t>
  </si>
  <si>
    <t>QUALITY INDEX; TERM CHANGES; ACTIGRAPHY; CORTISOL; RHYTHMS; PARAMETERS; MELATONIN; VALIDITY; MEN</t>
  </si>
  <si>
    <t>Extreme conditions in Antarctica pose a significant challenge to members of field parties, stationed military personnel, and civilian support personnel. One of the key issues noted in anecdotal evidence during expeditions is the presence of sleep disturbances, that can lead to a marked loss in the ability to cognitively respond to unusual or dangerous situations. Method: A study was conducted using 14 volunteers who traveled to Antarctica and spent several days in a field camp in Windless Bight (Ross Sea Region). Each participant recorded subjective sleep measures daily and wore an accelerometer on their dominant wrist while in bed for the night before, and while on deployment. Stroop and digit recall tests were given four times, at approximately 3-day intervals. Results: Overall subjective sleep quality was fair to good in both environments, and neither sleep disturbance nor total hours of sleep showed reliable differences. There were no reliable associations between 3-day sleep disturbance and test performance for either cognitive measure. Conclusion: The results show no sign of effects of 24-hour daylight on sleep and cognitive performance. The impact of these findings on the theoretical connection of light to sleep and performance are discussed, as well as the practical implications for management of sleep while in the field.</t>
  </si>
  <si>
    <t>[Weymouth, Wells] Uniformed Serv Univ Hlth Sci, Bethesda, MD 20814 USA; [Steel, Gary Daniel] Lincoln Univ, Dept Social Sci Pk Recreat Sports &amp; Tourism, Canterbury 7647, New Zealand</t>
  </si>
  <si>
    <t>Uniformed Services University of the Health Sciences - USA; Lincoln University - New Zealand</t>
  </si>
  <si>
    <t>Weymouth, W (corresponding author), Uniformed Serv Univ Hlth Sci, 4301 Jones Bridge Rd, Bethesda, MD 20814 USA.</t>
  </si>
  <si>
    <t>Steel, Gary/P-6729-2018</t>
  </si>
  <si>
    <t>Steel, Gary/0000-0002-8499-9709</t>
  </si>
  <si>
    <t>Fulbright Program; Institute of International Education; Institute for International Education</t>
  </si>
  <si>
    <t>The authors like to thank the Fulbright Program and the Institute of International Education for their support. We also extend our sincere gratitude to Gateway Antarctica, the University of Canterbury, and the members of K220. Funding was provided by the Fulbright Program and the Institute for International Education. Operational aid was provided by Gateway Antarctica and Scott Base.</t>
  </si>
  <si>
    <t>0026-4075</t>
  </si>
  <si>
    <t>1930-613X</t>
  </si>
  <si>
    <t>MIL MED</t>
  </si>
  <si>
    <t>Milit. Med.</t>
  </si>
  <si>
    <t>10.7205/MILMED-D-12-00447</t>
  </si>
  <si>
    <t>Medicine, General &amp; Internal</t>
  </si>
  <si>
    <t>General &amp; Internal Medicine</t>
  </si>
  <si>
    <t>AN7TY</t>
  </si>
  <si>
    <t>WOS:000340805100017</t>
  </si>
  <si>
    <t>Liu, JT; Lu, XL; Liu, XY; Gao, Y; Hu, B; Jiao, BH; Zheng, H</t>
  </si>
  <si>
    <t>Liu, Jing-Tang; Lu, Xiao-Ling; Liu, Xiao-Yu; Gao, Yun; Hu, Bo; Jiao, Bing-Hua; Zheng, Heng</t>
  </si>
  <si>
    <t>Bioactive Natural Products from the Antarctic and Arctic Organisms</t>
  </si>
  <si>
    <t>MINI-REVIEWS IN MEDICINAL CHEMISTRY</t>
  </si>
  <si>
    <t>Antibacterium; bioactivity; cytotoxicity; natural products; polar organisms; secondary metabolites</t>
  </si>
  <si>
    <t>LIVINGSTON ISLAND; ACID-DERIVATIVES; ICE BACTERIUM; A-F; STRAIN; STEROIDS; ISOLATE</t>
  </si>
  <si>
    <t>Polar regions are remote and challenging areas on the earth. In view of the unique environment and the severe competition in polar regions, it's considered that the ecological system might be the producer of new compounds with diversity biological activities. This review is an attempt to consolidate the studies about 97 natural products isolated from Antarctic and Arctic organisms including microbes, algae, sponges, bryozoans, and tunicates and so on published in the recent years. The emphasis is mainly about the new compounds, source organisms and biological activities, which signifies the immense competence of Antarctic and Arctic organisms as bioactive natural products producers.</t>
  </si>
  <si>
    <t>Second Mil Med Univ, Dept Biochem &amp; Mol Biol, Shanghai 200433, Peoples R China; [Zheng, Heng] China Pharmaceut Univ, Sch Life Sci &amp; Technol, Nanjing 210009, Peoples R China</t>
  </si>
  <si>
    <t>Naval Medical University; China Pharmaceutical University</t>
  </si>
  <si>
    <t>Liu, XY (corresponding author), Second Mil Med Univ, Coll Basic Med Sci, Dept Biochem &amp; Mol Biol, 800 Xiangyin Rd, Shanghai 200433, Peoples R China.</t>
  </si>
  <si>
    <t>biolxy@163.com; zhengh18@hotmail.com</t>
  </si>
  <si>
    <t>LIU, Qing Yu/IWV-1159-2023; Liu, Xiaoyu/HJH-8805-2023; lu, xl/HDO-8340-2022</t>
  </si>
  <si>
    <t>National Hi-tech RD Program [SS2012AA09160703]</t>
  </si>
  <si>
    <t>National Hi-tech RD Program(National High Technology Research and Development Program of China)</t>
  </si>
  <si>
    <t>The work was supported by National Hi-tech R&amp;D Program to Dr. X. Liu (SS2012AA09160703).</t>
  </si>
  <si>
    <t>BENTHAM SCIENCE PUBL LTD</t>
  </si>
  <si>
    <t>SHARJAH</t>
  </si>
  <si>
    <t>EXECUTIVE STE Y-2, PO BOX 7917, SAIF ZONE, 1200 BR SHARJAH, U ARAB EMIRATES</t>
  </si>
  <si>
    <t>1389-5575</t>
  </si>
  <si>
    <t>1875-5607</t>
  </si>
  <si>
    <t>MINI-REV MED CHEM</t>
  </si>
  <si>
    <t>Mini-Rev. Med. Chem.</t>
  </si>
  <si>
    <t>10.2174/1389557511313040013</t>
  </si>
  <si>
    <t>Chemistry, Medicinal</t>
  </si>
  <si>
    <t>120YN</t>
  </si>
  <si>
    <t>WOS:000317209300013</t>
  </si>
  <si>
    <t>Deagle, BE; Jones, FC; Absher, DM; Kingsley, DM; Reimchen, TE</t>
  </si>
  <si>
    <t>Deagle, Bruce E.; Jones, Felicity C.; Absher, Devin M.; Kingsley, David M.; Reimchen, Thomas E.</t>
  </si>
  <si>
    <t>Phylogeography and adaptation genetics of stickleback from the Haida Gwaii archipelago revealed using genome-wide single nucleotide polymorphism genotyping</t>
  </si>
  <si>
    <t>Gasterosteus; population structure; single nucleotide polymorphism</t>
  </si>
  <si>
    <t>QUEEN-CHARLOTTE-ISLANDS; GASTEROSTEUS-ACULEATUS; THREESPINE STICKLEBACK; ADAPTIVE EVOLUTION; MITOCHONDRIAL-DNA; DIVERGENT SELECTION; PARALLEL EVOLUTION; FRESH-WATER; SEA LEVELS; POPULATIONS</t>
  </si>
  <si>
    <t>Threespine stickleback populations are model systems for studying adaptive evolution and the underlying genetics. In lakes on the Haida Gwaii archipelago (off western Canada), stickleback have undergone a remarkable local radiation and show phenotypic diversity matching that seen throughout the species distribution. To provide a historical context for this radiation, we surveyed genetic variation at &gt;1000single nucleotide polymorphism (SNP) loci in stickleback from over 100 populations. SNPs included markers evenly distributed throughout genome and candidate SNPs tagging adaptive genomic regions. Based on evenly distributed SNPs, the phylogeographic pattern differs substantially from the disjunct pattern previously observed between two highly divergent mtDNA lineages. The SNP tree instead shows extensive within watershed population clustering and different watersheds separated by short branches deep in the tree. These data are consistent with separate colonizations of most watersheds, despite underlying genetic connections between some independent drainages. This supports previous suppositions that morphological diversity observed between watersheds has been shaped independently, with populations exhibiting complete loss of lateral plates and giant size each occurring in several distinct clades. Throughout the archipelago, we see repeated selection of SNPs tagging candidate freshwater adaptive variants at several genomic regions differentiated between marinefreshwater populations on a global scale (e.g. EDA, Na/K ATPase). In estuarine sites, both marine and freshwater allelic variants were commonly detected. We also found typically marine alleles present in a few freshwater lakes, especially those with completely plated morphology. These results provide a general model for postglacial colonization of freshwater habitat by sticklebacks and illustrate the tremendous potential of genome-wide SNP data sets hold for resolving patterns and processes underlying recent adaptive divergences.</t>
  </si>
  <si>
    <t>[Deagle, Bruce E.; Reimchen, Thomas E.] Univ Victoria, Dept Biol, Victoria, BC V8W 3N5, Canada; [Jones, Felicity C.; Kingsley, David M.] Stanford Univ, Dept Dev Biol, Stanford, CA 94305 USA; [Absher, Devin M.] HudsonAlpha Inst Biotechnol, Huntsville, AL 35806 USA; [Kingsley, David M.] Stanford Univ, Howard Hughes Med Inst, Stanford, CA 94305 USA</t>
  </si>
  <si>
    <t>University of Victoria; Stanford University; HudsonAlpha Institute for Biotechnology; Stanford University; Howard Hughes Medical Institute</t>
  </si>
  <si>
    <t>Jones, Felicity C/AAY-3523-2021; Deagle, Bruce E/R-2999-2019</t>
  </si>
  <si>
    <t>Jones, Felicity C/0000-0002-5027-1031; Deagle, Bruce E/0000-0001-7651-3687</t>
  </si>
  <si>
    <t>NSERC [NRC 2354]; US National Institutes of Health [P50 HG002568]; NSERC</t>
  </si>
  <si>
    <t>NSERC(Natural Sciences and Engineering Research Council of Canada (NSERC)); US National Institutes of Health(United States Department of Health &amp; Human ServicesNational Institutes of Health (NIH) - USA); NSERC(Natural Sciences and Engineering Research Council of Canada (NSERC))</t>
  </si>
  <si>
    <t>This research was supported by NSERC Discovery grant NRC 2354 (TER), grant P50 HG002568 from US National Institutes of Health (DMA and DMK), and a NSERC Postdoctoral Fellowship (BED). DMK is an investigator of the Howard Hughes Medical Institute. Frank Chan, Shannon Brady, other members of DMK's laboratory and HudsonAlpha staff were involved in development/use of the stickleback SNP array. John Taylor provided additional laboratory space and insightful discussion. Field collection trips benefitted from the involvement of Paige Eveson, Mark Spoljaric, Duncan White and Jenny White.</t>
  </si>
  <si>
    <t>10.1111/mec.12215</t>
  </si>
  <si>
    <t>112ET</t>
  </si>
  <si>
    <t>WOS:000316575800012</t>
  </si>
  <si>
    <t>Fernández-Mendoza, F; Printzen, C</t>
  </si>
  <si>
    <t>Fernandez-Mendoza, Fernando; Printzen, Christian</t>
  </si>
  <si>
    <t>Pleistocene expansion of the bipolar lichen Cetraria aculeata into the Southern hemisphere</t>
  </si>
  <si>
    <t>amphitropical disjunction; Antarctica; lichenized fungi; Patagonia; Pleistocene; stochastic mapping</t>
  </si>
  <si>
    <t>POPULATION-STRUCTURE; GENE FLOW; BAYESIAN-INFERENCE; COMPUTER-PROGRAM; SPECIES TREES; PHYLOGENY; ASCOMYCOTA; BIOGEOGRAPHY; PHYLOGEOGRAPHY; PARMELIACEAE</t>
  </si>
  <si>
    <t>Many boreal and polar lichens occupy bipolar distributional ranges that frequently extend into high mountains at lower latitudes. Although such disjunctions are more common among lichens than in other groups of organisms, the geographic origin of bipolar lichen taxa, and the way and time frame in which they colonized their ranges have not been studied in detail. We used the predominantly vegetative, widespread lichen Cetraria aculeata as a model species. We surveyed the origin and history of its bipolar pattern using population genetics, phylogenetic and genealogical reconstruction methods. Cetraria aculeata originated in the Northern Hemisphere and dispersed southwards during the Pleistocene. The genetic signal suggests a Pleistocene dispersive burst in which a population size expansion concurred with the acquisition of a South-American range that culminated in the colonization of the Antarctic.</t>
  </si>
  <si>
    <t>[Fernandez-Mendoza, Fernando; Printzen, Christian] Senckenberg Forschungsinst, Abt Bot &amp; Mol Evolut Forsch, D-60325 Frankfurt, Germany; [Fernandez-Mendoza, Fernando; Printzen, Christian] Natl Museum, D-60325 Frankfurt, Germany; [Fernandez-Mendoza, Fernando; Printzen, Christian] Biodivers &amp; Climate Res Ctr, D-60325 Frankfurt, Germany</t>
  </si>
  <si>
    <t>Fernández-Mendoza, F (corresponding author), Senckenberg Forschungsinst, Abt Bot &amp; Mol Evolut Forsch, Senckenberganlage 25, D-60325 Frankfurt, Germany.</t>
  </si>
  <si>
    <t>Fernando.fernandez-mendoza@senckenberg.de</t>
  </si>
  <si>
    <t>Fernández-Mendoza, Fernando/E-2479-2013; Printzen, Christian/ABF-8242-2021</t>
  </si>
  <si>
    <t>Fernández-Mendoza, Fernando/0000-0002-0328-0808;</t>
  </si>
  <si>
    <t>Ministry of Higher Education, Research and the Arts; German Science Foundation [Pr567/10-1, Pr567/13-1]</t>
  </si>
  <si>
    <t>Ministry of Higher Education, Research and the Arts; German Science Foundation(German Research Foundation (DFG))</t>
  </si>
  <si>
    <t>We are grateful to the staff of the Grunelius-Mollgaard Laboratory for Molecular Evolution, especially H. Kappes, S. Becker and M. Fibian. S. Domaschke, J. Seifried, B. Milgramm and S. Swoboda are thanked for technical support in the laboratory, S. Perez-Ortega and T. Spribille for the extensive field collections they made available to us. V. Wagner, B. McCune, I. Starke-Ottich, M. Vivas, P. Rodriguez, A. Crespo, P. Cubas, A. Santo, P. K. Divakar, P. Lembcke and J. Fernandez collected population samples for or together with us. Support from Universidad de Valparaiso (Chile), Herbario Nacional de La Paz (Bolivia) and Rocky Mountain National Park (US) are gratefully acknowledged. We thank W. Quilhot and C. Rubio, S. Beck and R. I. Menesses, J. Connor (Rocky Mountain National Park), G. L. San Miguel (Mesa Verde National Park), P. Pineda Bovin (Great Sand Dunes National Park and Preserve), F. Armstrong and J. Hearst (Guadalupe Mountains National Park), T. Carolin (Glacier National Park), D. Taliaferro (Santa Fe National Forest) and G. Zizka for institutional support. D. Silvestro contributed to the development of the SM method. This study was supported by the research funding programme LOEWE, Landes-Offensive zur Entwicklung wissenschaftlich-okonomischer Exzellenz of Hesse's Ministry of Higher Education, Research and the Arts and the German Science Foundation through grants Pr567/10-1 and 13-1 to CP.</t>
  </si>
  <si>
    <t>10.1111/mec.12210</t>
  </si>
  <si>
    <t>WOS:000316575800015</t>
  </si>
  <si>
    <t>Miyake, F; Masuda, K; Nakamura, T</t>
  </si>
  <si>
    <t>Miyake, Fusa; Masuda, Kimiaki; Nakamura, Toshio</t>
  </si>
  <si>
    <t>Another rapid event in the carbon-14 content of tree rings</t>
  </si>
  <si>
    <t>RADIOCARBON AGE CALIBRATION; SOLAR-ACTIVITY; AD 774-775; CYCLICITY</t>
  </si>
  <si>
    <t>Previously, we have observed that the atmospheric C-14 content measured in tree rings showed a strong increase from AD 774 to 775. Although the cause of this event can be explained by a large solar proton event or a short gamma-ray burst, a more detailed discussion of the cause is difficult because the rate of occurrence of such rapid C-14 events remains unknown. Here we report new C-14 measurements from AD 822 to 1020, and the discovery of a second rapid increase of C-14 content from AD 992 to 993. The Be-10 flux in the Antarctic ice core shows peaks corresponding to these two C-14 events. The proportions of flux increase (C-14/Be-10) of the two events are consistent with each other. Therefore, it is highly possible that these events have the same origin. Considering the occurrence rate of C-14 increase events, solar activity is a plausible cause of the C-14 increase events.</t>
  </si>
  <si>
    <t>[Miyake, Fusa; Masuda, Kimiaki] Nagoya Univ, Solar Terr Environm Lab, Chikusa Ku, Nagoya, Aichi 4648601, Japan; [Nakamura, Toshio] Nagoya Univ, Ctr Chronol Res, Chikusa Ku, Nagoya, Aichi 4648601, Japan</t>
  </si>
  <si>
    <t>Nagoya University; Nagoya University</t>
  </si>
  <si>
    <t>Miyake, F (corresponding author), Nagoya Univ, Solar Terr Environm Lab, Chikusa Ku, Nagoya, Aichi 4648601, Japan.</t>
  </si>
  <si>
    <t>fmiyake@stelab.nagoya-u.ac.jp</t>
  </si>
  <si>
    <t>Miyake, Fusa/HLP-9694-2023; Masuda, Kimiaki/M-4932-2014</t>
  </si>
  <si>
    <t>Miyake, Fusa/0000-0001-8002-9601;</t>
  </si>
  <si>
    <t>Ministry of Education, Culture, Sports, Science and Technology (MEXT) of Japan [B:22340144]; Japan Society for the Promotion of Science; Grants-in-Aid for Scientific Research [22340144] Funding Source: KAKEN</t>
  </si>
  <si>
    <t>Ministry of Education, Culture, Sports, Science and Technology (MEXT) of Japan(Ministry of Education, Culture, Sports, Science and Technology, Japan (MEXT));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</si>
  <si>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K. Kimura for dating the sample tree rings by dendrochronology. We also thank Y. Itow, H. Tajima, Y. Matsubara and T. Sako for commenting on our manuscript. This work was partly supported by Grants-in-Aid for Scientific Research (B:22340144) provided by the Ministry of Education, Culture, Sports, Science and Technology (MEXT) of Japan. F.M.'s work is supported by a Research Fellowship of the Japan Society for the Promotion of Science.</t>
  </si>
  <si>
    <t>10.1038/ncomms2783</t>
  </si>
  <si>
    <t>143MR</t>
  </si>
  <si>
    <t>WOS:000318872100105</t>
  </si>
  <si>
    <t>Ballarotta, M; Drijfhout, S; Kuhlbrodt, T; Döös, K</t>
  </si>
  <si>
    <t>Ballarotta, Maxime; Drijfhout, Sybren; Kuhlbrodt, Till; Doos, Kristofer</t>
  </si>
  <si>
    <t>The residual circulation of the Southern Ocean: Which spatio-temporal scales are needed?</t>
  </si>
  <si>
    <t>Overturning; Stream function; Southern Ocean; Bolus; Deacon Cell</t>
  </si>
  <si>
    <t>MERIDIONAL CELLS; MODEL; TRANSPORT; EDDIES; WATER</t>
  </si>
  <si>
    <t>The Southern Ocean circulation consists of a complicated mixture of processes and phenomena that arise at different time and spatial scales which need to be parametrized in the state-of-the-art climate models. The temporal and spatial scales that give rise to the present-day residual mean circulation are here investigated by calculating the Meridional Overturning Circulation (MOC) in density coordinates from an eddy-permitting global model. The region sensitive to the temporal decomposition is located between 38 degrees S and 63 degrees S, associated with the eddy-induced transport. The Bolus'' component of the residual circulation corresponds to the eddy-induced transport. It is dominated by timescales between 1 month and 1 year. The temporal behavior of the transient eddies is examined in splitting the Bolus'' component into a Seasonal'', an Eddy'' and an Inter-monthly'' component, respectively representing the correlation between density and velocity fluctuations due to the average seasonal cycle, due to mesoscale eddies and due to large-scale motion on timescales longer than one month that is not due to the seasonal cycle. The Seasonal'' bolus cell is important at all latitudes near the surface. The Eddy'' bolus cell is dominant in the thermocline between 50 degrees S and 35 degrees S and over the whole ocean depth at the latitude of the Drake Passage. The Inter-monthly'' bolus cell is important in all density classes and is maximal in the Brazil-Malvinas Confluence and the Agulhas Return Current. The spatial decomposition indicates that a large part of the Eulerian mean circulation is recovered for spatial scales larger than 11.25 degrees, implying that small-scale meanders in the Antarctic Circumpolar Current (ACC), near the Subantarctic and Polar Fronts, and near the Subtropical Front are important in the compensation of the Eulerian mean flow. (C) 2013 Elsevier Ltd. All rights reserved.</t>
  </si>
  <si>
    <t>[Ballarotta, Maxime; Doos, Kristofer] Univ Stockholm, Dept Meteorol Oceanog, S-10691 Stockholm, Sweden; [Kuhlbrodt, Till] Univ Reading, Dept Meteorol, Reading RG6 2AH, Berks, England</t>
  </si>
  <si>
    <t>Stockholm University; University of Reading</t>
  </si>
  <si>
    <t>Ballarotta, M (corresponding author), Univ Stockholm, Dept Meteorol Oceanog, S-10691 Stockholm, Sweden.</t>
  </si>
  <si>
    <t>maxime@misu.su.se</t>
  </si>
  <si>
    <t>Drijfhout, Sybren/I-4230-2016; Döös, Kristofer/H-2838-2012; Ballarotta, Maxime/G-3112-2013</t>
  </si>
  <si>
    <t>Döös, Kristofer/0000-0002-1309-5921; Drijfhout, Sybren/0000-0001-5325-7350; Ballarotta, Maxime/0000-0003-2869-6380; BALLAROTTA, Maxime/0000-0002-4101-8704; Kuhlbrodt, Till/0000-0003-2328-6729</t>
  </si>
  <si>
    <t>Bert Bolin Centre for Climate Research; Swedish Research Council; Marie Curie Intra-European Fellowship within the 7th European Community Framework Programme; Natural Environment Research Council [ncas10009] Funding Source: researchfish</t>
  </si>
  <si>
    <t>Bert Bolin Centre for Climate Research; Swedish Research Council(Swedish Research Council); Marie Curie Intra-European Fellowship within the 7th European Community Framework Programme(European Union (EU)); Natural Environment Research Council(UK Research &amp; Innovation (UKRI)Natural Environment Research Council (NERC))</t>
  </si>
  <si>
    <t>This work has been financially supported by the Bert Bolin Centre for Climate Research and by the Swedish Research Council. Till Kuhlbrodt was supported by a Marie Curie Intra-European Fellowship within the 7th European Community Framework Programme. We thank Jan Zika and two anonymous reviewers for their insightful reviews. The authors want also to thanks the National Oceanography Centre in Southampton ( NOCS) for providing the data of the eddy-permitting ORCA025 configuration.</t>
  </si>
  <si>
    <t>10.1016/j.ocemod.2013.01.005</t>
  </si>
  <si>
    <t>107CZ</t>
  </si>
  <si>
    <t>WOS:000316193600004</t>
  </si>
  <si>
    <t>Massonnet, F; Mathiot, P; Fichefet, T; Goosse, H; Beatty, CK; Vancoppenolle, M; Lavergne, T</t>
  </si>
  <si>
    <t>Massonnet, Franois; Mathiot, Pierre; Fichefet, Thierry; Goosse, Hugues; Beatty, Christof Koenig; Vancoppenolle, Martin; Lavergne, Thomas</t>
  </si>
  <si>
    <t>A model reconstruction of the Antarctic sea ice thickness and volume changes over 1980-2008 using data assimilation</t>
  </si>
  <si>
    <t>Antarctic; Sea ice thickness and volume; Data assimilation; EnKF; Trends; Variability; Southern Ocean</t>
  </si>
  <si>
    <t>SOUTHERN-HEMISPHERE CLIMATE; ANNULAR MODE; OCEAN SYSTEM; MASS-BALANCE; WEDDELL SEA; VARIABILITY; SIMULATION; REPRESENTATION; TRENDS</t>
  </si>
  <si>
    <t>Sea ice variability in the Southern Ocean has a complex spatio-temporal structure. In a global warming context, the Antarctic sea ice cover has slightly expanded over the recent decades. This increase in sea ice extent results, however, from the sum of positive and negative regional trends and is influenced by a wide range of modes of climate variability. An additional view on sea ice thickness and volume changes would improve our understanding. Still, no large-scale multi-decadal well-sampled record of Antarctic sea ice thickness exists to date. To address this issue, we assimilate real sea ice concentration data into the ocean-sea ice model NEMO-LIM2 using an ensemble Kalman filter and demonstrate the positive impacts on the global sea ice cover. This paper reports the 1980-2008 evolution (monthly anomalies, trends plus their uncertainty ranges) of sea ice volume and thickness in different sectors of the Southern Ocean. We find that the global Antarctic sea ice volume has risen at a pace of 355 +/- 338 km(3)/decade (5.6 +/- 5.3%/decade) during this period, with an increase in the Ross and Weddell Seas (150 +/- 124 and 209 +/- 362 km(3)/decade, respectively) and a decrease in the Amundsen-Bellingshausen Seas (-45 +/- 54 km(3)/decade). Sea ice volume anomalies co-vary well with extent anomalies, and exhibit yearly to decadal fluctuations. The results stress the need to analyze sea ice changes at the regional level first and then at the hemispheric level. (C) 2013 Elsevier Ltd. All rights reserved.u</t>
  </si>
  <si>
    <t>[Massonnet, Franois; Fichefet, Thierry; Goosse, Hugues; Beatty, Christof Koenig] Catholic Univ Louvain, Earth &amp; Life Inst, Georges Lemaitre Ctr Earth &amp; Climate Res, B-1348 Louvain, Belgium; [Mathiot, Pierre] British Antarctic Survey, Natl Environm Res Council, Cambridge CB3 0ET, England; [Vancoppenolle, Martin] Inst Pierre Simon Laplace, Lab Oceanog &amp; Climat Expt &amp; Approches Numer, Paris, France; [Lavergne, Thomas] Norwegian Meteorol Inst, Oslo, Norway</t>
  </si>
  <si>
    <t>Universite Catholique Louvain; UK Research &amp; Innovation (UKRI); Natural Environment Research Council (NERC); NERC British Antarctic Survey; Sorbonne Universite; Museum National d'Histoire Naturelle (MNHN); Centre National de la Recherche Scientifique (CNRS); CNRS - National Institute for Earth Sciences &amp; Astronomy (INSU); Universite Paris Saclay; Universite Paris Cite; Norwegian Meteorological Institute</t>
  </si>
  <si>
    <t>Massonnet, F (corresponding author), Catholic Univ Louvain, Earth &amp; Life Inst, Georges Lemaitre Ctr Earth &amp; Climate Res, B-1348 Louvain, Belgium.</t>
  </si>
  <si>
    <t>francois.massonnet@uclouvain.be</t>
  </si>
  <si>
    <t>Vancoppenolle, Martin/AAA-7711-2022; Vancoppenolle, Martin/B-3750-2011; Massonnet, Francois/J-5315-2014</t>
  </si>
  <si>
    <t>Vancoppenolle, Martin/0000-0002-7573-8582; Vancoppenolle, Martin/0000-0002-7573-8582; Mathiot, Pierre/0000-0002-2001-0762; Massonnet, Francois/0000-0002-4697-5781; Lavergne, Thomas/0000-0002-9498-4551</t>
  </si>
  <si>
    <t>European Commissions 7th Framework Programme [226520]; COMBINE project (Comprehensive Modelling of the Earth System for Better Climate Prediction and Projection); Belgian Science Federal Policy Office (BELSPO); F.R.S.-FNRS; NERC [bas0100028] Funding Source: UKRI; Natural Environment Research Council [bas0100028] Funding Source: researchfish</t>
  </si>
  <si>
    <t>European Commissions 7th Framework Programme(European Union (EU)European Commission Joint Research Centre); COMBINE project (Comprehensive Modelling of the Earth System for Better Climate Prediction and Projection); Belgian Science Federal Policy Office (BELSPO)(Belgian Federal Science Policy Office); F.R.S.-FNRS(Fonds de la Recherche Scientifique - FNRS); NERC(UK Research &amp; Innovation (UKRI)Natural Environment Research Council (NERC)); Natural Environment Research Council(UK Research &amp; Innovation (UKRI)Natural Environment Research Council (NERC))</t>
  </si>
  <si>
    <t>F. Massonnet is a F.R.S-FNRS Research Fellow. H. Goosse is a F.R.S.-FNRS Senior Research Associate. This work was partly funded by the European Commissions 7th Framework Programme, under Grant Agreement number 226520, COMBINE project (Comprehensive Modelling of the Earth System for Better Climate Prediction and Projection). It was also partly supported by the Belgian Science Federal Policy Office (BELSPO). The global sea ice concentration reprocessed dataset was provided by the Ocean and Sea Ice Satellite Application Facilities (OSISAF). The Upward Looking Sonar ice draft profiles were provided by the National Snow and Ice Data Center (NSIDC, www.nsidc.org). The ship-based sea ice and snow thickness data were provided by the SCAR Antarctic Sea Ice Processes and Climate (ASPeCt) program (www.aspect.aq). Computational ressources have been provided by the supercomputing facilities of the Universite catholique de Louvain (CISM/UCL) and the Consortium des Equipements de Calcul Intensif en Federation Wallonie Bruxelles (CECI) funded by the F.R.S.-FNRS.</t>
  </si>
  <si>
    <t>10.1016/j.ocemod.2013.01.003</t>
  </si>
  <si>
    <t>WOS:000316193600006</t>
  </si>
  <si>
    <t>Argilla, LS; Howe, L; Gartrell, BD; Alley, MR</t>
  </si>
  <si>
    <t>Argilla, L. S.; Howe, L.; Gartrell, B. D.; Alley, M. R.</t>
  </si>
  <si>
    <t>High prevalence of Leucocytozoon spp. in the endangered yellow-eyed penguin (Megadyptes antipodes) in the sub-Antarctic regions of New Zealand</t>
  </si>
  <si>
    <t>PARASITOLOGY</t>
  </si>
  <si>
    <t>Leucocytozoon; yellow-eyed penguin; Enderby Island; mortality; New Zealand</t>
  </si>
  <si>
    <t>AVIAN MALARIA PLASMODIUM; BLOOD PARASITES; CAMPBELL ISLAND; HEMATOZOA; VARIABILITY; DIAGNOSTICS; MORTALITY; MIGRATION; GROWTH; WILD</t>
  </si>
  <si>
    <t>Yellow-eyed penguins (YEPs) have suffered major population declines over the past 30 years, with no single cause established. Leucocytozoon was first identified in yellow-eyed penguins in 2005. During the 2008/09 breeding season, a high mortality was seen in both mainland yellow-eyed penguins as well as those on Enderby Island of the Auckland Islands archipelago. A high overall prevalence of Leucocytozoon spp. in association with a high incidence of chick mortality was observed during this period on Enderby Island. One chick had histological evidence of leucocytozoonosis with megaloschizonts in multiple organs throughout its body. In addition, a high prevalence (73.7%) of Leucocytozoon was observed by PCR in the blood of adult Enderby yellow-eyed penguins taken during the 2006/07 season. These findings were different from the low prevalence detected by PCR on the coast of the South Island (11%) during the 2008/2009 breeding session and earlier on Campbell Island (21%) during the 2006/2007 breeding session. The Leucocytozoon spp. sequences detected lead us to conclude that the Leucocytozoon parasite is common in yellow-eyed penguins and has a higher prevalence in penguins from Enderby Island than those from Campbell Island and the mainland of New Zealand. The Enderby Island yellow-eyed penguins are infected with a Leucocytozoon spp. that is genetically distinct from that found in other yellow-eyed penguin populations. The role of Leucocytozoon in the high levels of chick mortality in the yellow-eyed penguins remains unclear.</t>
  </si>
  <si>
    <t>[Argilla, L. S.; Howe, L.; Gartrell, B. D.; Alley, M. R.] Massey Univ, Inst Vet Anim &amp; Biomed Sci, New Zealand Wildlife Hlth Ctr, Palmerston North, New Zealand</t>
  </si>
  <si>
    <t>Massey University</t>
  </si>
  <si>
    <t>Gartrell, BD (corresponding author), Massey Univ, Inst Vet Anim &amp; Biomed Sci, New Zealand Wildlife Hlth Ctr, Private Bag 11 222, Palmerston North, New Zealand.</t>
  </si>
  <si>
    <t>B.Gartrell@massey.ac.nz</t>
  </si>
  <si>
    <t>Argilla, Lisa/AAD-6688-2019</t>
  </si>
  <si>
    <t>Alley, Maurice/0000-0002-4321-2092; Howe, Laryssa/0000-0002-2594-2008; Gartrell, Brett/0000-0002-8062-9313; Argilla, Lisa Shelley/0000-0002-2614-5000</t>
  </si>
  <si>
    <t>We wish to thank the following people for their assistance during this study: Dr Trevor Crosby (Landcare Research), Dr Gediminas Valkiunas (Vilnius University, Lithuania), Professor Douglas Craig (University of Alberta, Canada), the Department of Conservation (NZ Sealion team 2008/09, Melanie Young, Dr Kate McInnes, Dr Louise Chilvers, Pete McLelland), and the members of the NZ Wildlife Health Centre. We would also like to acknowledge the Massey University Postgraduate Fund for their financial support.</t>
  </si>
  <si>
    <t>0031-1820</t>
  </si>
  <si>
    <t>1469-8161</t>
  </si>
  <si>
    <t>10.1017/S0031182012002089</t>
  </si>
  <si>
    <t>107OZ</t>
  </si>
  <si>
    <t>WOS:000316229100013</t>
  </si>
  <si>
    <t>Wallace, MI; Cottier, FR; Brierley, AS; Tarling, GA</t>
  </si>
  <si>
    <t>Wallace, M. I.; Cottier, F. R.; Brierley, A. S.; Tarling, G. A.</t>
  </si>
  <si>
    <t>Modelling the influence of copepod behaviour on faecal pellet export at high latitudes</t>
  </si>
  <si>
    <t>Zooplankton; Arctic; Vertical migration; Carbon flux; Foray-type behaviour; Satiation sinking; Acoustic Doppler current profiler</t>
  </si>
  <si>
    <t>DIEL VERTICAL MIGRATION; PARTICULATE ORGANIC-CARBON; CALANUS-PACIFICUS; PHYTOPLANKTON BLOOM; PLANKTONIC COPEPODS; TEMORA-LONGICORNIS; ARCTIC ZOOPLANKTON; SWIMMING ACTIVITY; ACTIVE-TRANSPORT; SOUTH-GEORGIA</t>
  </si>
  <si>
    <t>The contribution of faecal pellet (FP) production by zooplankton to the downward flux of particulate organic carbon (POC) can vary from &lt; 1 % to more than 90 % of total POC. This results from varying degrees of interception and consumption, and hence recycling, of FPs by zooplankton in the upper mixed layers, and the active transport of FP to depth via diel vertical migration (VM) of zooplankton. During mid-summer at high latitudes, synchronised diel VM ceases, but individual zooplankton may continue to make forays into and out of the surface layers. This study considers the relative importance of different VM behaviours on FP export at high latitudes. We focussed on copepods and parameterised an individual-based model using empirical measures of phytoplankton vertical distribution and the rate of FP production, as a function of food availability. FP production was estimated under three different behaviours common to high-latitude environments (1) no VM, (2) foray-type behaviour and (3) synchronised diel VM. Simulations were also made of how each of these behaviours would be observed by an acoustic Doppler current profiler (ADCP). The model found that the type of copepod behaviour made a substantial difference to the level of FP export to depth. In the absence of VM, all FPs were produced above 50 m, where the probability of eventual export to depth was low. In foray-type scenarios, FP production occurred between 0 and 80 m, although the majority occurred between 30 and 70 m depth. Greatest FP production in the deeper layers (&gt; 70 m) occurred when diel VM took place. Simulated ADCP vertical velocity fields from the foray-type scenario resembled field observations, particularly with regard to the occurrence of positive anomalies in deeper waters and negative anomalies in shallower waters. The model illustrates that active vertical flux of zooplankton FP can occur at high latitudes even when no synchronised VM is taking place.</t>
  </si>
  <si>
    <t>[Wallace, M. I.; Brierley, A. S.] Univ St Andrews, Scottish Oceans Inst, St Andrews, Fife, Scotland; [Cottier, F. R.] Scottish Assoc Marine Sci, Scottish Marine Inst, Oban, Argyll, Scotland; [Tarling, G. A.] British Antarctic Survey, Nat Environm Res Council, Cambridge CB3 0ET, England</t>
  </si>
  <si>
    <t>University of St Andrews; UHI Millennium Institute; UK Research &amp; Innovation (UKRI); Natural Environment Research Council (NERC); NERC British Antarctic Survey</t>
  </si>
  <si>
    <t>Tarling, GA (corresponding author), British Antarctic Survey, Nat Environm Res Council, Cambridge CB3 0ET, England.</t>
  </si>
  <si>
    <t>gant@bas.ac.uk</t>
  </si>
  <si>
    <t>Cottier, Finlo/K-6277-2012; Brierley, Andrew/G-8019-2011</t>
  </si>
  <si>
    <t>Brierley, Andrew/0000-0002-6438-6892; Cottier, Finlo/0000-0002-3068-1754</t>
  </si>
  <si>
    <t>Natural Environment Research Council (NERC) Strategic Ocean Funding Initiative (SOFI) grant [NE/F012381/1]; Natural Environment Research Council (NERC) [NE/H012524/1]; Natural Environment Research Council [bas0100025, NE/F012381/1, NE/H012524/1] Funding Source: researchfish; NERC [NE/H012524/1, bas0100025, NE/F012381/1] Funding Source: UKRI</t>
  </si>
  <si>
    <t>Natural Environment Research Council (NERC) Strategic Ocean Funding Initiative (SOFI) grant(UK Research &amp; Innovation (UKRI)Natural Environment Research Council (NERC));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</si>
  <si>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The analysis was funded under a Natural Environment Research Council (NERC) Strategic Ocean Funding Initiative (SOFI) grant (NE/F012381/1) to Andrew S. Brierley, Geraint A. Tarling and Finlo R. Cottier, in partnership with Jorgen Berge at the University of Norway in Svalbard (UNIS). GAT was further supported by the Ecosystems Core programme at British Antarctic Survey, Natural Environment Research Council. FRC was also further supported through the Natural Environment Research Council (NERC) grant NE/H012524/1.</t>
  </si>
  <si>
    <t>10.1007/s00300-013-1287-7</t>
  </si>
  <si>
    <t>WOS:000316331600010</t>
  </si>
  <si>
    <t>Petry, MV; Basler, AB; Valls, FCL; Krüger, L</t>
  </si>
  <si>
    <t>Petry, Maria Virginia; Basler, Aparecida Brusamarello; Leal Valls, Fernanda Caminha; Krueger, Lucas</t>
  </si>
  <si>
    <t>New southerly breeding location of king penguins (Aptenodytes patagonicus) on Elephant Island (Maritime Antarctic)</t>
  </si>
  <si>
    <t>Biogeographic range shift; Breeding site; Elephant Island; New record; Sphenisciformes</t>
  </si>
  <si>
    <t>CROZET-ISLANDS; OCEAN</t>
  </si>
  <si>
    <t>In the 2009-2010 austral summer, two breeding pairs of king penguins were recorded at Stinker Point, Elephant Island, Maritime Antarctic. This is the first record of king penguins breeding south of 60A degrees S. The finding suggests a possible range extension of this species and increases the number of breeding bird species at Stinker Point, which was recently appointed as an Important Bird Area in Antarctica.</t>
  </si>
  <si>
    <t>[Petry, Maria Virginia; Basler, Aparecida Brusamarello; Leal Valls, Fernanda Caminha; Krueger, Lucas] Univ Vale Rio dos Sinos, Lab Ornithol &amp; Sea Anim, BR-93022000 Sao Leopoldo, RS, Brazil</t>
  </si>
  <si>
    <t>Universidade do Vale do Rio dos Sinos (Unisinos)</t>
  </si>
  <si>
    <t>Petry, MV (corresponding author), Univ Vale Rio dos Sinos, Lab Ornithol &amp; Sea Anim, Av Unisinos 950, BR-93022000 Sao Leopoldo, RS, Brazil.</t>
  </si>
  <si>
    <t>vpetry@unisinos.br</t>
  </si>
  <si>
    <t>Krüger, Lucas/O-8912-2015; Petry, Maria Virginia/AAG-5333-2021; petry, maria/K-8410-2013</t>
  </si>
  <si>
    <t>Krüger, Lucas/0000-0003-4637-5302; petry, maria/0000-0002-7870-7394</t>
  </si>
  <si>
    <t>National Institute of Science and Technology-Antarctic Environmental Research-INCT-APA; National Counsel of Technological and Scientific Development-CNPq; Foundation of Research Support, Rio de Janeiro-FAPERJ; Brazilian Antarctic Program; Secretariat of the Interministerial Commission for Sea Resources-SECIRM; University of Vale do Rio dos Sinos</t>
  </si>
  <si>
    <t>National Institute of Science and Technology-Antarctic Environmental Research-INCT-APA; National Counsel of Technological and Scientific Development-CNPq(Conselho Nacional de Desenvolvimento Cientifico e Tecnologico (CNPQ)); Foundation of Research Support, Rio de Janeiro-FAPERJ; Brazilian Antarctic Program; Secretariat of the Interministerial Commission for Sea Resources-SECIRM; University of Vale do Rio dos Sinos</t>
  </si>
  <si>
    <t>This research was supported by National Institute of Science and Technology-Antarctic Environmental Research-INCT-APA; National Counsel of Technological and Scientific Development-CNPq; Foundation of Research Support, Rio de Janeiro-FAPERJ; Brazilian Antarctic Program; Secretariat of the Interministerial Commission for Sea Resources-SECIRM-and University of Vale do Rio dos Sinos. We thank Elisa de Souza Petersen and Gisele Dantas for providing photographs. Finally, we are grateful to Emily Toriani Moura and Dieter Piepenburg for revising the language of our manuscript.</t>
  </si>
  <si>
    <t>10.1007/s00300-012-1277-1</t>
  </si>
  <si>
    <t>WOS:000316331600012</t>
  </si>
  <si>
    <t>Ruoppolo, V; Woehler, EJ; Morgan, K; Clumpner, CJ</t>
  </si>
  <si>
    <t>Ruoppolo, Valeria; Woehler, Eric J.; Morgan, Kerri; Clumpner, Curtiss J.</t>
  </si>
  <si>
    <t>Wildlife and oil in the Antarctic: a recipe for cold disaster</t>
  </si>
  <si>
    <t>EXXON-VALDEZ SPILL; HYDROCARBON CONTAMINATION; ARTHUR HARBOR; BAHIA-PARAISO; MCMURDO SOUND; PENINSULA; SOILS; FUEL; BIODEGRADATION; PERSISTENCE</t>
  </si>
  <si>
    <t>The increasing rate of incidents involving vessels in the Southern Ocean (including vessels sinking) has highlighted the potential for substantial fuel spills into the Antarctic environment. An increasing number of tourist and fishing vessels, often without ice strengthened hulls, are penetrating farther into, and staying longer in, Antarctic waters, with a focus for destinations of wildlife concentrations. Based on a survey of national operators in the Antarctic, there is little preparation for an oil spill event that involves Antarctic wildlife. This is a recipe for a catastrophic spill event, with the potential for high numbers of oiled wildlife in a remote part of the world where there are major logistical constraints on the provision of equipment and skilled response personnel. Here we chronicle shipping incidents that have led to oil spills in the Southern Ocean, the current legislation and contingency plans currently in place by national Antarctic operators, and examine their preparedness and expertise for an oiled wildlife event response. It is clear that national, fishing and tourism operators are manifestly unprepared for an oiled wildlife event in the Southern Ocean. We identify five critical constraints to any response and provide recommendations that address these constraints.</t>
  </si>
  <si>
    <t>[Ruoppolo, Valeria] IFAW, Yarmouth Port, MA 02675 USA; [Ruoppolo, Valeria] Aiuka, Consultoria Solucoes Ambientais, BR-04786000 Sao Paulo, Brazil; [Woehler, Eric J.] Univ Tasmania, Sch Zool, Hobart, Tas 7001, Australia; [Morgan, Kerri] Massey Univ, Wildlife Hlth Ctr, Inst Vet Anim &amp; Biomed Sci, New Zealand Wildlife Hlth Ctr, Palmerston North 4442, New Zealand; [Clumpner, Curtiss J.] Int Bird Rescue, Astoria, OR 97103 USA</t>
  </si>
  <si>
    <t>University of Tasmania; Massey University</t>
  </si>
  <si>
    <t>Ruoppolo, V (corresponding author), IFAW, 290 Summer St, Yarmouth Port, MA 02675 USA.</t>
  </si>
  <si>
    <t>vruoppolo@ifaw.org</t>
  </si>
  <si>
    <t>Woehler, Eric/0000-0002-1125-0748</t>
  </si>
  <si>
    <t>10.1017/S0032247411000763</t>
  </si>
  <si>
    <t>WOS:000316068900002</t>
  </si>
  <si>
    <t>Vinding, K; Christiansen, M; Hofmeyr, GJ; Chivell, W; McBride, R; Bester, MN</t>
  </si>
  <si>
    <t>Vinding, Katja; Christiansen, Michael; Hofmeyr, Greg J.; Chivell, Wilfred; McBride, Roy; Bester, Marthan N.</t>
  </si>
  <si>
    <t>Occurrence of vagrant leopard seals, Hydrurga leptonyx, along the South African coast</t>
  </si>
  <si>
    <t>SOUTH AFRICAN JOURNAL OF WILDLIFE RESEARCH</t>
  </si>
  <si>
    <t>leopard seal; distribution; vagrancy</t>
  </si>
  <si>
    <t>SEASONAL OCCURRENCE; PRYDZ BAY; PACK-ICE; ISLAND; DIET</t>
  </si>
  <si>
    <t>Leopard seals inhabit the pack-ice rim of Antarctica, and they regularly haul out on Antarctic and Subantarctic islands. Occasionally, vagrants are sighted further north in South America, Australia, New Zealand, and very rarely in southern Africa and Oceania. Here we report on an observation made on the 15th of July 2010 of a single 3-m-long juvenile leopard seal at 'Die Dam' in the Western Cape, South Africa (34 degrees 45.772'S, 19 degrees 42.582'E). We searched historical records and found details of four observations of leopard seals along the coast of South Africa since 1946. All of these sightings were of juvenile animals. The relative scarcity of observations is a likely reflection of the great distance from Antarctica and the Subantarctic to South Africa.</t>
  </si>
  <si>
    <t>[Vinding, Katja; Chivell, Wilfred] Dyer Isl Conservat Trust, Kleinbaai, Western Cape, South Africa; [Vinding, Katja; Hofmeyr, Greg J.; Bester, Marthan N.] Univ Pretoria, Dept Zool &amp; Entomol, Mammal Res Inst, ZA-0028 Hatfield, South Africa; [Vinding, Katja; Christiansen, Michael] Statens Serum Inst, DK-2300 Copenhagen, Denmark; [Hofmeyr, Greg J.] Port Elizabeth Museum Bayworld, ZA-6013 Humewood, South Africa; [McBride, Roy] CKD Boats, Hout Bay, South Africa</t>
  </si>
  <si>
    <t>University of Pretoria; Statens Serum Institut</t>
  </si>
  <si>
    <t>Vinding, K (corresponding author), Dyer Isl Conservat Trust, Kleinbaai, Western Cape, South Africa.</t>
  </si>
  <si>
    <t>katjavp@gmail.com</t>
  </si>
  <si>
    <t>Hofmeyr, G. J. Greg/AAV-3286-2020; Bester, Marthán N/E-5387-2010</t>
  </si>
  <si>
    <t>Hofmeyr, G. J. Greg/0000-0003-0283-6058;</t>
  </si>
  <si>
    <t>SOUTHERN AFRICAN WILDLIFE MANAGEMENT ASSOC</t>
  </si>
  <si>
    <t>BLOUBERGSTRAND</t>
  </si>
  <si>
    <t>P O BOX 217, BLOUBERGSTRAND 7437, SOUTH AFRICA</t>
  </si>
  <si>
    <t>0379-4369</t>
  </si>
  <si>
    <t>1996-8477</t>
  </si>
  <si>
    <t>S AFR J WILDL RES</t>
  </si>
  <si>
    <t>South Afr. J. Wildl. Res.</t>
  </si>
  <si>
    <t>10.3957/056.043.0101</t>
  </si>
  <si>
    <t>181OT</t>
  </si>
  <si>
    <t>WOS:000321679100011</t>
  </si>
  <si>
    <t>Horne, RB; Glauert, SA; Meredith, NP; Boscher, D; Maget, V; Heynderickx, D; Pitchford, D</t>
  </si>
  <si>
    <t>Horne, R. B.; Glauert, S. A.; Meredith, N. P.; Boscher, D.; Maget, V.; Heynderickx, D.; Pitchford, D.</t>
  </si>
  <si>
    <t>Space weather impacts on satellites and forecasting the Earth's electron radiation belts with SPACECAST</t>
  </si>
  <si>
    <t>SPACE WEATHER-THE INTERNATIONAL JOURNAL OF RESEARCH AND APPLICATIONS</t>
  </si>
  <si>
    <t>SOLAR-WIND; RELATIVISTIC ELECTRONS; RESONANT INTERACTION; GEOMAGNETIC STORMS; ACCELERATION; DIFFUSION; MAGNETOSPHERE; SIMULATION; CYCLE; MECHANISMS</t>
  </si>
  <si>
    <t>Satellites can be damaged by high energy charged particles in the Earth's radiation belts and during solar energetic particle (SEP) events. Here we review the growing reliance on satellite services, new vulnerabilities to space weather, and previous events that have led to loss of service. We describe a new European system to forecast the radiation belts up to 3h ahead, which has three unique features: first, it uses physics-based models, which include wave-particle interactions; second, it provides a forecast for the whole outer radiation belt including geostationary, medium, and slot region orbits; third, it is a truly international effort including Europe, United States, and Japan. During the 89 March 2012 storm and SEP event, the models were able to forecast the &gt;800keV electron flux to within a factor of 2 initially, and later to within a factor of 10 of the GOES data. Although ACE and GOES data became unreliable during the SEP event, the system continued forecasting without interruption using ground-based magnetometers. A forecast of the 24h electron fluence &gt;2MeV is used to provide a risk index for satellite operators. We show that including wave-particle interactions for L* &gt; 6.5 improves the agreement with GOES data substantially and that a fast inward motion of the magnetopause to L* &lt; 8 is related to rapid loss of relativistic electrons at geostationary orbit. Thus, we suggest that better wave-particle models and better coupling between the solar wind and the models of the magnetopause and radiation belts should lead to better forecasting.</t>
  </si>
  <si>
    <t>[Horne, R. B.; Glauert, S. A.; Meredith, N. P.] British Antarctic Survey, Cambridge CB3 0ET, England; [Boscher, D.; Maget, V.] French Aerosp Lab, F-31055 Toulouse, France; [Heynderickx, D.] DH Consultancy BVBA, Louvain, Belgium</t>
  </si>
  <si>
    <t>Horne, RB (corresponding author), British Antarctic Survey, Nat Environm Res Council, Madingley Rd, Cambridge CB3 0ET, England.</t>
  </si>
  <si>
    <t>r.horne@bas.ac.uk</t>
  </si>
  <si>
    <t>Meredith, Nigel P/C-5806-2018; Heynderickx, Daniel/JBS-0816-2023; Horne, Richard B/U-3764-2019</t>
  </si>
  <si>
    <t>Heynderickx, Daniel/0000-0001-7136-9014; Horne, Richard B/0000-0002-0412-6407; Maget, Vincent/0000-0003-0898-7279; Meredith, Nigel/0000-0001-5032-3463</t>
  </si>
  <si>
    <t>European Union [262468]; UK Natural Environment Research Council; French Aerospace Research Laboratory (ONERA); NERC [bas0100023] Funding Source: UKRI; Natural Environment Research Council [bas0100023] Funding Source: researchfish</t>
  </si>
  <si>
    <t>European Union(European Union (EU)); UK Natural Environment Research Council(UK Research &amp; Innovation (UKRI)Natural Environment Research Council (NERC)); French Aerospace Research Laboratory (ONERA); NERC(UK Research &amp; Innovation (UKRI)Natural Environment Research Council (NERC)); Natural Environment Research Council(UK Research &amp; Innovation (UKRI)Natural Environment Research Council (NERC))</t>
  </si>
  <si>
    <t>The SPACECAST forecasting system uses data from several sources to produce the radiation belt forecasts. In particular, the authors thank the ACE SWEPAM and MAG instrument teams and the ACE Science Center for providing plasma and magnetic field data on the solar wind; the National Oceanic and Atmosphere Administration for real-time data from the GOES and POES satellites; the Swedish Institute of Space Physics, Lund, for providing forecasts of the Kp and Dst indices; the BGS for providing an estimated Kp magnetic index in near real time; the Regional Warning Centre, Kyoto, for the preliminary and quick look Dst index; the Helmholdz Centre, Potsdam, for providing an archive of the Kp index; the National Geophysical Data Centre for providing an archive of the Dst index; and the European Space Agency for use of their open data interface. The research leading to these results has received funding from the European Union Seventh Framework Programme (FP7/2007-2013) under grant agreement no. 262468. They also acknowledge financial support from the UK Natural Environment Research Council and the French Aerospace Research Laboratory (ONERA).</t>
  </si>
  <si>
    <t>1542-7390</t>
  </si>
  <si>
    <t>SPACE WEATHER</t>
  </si>
  <si>
    <t>Space Weather</t>
  </si>
  <si>
    <t>10.1002/swe.20023</t>
  </si>
  <si>
    <t>Astronomy &amp; Astrophysics; Geochemistry &amp; Geophysics; Meteorology &amp; Atmospheric Sciences</t>
  </si>
  <si>
    <t>140EH</t>
  </si>
  <si>
    <t>WOS:000318636700007</t>
  </si>
  <si>
    <t>Lu, ZB; Cai, MH; Wang, J; Yin, ZG; Yang, HZ</t>
  </si>
  <si>
    <t>Lu, Zhibo; Cai, Minghong; Wang, Juan; Yin, Zhigao; Yang, Haizhen</t>
  </si>
  <si>
    <t>Levels and distribution of trace metals in surface sediments from Kongsfjorden, Svalbard, Norwegian Arctic</t>
  </si>
  <si>
    <t>ENVIRONMENTAL GEOCHEMISTRY AND HEALTH</t>
  </si>
  <si>
    <t>Trace metals; Sediment; Ecological risk; Kongsfjorden; Norwegian Arctic</t>
  </si>
  <si>
    <t>PERSISTENT ORGANIC POLLUTANTS; WEST SPITSBERGEN CURRENT; HEAVY-METALS; SPATIAL-DISTRIBUTION; MARINE-SEDIMENTS; CHUKCHI SEA; BAY; ACCUMULATION; CONTAMINANTS; MERCURY</t>
  </si>
  <si>
    <t>Trace metal contents (Cd, Co, Cr, Cu, Hg, Mn, Ni, Pb and Zn) have been measured in 27 surface sediment samples collected from Kongsfjorden, Svalbard, Norwegian Arctic. The analyses yielded concentration values (in mg kg(-1)) of 0.13-0.63 for Cd, 11.89-21.90 for Co, 48.65-81.84 for Cr, 21.26-36.60 for Cu, 299.59-683.48 for Mn, 22.43-35.39 for Ni, 10.68-36.59 for Pb, 50.28-199.07 for Zn and 8.09-65.34 for Hg (in ng g(-1)), respectively. Relative cumulative frequency method has been used to define the baseline values of these metals, which (in mg kg(-1)) were 0.14 for Cd, 13.56 for Co, 57.86 for Cr, 25.14 for Cu, 364.08 for Mn, 26.22 for Ni, 17.46 for Pb, 70.49 for Zn and 9.76 for Hg (in ng g(-1)), respectively. The enrichment factor analysis indicated that Hg showed some extent of anthropogenic pollution, while Pb, Zn and Cd showed limited anthropogenic contamination in the study areas.</t>
  </si>
  <si>
    <t>[Lu, Zhibo; Cai, Minghong; Wang, Juan; Yin, Zhigao; Yang, Haizhen] Tongji Univ, Coll Environm Sci &amp; Engn, Shanghai 200092, Peoples R China; [Lu, Zhibo; Wang, Juan; Yang, Haizhen] Tongji Univ, State Key Lab Pollut Control &amp; Resource Reuse, Shanghai 200092, Peoples R China; [Cai, Minghong] Polar Res Inst China, SOA Key Lab Polar Sci, Shanghai 200136, Peoples R China</t>
  </si>
  <si>
    <t>Tongji University; Tongji University; Polar Research Institute of China</t>
  </si>
  <si>
    <t>Cai, MH (corresponding author), Polar Res Inst China, SOA Key Lab Polar Sci, Shanghai 200136, Peoples R China.</t>
  </si>
  <si>
    <t>caiminghong@pric.gov.cn</t>
  </si>
  <si>
    <t>ZHIBO, LU/HHS-4083-2022</t>
  </si>
  <si>
    <t>Science Foundation of Shanghai Municipal Government [12ZR1434800]; State Key Laboratory of Pollution Control and Resource Reuse Foundation (Tongji University) [PCRRY11016]; Resource-sharing Platform of Polar Samples [2005DKA21406]</t>
  </si>
  <si>
    <t>Science Foundation of Shanghai Municipal Government; State Key Laboratory of Pollution Control and Resource Reuse Foundation (Tongji University); Resource-sharing Platform of Polar Samples</t>
  </si>
  <si>
    <t>We wish to express our sincere gratitude to Chinese Arctic and Antarctic Administration, State Oceanic Administration of China. Also, we acknowledge the logistic support from Kingsbay AS, Svalbard. This research was supported by Science Foundation of Shanghai Municipal Government (No. 12ZR1434800), State Key Laboratory of Pollution Control and Resource Reuse Foundation (Tongji University) (No. PCRRY11016) and Resource-sharing Platform of Polar Samples (2005DKA21406).</t>
  </si>
  <si>
    <t>0269-4042</t>
  </si>
  <si>
    <t>1573-2983</t>
  </si>
  <si>
    <t>ENVIRON GEOCHEM HLTH</t>
  </si>
  <si>
    <t>Environ. Geochem. Health</t>
  </si>
  <si>
    <t>10.1007/s10653-012-9481-z</t>
  </si>
  <si>
    <t>Engineering, Environmental; Environmental Sciences; Public, Environmental &amp; Occupational Health; Water Resources</t>
  </si>
  <si>
    <t>Engineering; Environmental Sciences &amp; Ecology; Public, Environmental &amp; Occupational Health; Water Resources</t>
  </si>
  <si>
    <t>099CM</t>
  </si>
  <si>
    <t>WOS:000315596900009</t>
  </si>
  <si>
    <t>Pardo, D; Weimerskirch, H; Barbraud, C</t>
  </si>
  <si>
    <t>Pardo, Deborah; Weimerskirch, Henri; Barbraud, Christophe</t>
  </si>
  <si>
    <t>When Celibacy Matters: Incorporating Non-Breeders Improves Demographic Parameter Estimates</t>
  </si>
  <si>
    <t>CAPTURE-RECAPTURE MODELS; AGE-SPECIFIC SURVIVAL; REPRODUCTIVE-PERFORMANCE; UNOBSERVABLE STATES; POPULATION; SENESCENCE; UNCERTAIN; PRECISION; CLIMATE; SEABIRD</t>
  </si>
  <si>
    <t>In long-lived species only a fraction of a population breeds at a given time. Non-breeders can represent more than half of adult individuals, calling in doubt the relevance of estimating demographic parameters from the sole breeders. Here we demonstrate the importance of considering observable non-breeders to estimate reliable demographic traits: survival, return, breeding, hatching and fledging probabilities. We study the long-lived quasi-biennial breeding wandering albatross (Diomedea exulans). In this species, the breeding cycle lasts almost a year and birds that succeed a given year tend to skip the next breeding occasion while birds that fail tend to breed again the following year. Most non-breeders remain unobservable at sea, but still a substantial number of observable non-breeders (ONB) was identified on breeding sites. Using multi-state capture-mark-recapture analyses, we used several measures to compare the performance of demographic estimates between models incorporating or ignoring ONB: bias (difference in mean), precision (difference is standard deviation) and accuracy (both differences in mean and standard deviation). Our results highlight that ignoring ONB leads to bias and loss of accuracy on breeding probability and survival estimates. These effects are even stronger when studied in an age-dependent framework. Biases on breeding probabilities and survival increased with age leading to overestimation of survival at old age and thus actuarial senescence and underestimation of reproductive senescence. We believe our study sheds new light on the difficulties of estimating demographic parameters in species/taxa where a significant part of the population does not breed every year. Taking into account ONB appeared important to improve demographic parameter estimates, models of population dynamics and evolutionary conclusions regarding senescence within and across taxa.</t>
  </si>
  <si>
    <t>[Pardo, Deborah; Weimerskirch, Henri; Barbraud, Christophe] Ctr Etud Biol Chize, Villiers En Bois, France; [Pardo, Deborah] British Antarctic Survey, Cambridge CB3 0ET, England</t>
  </si>
  <si>
    <t>Pardo, D (corresponding author), Ctr Etud Biol Chize, Villiers En Bois, France.</t>
  </si>
  <si>
    <t>deborah.pardo@gmail.com</t>
  </si>
  <si>
    <t>Pardo, Deborah/D-6996-2013; Weimerskirch, Henri/F-5562-2013; Weimerskirch, Henri/K-7306-2019; Barbraud, Christophe/A-5870-2012</t>
  </si>
  <si>
    <t>Pardo, Deborah/0000-0001-9593-1155; Weimerskirch, Henri/0000-0002-0457-586X; Barbraud, Christophe/0000-0003-0146-212X</t>
  </si>
  <si>
    <t>Institut Paul Emile Victor, Terres Australes et Antarctiques Francaises, Zone Atelier de Recherches sur l'Environnement Antarctique et Subantarctique (CNRS-INEE) [109]; NERC [bas0100025] Funding Source: UKRI; Natural Environment Research Council [bas0100025] Funding Source: researchfish</t>
  </si>
  <si>
    <t>Institut Paul Emile Victor, Terres Australes et Antarctiques Francaises, Zone Atelier de Recherches sur l'Environnement Antarctique et Subantarctique (CNRS-INEE); NERC(UK Research &amp; Innovation (UKRI)Natural Environment Research Council (NERC)); Natural Environment Research Council(UK Research &amp; Innovation (UKRI)Natural Environment Research Council (NERC))</t>
  </si>
  <si>
    <t>Work carried out at Possession Island was supported by Institut Paul Emile Victor (program no109), Terres Australes et Antarctiques Francaises, Zone Atelier de Recherches sur l'Environnement Antarctique et Subantarctique (CNRS-INEE). The funders had no role in study design, data collection and analysis, decision to publish, or preparation of the manuscript.</t>
  </si>
  <si>
    <t>MAR 29</t>
  </si>
  <si>
    <t>e60389</t>
  </si>
  <si>
    <t>10.1371/journal.pone.0060389</t>
  </si>
  <si>
    <t>121SG</t>
  </si>
  <si>
    <t>WOS:000317263900072</t>
  </si>
  <si>
    <t>Wang, JH; Hock, T; Cohn, SA; Martin, C; Potts, N; Reale, T; Sun, BM; Tilley, F</t>
  </si>
  <si>
    <t>Wang, Junhong; Hock, Terry; Cohn, Stephen A.; Martin, Charlie; Potts, Nick; Reale, Tony; Sun, Bomin; Tilley, Frank</t>
  </si>
  <si>
    <t>Unprecedented upper-air dropsonde observations over Antarctica from the 2010 Concordiasi Experiment: Validation of satellite-retrieved temperature profiles</t>
  </si>
  <si>
    <t>PRODUCTS; PROJECT</t>
  </si>
  <si>
    <t>The 2010 Concordiasi field experiment took place over Antarctica from September to December 2010. During Concordiasi, for the first time, 13 National Center for Atmospheric Research Driftsonde systems were launched from McMurdo station, ascended to the stratosphere, and then drifted with the winds. The Driftsonde provides a unique platform to release dropsondes that measure the atmosphere from the lower stratosphere to the surface in otherwise difficult to reach parts of the globe. A total of 639 soundings were obtained and provided unprecedented high quality profiles over Antarctica. The sounding temperature profiles are compared with matched profiles from ten satellite products. All satellite products except The Constellation Observing System for Meteorology, Ionosphere, and Climate (COSMIC) are consistent colder than the sounding data, with larger discrepancies over the Antarctic continent than the coast and ocean. The COSMIC data are in agreement with the sounding data and display no degradation over the continent.</t>
  </si>
  <si>
    <t>[Wang, Junhong] SUNY Albany, Dept Atmospher &amp; Environm Sci, Albany, NY 12222 USA; [Wang, Junhong; Hock, Terry; Cohn, Stephen A.; Martin, Charlie; Potts, Nick] Natl Ctr Atmospher Res, Boulder, CO 80307 USA; [Reale, Tony] NOAA NESDIS, Camp Springs, MD USA; [Sun, Bomin; Tilley, Frank] IM Syst Grp, Camp Springs, MD USA</t>
  </si>
  <si>
    <t>State University of New York (SUNY) System; State University of New York (SUNY) Albany; National Center Atmospheric Research (NCAR) - USA; National Oceanic Atmospheric Admin (NOAA) - USA; I.M. Systems Group, Inc.</t>
  </si>
  <si>
    <t>Wang, JH (corresponding author), Natl Ctr Atmospher Res, POB 3000, Boulder, CO 80307 USA.</t>
  </si>
  <si>
    <t>junhong@ucar.edu</t>
  </si>
  <si>
    <t>Reale, Tony/F-5621-2010; Sun, Bomin/P-8742-2014; Cohn, Stephen/GQH-2637-2022; Wang, JunHong/HKE-0286-2023</t>
  </si>
  <si>
    <t>Reale, Tony/0000-0003-2150-5246; Sun, Bomin/0000-0002-4872-9349;</t>
  </si>
  <si>
    <t>NSF; CNES; Concordiasi Driftsonde [ANT-0733007]; National Science Foundation</t>
  </si>
  <si>
    <t>NSF(National Science Foundation (NSF)); CNES(Centre National D'etudes Spatiales); Concordiasi Driftsonde; National Science Foundation(National Science Foundation (NSF))</t>
  </si>
  <si>
    <t>The Concordiasi driftsonde data have been obtained through cooperation between UCAR and CNES, under the sponsorship of the NSF and the CNES. NSF Office of Polar Program supported the Concordiasi Driftsonde deployment through the grant ANT-0733007. We are grateful to all NCAR/EOL and French CNAS staff that developed Driftsonde system, and all of people who participated in Concordiasi to deploy and operate the system and collect the data. We also would like to thank Florence Rabier and other Concordiasi principle investigators for leading the project. Comments from Jordan Powers and Bill Brown have been very helpful. The National Center for Atmospheric Research is sponsored by the National Science Foundation.</t>
  </si>
  <si>
    <t>MAR 28</t>
  </si>
  <si>
    <t>10.1002/grl.50246</t>
  </si>
  <si>
    <t>148AY</t>
  </si>
  <si>
    <t>WOS:000319215700038</t>
  </si>
  <si>
    <t>Meckler, AN; Sigman, DM; Gibson, KA; François, R; Martínez-García, A; Jaccard, SL; Röhl, U; Peterson, LC; Tiedemann, R; Haug, GH</t>
  </si>
  <si>
    <t>Meckler, A. N.; Sigman, D. M.; Gibson, K. A.; Francois, R.; Martinez-Garcia, A.; Jaccard, S. L.; Roehl, U.; Peterson, L. C.; Tiedemann, R.; Haug, G. H.</t>
  </si>
  <si>
    <t>Deglacial pulses of deep-ocean silicate into the subtropical North Atlantic Ocean</t>
  </si>
  <si>
    <t>AFRICAN HUMID PERIOD; SOUTHERN-OCEAN; LAST DEGLACIATION; YOUNGER DRYAS; CIRCULATION; RECORD; TERMINATION; EVENTS; CD/CA; WATER</t>
  </si>
  <si>
    <t>Growing evidence suggests that the low atmospheric CO2 concentration of the ice ages resulted from enhanced storage of CO2 in the ocean interior, largely as a result of changes in the Southern Ocean(1). Early in the most recent deglaciation, a reduction in North Atlantic overturning circulation seems to have driven CO2 release from the Southern Ocean(2-5), but the mechanism connecting the North Atlantic and the Southern Ocean remains unclear. Biogenic opal export in the low-latitude ocean relies on silicate from the underlying thermocline, the concentration of which is affected by the circulation of the ocean interior. Here we report a record of biogenic opal export from a coastal upwelling system off the coast of northwest Africa that shows pronounced opal maxima during each glacial termination over the past 550,000 years. These opal peaks are consistent with a strong deglacial reduction in the formation of silicate-poor glacial North Atlantic intermediate water(2) (GNAIW). The loss of GNAIW allowed mixing with underlying silicate-rich deep water to increase the silicate supply to the surface ocean. An increase in westerly-wind-driven upwelling in the Southern Ocean in response to the North Atlantic change has been proposed to drive the deglacial rise in atmospheric CO2 (refs 3, 4). However, such a circulation change would have accelerated the formation of Antarctic intermediate water and sub-Antarctic mode water, which today have as little silicate as North Atlantic Deep Water and would have thus maintained low silicate concentrations in the Atlantic thermocline. The deglacial opal maxima reported here suggest an alternative mechanism for the deglacial CO2 release(5,6). Just as the reduction in GNAIW led to upward silicate transport, it should also have allowed the downward mixing of warm, low-density surface water to reach into the deep ocean. The resulting decrease in the density of the deep Atlantic relative to the Southern Ocean surface promoted Antarctic overturning, which released CO2 to the atmosphere.</t>
  </si>
  <si>
    <t>[Meckler, A. N.; Martinez-Garcia, A.; Jaccard, S. L.; Haug, G. H.] ETH, Inst Geol, CH-8092 Zurich, Switzerland; [Sigman, D. M.] Princeton Univ, Dept Geosci, Princeton, NJ 08544 USA; [Gibson, K. A.; Peterson, L. C.] Univ Miami, Rosenstiel Sch Marine &amp; Atmospher Sci, Miami, FL 33149 USA; [Francois, R.] Univ British Columbia, Dept Earth Ocean &amp; Atmospher Sci, Vancouver, BC V6T 1Z4, Canada; [Roehl, U.] Univ Bremen, MARUM Ctr Marine Environm Sci, D-28359 Bremen, Germany; [Tiedemann, R.] Alfred Wegener Inst, D-27568 Bremerhaven, Germany</t>
  </si>
  <si>
    <t>Swiss Federal Institutes of Technology Domain; ETH Zurich; Princeton University; University of Miami; University of British Columbia; University of Bremen; Helmholtz Association; Alfred Wegener Institute, Helmholtz Centre for Polar &amp; Marine Research</t>
  </si>
  <si>
    <t>Meckler, AN (corresponding author), ETH, Inst Geol, CH-8092 Zurich, Switzerland.</t>
  </si>
  <si>
    <t>nele.meckler@erdw.ethz.ch</t>
  </si>
  <si>
    <t>Sigman, Daniel M./IYJ-2613-2023; Jaccard, Samuel/G-3447-2014; Röhl, Ursula/G-5986-2011; Sigman, Daniel M./A-2649-2008; Martinez-Garcia, Alfredo/A-6244-2010; Gibson, Kelly/AAB-6615-2020; Meckler, Anna Nele/AAC-2490-2020; Jaccard, Samuel/IZP-9669-2023</t>
  </si>
  <si>
    <t>Jaccard, Samuel/0000-0002-5793-0896; Röhl, Ursula/0000-0001-9469-7053; Sigman, Daniel M./0000-0002-7923-1973; Martinez-Garcia, Alfredo/0000-0002-7206-5079; Meckler, Anna Nele/0000-0002-7225-8276; Tiedemann, Ralf/0000-0001-7211-8049</t>
  </si>
  <si>
    <t>US NSF [OCE-1060947]; DFG-Leibniz Center for Surface Process and Climate Studies at the University of Potsdam; NSERC; CFCAS; Directorate For Geosciences; Division Of Ocean Sciences [1060947] Funding Source: National Science Foundation; Directorate For Geosciences; Division Of Ocean Sciences [1003364] Funding Source: National Science Foundation</t>
  </si>
  <si>
    <t>US NSF(National Science Foundation (NSF)); DFG-Leibniz Center for Surface Process and Climate Studies at the University of Potsdam; NSERC(Natural Sciences and Engineering Research Council of Canada (NSERC)); CFCAS; Directorate For Geosciences; Division Of Ocean Sciences(National Science Foundation (NSF)NSF - Directorate for Geosciences (GEO)); Directorate For Geosciences; Division Of Ocean Sciences(National Science Foundation (NSF)NSF - Directorate for Geosciences (GEO))</t>
  </si>
  <si>
    <t>This research used samples provided by the ODP, which is sponsored by the US NSF and participating countries under the management of the Joint Oceanographic Institutions. XRF data were acquired at the XRF Core Scanner Lab at MARUM - Center for Marine Environmental Sciences, University of Bremen, with support from the DFG-Leibniz Center for Surface Process and Climate Studies at the University of Potsdam. Further support was provided by the US NSF through grant OCE-1060947 to D. M. S. and by NSERC and CFCAS to R. F. We thank V. Lukies for XRF scanning technical support and T. Westerhold for help in deriving the new composite depth. M. Soon and T. Kane are acknowledged for opal and excess 230Th measurements, respectively, in core MD03-2705.</t>
  </si>
  <si>
    <t>10.1038/nature12006</t>
  </si>
  <si>
    <t>113QN</t>
  </si>
  <si>
    <t>WOS:000316682800042</t>
  </si>
  <si>
    <t>Srivastava, AK; Randive, KR; Khare, N</t>
  </si>
  <si>
    <t>Srivastava, Ashok K.; Randive, Kirtikumar R.; Khare, Neloy</t>
  </si>
  <si>
    <t>Mineralogical and geochemical studies of glacial sediments from Schirmacher Oasis, East Antarctica</t>
  </si>
  <si>
    <t>TECTONIC SETTING DISCRIMINATION; PROVENANCE; EVOLUTION; SANDSTONES; CHEMISTRY; MINETTES; DIAGRAMS; HIMALAYA; BASINS; ROCKS</t>
  </si>
  <si>
    <t>Schirmacher Oasis, East Antarctica hosts loose unconsolidated sediments that consist dominantly of sand-silt admixtures with minor clay. These sediments were collected from different glacial environments such as polar ice sheets, inland lakes, exposed bedrock, and coastal shelf areas. Two sediment fractions (coarse 0.25-0.125 mm and fine 0.125-0.063 mm) were separated and chemically analyzed. Mineralogically, the mixture is composed dominantly of quartz and feldspar, and a large variety of heavy minerals: zircon, tourmaline, rutile, garnet, hornblende, hypersthene, enstatite, kyanite, sillimanite, andalusite, zoisite, lawsonite, chlorite, spine!, topaz, and opaques. The clay minerals i.e., chlorite, illite, smectite, kaolinite, and vermiculite constitute a small fraction. There is a mineralogical control over the observed geochemical patterns and anomalies of these sediments. The rare earth element and incompatible trace element spidergrams show relative enrichment in the coarse fraction as against fine fraction, indicating enrichment of the carrier minerals of these elements (mostly heavy minerals) in the coarse fraction. The overall geochemistry of the sediments classifies them as greywacke as per Lindsey, Fe-sand to arenite as per Herron, and sodic sandstones as per Blatt et al. These sediments show quartzose sedimentary provenance, but influence of other unknown sources is also discernible. Transporting agencies for the sediments are commonly meltwater channels and wind. However, transport under influence of gravity, glacier action and sea waves are also envisaged. The sediments have undergone low degrees of chemical weathering ranging between incipient and moderate types. (C) 2012 Elsevier Ltd and INQUA. All rights reserved.</t>
  </si>
  <si>
    <t>[Srivastava, Ashok K.] SGB Amravati Univ, PG Dept Geol, Amravati 444602, Maharashtra, India; [Randive, Kirtikumar R.] RTM Nagpur Univ, PG Dept Geol, Nagpur 440001, Maharashtra, India; [Khare, Neloy] Minist Earth Sci, New Delhi 110003, India</t>
  </si>
  <si>
    <t>Sant Gadge Baba Amravati University; Rashtrasant Tukadoji Maharaj Nagpur University; Ministry of Earth Sciences (MoES) - India</t>
  </si>
  <si>
    <t>Srivastava, AK (corresponding author), SGB Amravati Univ, PG Dept Geol, Amravati 444602, Maharashtra, India.</t>
  </si>
  <si>
    <t>ashokamt2000@hotmail.com</t>
  </si>
  <si>
    <t>University, Sant Gadge Baba Amravati/AAN-5820-2021</t>
  </si>
  <si>
    <t>University, Sant Gadge Baba Amravati/0000-0002-3759-6755</t>
  </si>
  <si>
    <t>Council of Scientific and Industrial Research, Government of India, New Delhi [24/287/16]; National Centre for Antarctic and Ocean Research (NCAOR), Goa</t>
  </si>
  <si>
    <t>Council of Scientific and Industrial Research, Government of India, New Delhi(Council of Scientific &amp; Industrial Research (CSIR) - India); National Centre for Antarctic and Ocean Research (NCAOR), Goa</t>
  </si>
  <si>
    <t>The work has been carried out under the financial assistance of Council of Scientific and Industrial Research, Government of India, New Delhi, provided to AKS in the form of a major research project, No. 24/287/16, EMR-II. The samples were collected by AKS during 21st Indian Scientific Expedition to Antarctica. AKS and KRR thank National Centre for Antarctic and Ocean Research (NCAOR), Goa for providing financial and logistic assistance during 21st and 31st Indian Scientific Expedition to Antarctica respectively. AKS acknowledges the cooperation extended by Sri R.P. Lal, Leader of the expedition, Sri M.P. Gaur, Sri A.V. Keshava Prasad and Dr. N. Sharma; whereas, KRR gratefully acknowledges support provided by Dr. Rasik Ravindra, Shri. Uttam Chand, Dr. Rajesh Asthana, Dr. Javed Baig, Dr. Rahul Mohan and Dr. Shailesh Saini. Analytical work was carried out at Wadia Institute of Himalayan Geology, Dehradun under the supervisions of Dr. P.P. Khanna and Dr. N.K. Saini.</t>
  </si>
  <si>
    <t>10.1016/j.quaint.2012.07.028</t>
  </si>
  <si>
    <t>120JJ</t>
  </si>
  <si>
    <t>WOS:000317166300017</t>
  </si>
  <si>
    <t>Ebach, MC</t>
  </si>
  <si>
    <t>Ebach, Malte C.</t>
  </si>
  <si>
    <t>The bioregionalisation revival</t>
  </si>
  <si>
    <t>Antarctica; Australia; bioregionalisation; conservation; deep sea biogeography; hydrothermal vent communities; resource exploitation</t>
  </si>
  <si>
    <t>ECOREGIONS</t>
  </si>
  <si>
    <t>The aim of this paper is to review some of the economic drivers of large scale bioregionalisation, using examples from deep sea hydrothermal vent communities, the Antarctic and sub-Antarctic, and Australia. These economic drivers are mainly recent conservation efforts, while early 20th century bioregionalisation was driven by 19th century taxonomy and exploration to assess available biological resources for economic exploitation. Modern regionalisation, particularly of the Antarctic and deep sea hydrothermal vent communities, are driven by conservation studies to protect areas from economic exploitation, rather than biogeographical questions concerning endemism and natural classification.</t>
  </si>
  <si>
    <t>[Ebach, Malte C.] Univ New S Wales, Sch Biol Earth &amp; Environm Sci, Kensington, NSW 2052, Australia; [Ebach, Malte C.] Australian Museum, Dept Palaeontol, Darlinghurst, NSW 2010, Australia</t>
  </si>
  <si>
    <t>University of New South Wales Sydney; Australian Museum</t>
  </si>
  <si>
    <t>Ebach, MC (corresponding author), Univ New S Wales, Sch Biol Earth &amp; Environm Sci, Kensington, NSW 2052, Australia.</t>
  </si>
  <si>
    <t>mcebach@unsw.edu.au</t>
  </si>
  <si>
    <t>Ebach, Malte/D-8274-2016</t>
  </si>
  <si>
    <t>Ebach, Malte/0000-0002-9594-9010</t>
  </si>
  <si>
    <t>Australian Research Council [FT0992002]; University of New South Wales, Australia [RG114989, RG124461]; Australian Research Council [FT0992002] Funding Source: Australian Research Council</t>
  </si>
  <si>
    <t>Australian Research Council(Australian Research Council); University of New South Wales, Australia; Australian Research Council(Australian Research Council)</t>
  </si>
  <si>
    <t>I wish to thank three anonymous reviewers for their comments and suggestions, David M. Williams and Melinda L. Tursky for their valuable input. This research was supported under the Australian Research Council's 'Future Fellow' funding scheme (project number FT0992002). I also wish to thank the University of New South Wales, Australia for awarding two ARC Goldstar Grants for 2012 and 2013 (RG114989 &amp; RG124461).</t>
  </si>
  <si>
    <t>MAR 27</t>
  </si>
  <si>
    <t>10.11646/zootaxa.3635.3.6</t>
  </si>
  <si>
    <t>114FX</t>
  </si>
  <si>
    <t>WOS:000316727600006</t>
  </si>
  <si>
    <t>Simon, CJ; Jeffs, AG</t>
  </si>
  <si>
    <t>Simon, Cedric J.; Jeffs, Andrew G.</t>
  </si>
  <si>
    <t>The effect of dietary carbohydrate on the appetite revival and glucose metabolism of juveniles of the spiny lobster, Jasus edwardsii</t>
  </si>
  <si>
    <t>Carbohydrate; Nutrition; Lobster; Enzyme; Appetite revival; Glycogen</t>
  </si>
  <si>
    <t>SOUTHERN ROCK LOBSTER; DIGESTIVE ENZYME-ACTIVITIES; PANULIRUS-ARGUS-LATREILLE; FORMULATED DIETS; HISTOCHEMICAL CHANGES; GROWTH-PERFORMANCE; MOLTING CYCLE; WHITE SHRIMP; FEED-INTAKE; PROTEIN</t>
  </si>
  <si>
    <t>The inclusion of dietary carbohydrates has the potential to deliver more cost-effective formulated diets for spiny lobsters, however, the effect of carbohydrates on feeding and glucose metabolism is poorly understood. Poor appetite revival for lobster fed on formulated diets has been identified as a major factor reducing growth rates of the spiny lobster, Jasus edwardsii. The effect of inclusion levels of gelatinised maize starch (LCHO, 70 g kg(-1); MCHO, 270 g kg(-1); and HCHO, 470 g kg(-1)) on the feed intake, appetite revival, haemolymph glucose, as well as the soluble protein, glucose, glycogen and the activity of digestive enzymes of the digestive gland (i.e., total protease, trypsin, alpha-amylase, and alpha-glucosidase) was investigated in juveniles (similar to 25 g) of the spiny lobster, J. edwardsii. Lobsters were sampled at 24 h and 72 h after their last meal to understand the effect of short-term starvation on the use of digestive gland glycogen as an energy reserve. Including up to 470 g kg(-1) of gelatinised maize starch had a positive effect on the dry matter intake over 5 h (LCHO, 1.14 +/- 0.04% BW; and HCHO, 1.29 +/- 0.04% BW) and did not affect appetite revival rate (3.77% h(-1) for the three diets) despite the prolonged hyperglycaemia (peak for LCHO at 7 h=2.13 +/- 0.05; and peak for HCHO at 24 h=4.99 +/- 0.53 mM). While haemolymph glucose appears poorly regulated and utilised for energy during feeding, it is stored as glycogen (LCHO, 4.57 +/- 1.44 mg g(-1); and HCHO, 46.00 +/- 7.62 mg g(-1)) and this reserve is utilised during short-term food deprivation (between 24 h and 72 h), while soluble protein remains constant. This was supported by an increase in the specific activity of alpha-amylase (0.57 +/- 0.04 at 24 h and 0.71 +/- 0.06 U mg(-1) at 72 h) during short-term starvation, while total protease decreased (76.24 +/- 4.16 to 61.10 +/- 3.80 U mg(-1)). It is concluded that digestible carbohydrates have a positive effect on feeding in this lobster species and may play an important role in maintaining nutritional condition during short-term periods of food shortage. (C) 2013 Elsevier B.V. All rights reserved.</t>
  </si>
  <si>
    <t>[Simon, Cedric J.] Univ Tasmania, Inst Marine &amp; Antarctic Studies, Taroona, Tas 7053, Australia; [Simon, Cedric J.] Natl Inst Water &amp; Atmospher Res, Wellington, New Zealand; [Simon, Cedric J.; Jeffs, Andrew G.] Univ Auckland, Leigh Marine Lab, Warkworth, New Zealand</t>
  </si>
  <si>
    <t>University of Tasmania; National Institute of Water &amp; Atmospheric Research (NIWA) - New Zealand; University of Auckland</t>
  </si>
  <si>
    <t>Simon, CJ (corresponding author), Univ Tasmania, Inst Marine &amp; Antarctic Studies, Taroona, Tas 7053, Australia.</t>
  </si>
  <si>
    <t>cedric.simon@utas.edu.au</t>
  </si>
  <si>
    <t>Jeffs, Andrew G/D-9474-2012; Simon, Cedric/AET-0945-2022; Simon, Cedric/H-9692-2014; Simon, Cedric/AAX-5264-2020</t>
  </si>
  <si>
    <t>Simon, Cedric/0000-0002-7535-3332; Simon, Cedric/0000-0002-7535-3332; Simon, Cedric/0000-0002-7535-3332; Jeffs, Andrew/0000-0002-8504-1949</t>
  </si>
  <si>
    <t>NIWA; University of Auckland; Province Sud of New Caledonia (Prix d'Encouragement a la Recherche)</t>
  </si>
  <si>
    <t>Thanks to all the staff at the NIWA Mahanga Bay aquaculture facility for logistical support. Thanks to Anna Kilimnik and Debbie Hulston for their assistance with the enzymatic assays. Lobsters were collected under a special research permit granted under the Fisheries Act and euthanised using methods approved by the NIWA animal ethics committee. NIWA, the University of Auckland, and the Province Sud of New Caledonia (Prix d'Encouragement a la Recherche) provided funding for this research.</t>
  </si>
  <si>
    <t>MAR 25</t>
  </si>
  <si>
    <t>10.1016/j.aquaculture.2013.01.003</t>
  </si>
  <si>
    <t>098ZK</t>
  </si>
  <si>
    <t>WOS:000315587600015</t>
  </si>
  <si>
    <t>Bendtz, K; Milstead, D; Hächler, HP; Hirt, AM; Mermod, P; Michael, P; Sloan, T; Tegner, C; Thorarinsson, SB</t>
  </si>
  <si>
    <t>Bendtz, K.; Milstead, D.; Haechler, H. -P.; Hirt, A. M.; Mermod, P.; Michael, P.; Sloan, T.; Tegner, C.; Thorarinsson, S. B.</t>
  </si>
  <si>
    <t>Search for Magnetic Monopoles in Polar Volcanic Rocks</t>
  </si>
  <si>
    <t>PHYSICAL REVIEW LETTERS</t>
  </si>
  <si>
    <t>HIGHLY IONIZING PARTICLES; IGNEOUS PROVINCES LIPS; BILLION YEARS AGO; SUPERCONDUCTING DETECTOR; NEUTRINO TELESCOPE; INDUCTION DETECTOR; LUNAR MATERIAL; MANTLE PLUMES; FLUX LIMIT; CONSTRAINTS</t>
  </si>
  <si>
    <t>For a broad range of values of magnetic monopole mass and charge, the abundance of monopoles trapped inside Earth would be expected to be enhanced in the mantle beneath the geomagnetic poles. A search for magnetic monopoles was conducted using the signature of an induced persistent current following the passage of igneous rock samples through a SQUID-based magnetometer. A total of 24.6 kg of rocks from various selected sites, among which 23.4 kg are mantle-derived rocks from the Arctic and Antarctic areas, was analyzed. No monopoles were found, and a 90% confidence level upper limit of 9.8 x 10(-5)/g is set on the monopole density in the search samples. DOI:10.1103/PhysRevLett.110.121803</t>
  </si>
  <si>
    <t>[Bendtz, K.; Milstead, D.] Stockholm Univ, SE-10691 Stockholm, Sweden; [Haechler, H. -P.; Hirt, A. M.] Swiss Fed Inst Technol, Dept Earth Sci, CH-8092 Zurich, Switzerland; [Mermod, P.] Univ Geneva, Dept Phys Nucl &amp; Corpusculaire, CH-1211 Geneva, Switzerland; [Michael, P.] Univ Tulsa, Dept Geosci, Tulsa, OK 74104 USA; [Sloan, T.] Univ Lancaster, Dept Phys, Lancaster LA1 4YW, England; [Tegner, C.] Aarhus Univ, Dept Geosci, DK-8000 Aarhus, Denmark; [Thorarinsson, S. B.] Univ Iceland, Inst Earth Sci, Nord Volcanol Ctr, IS-101 Reykjavik, Iceland</t>
  </si>
  <si>
    <t>Stockholm University; Swiss Federal Institutes of Technology Domain; ETH Zurich; University of Geneva; University of Tulsa; Lancaster University; Aarhus University; University of Iceland</t>
  </si>
  <si>
    <t>Bendtz, K (corresponding author), Stockholm Univ, SE-10691 Stockholm, Sweden.</t>
  </si>
  <si>
    <t>philippe.mermod@cern.ch</t>
  </si>
  <si>
    <t>Tegner, Christian/A-5295-2012; Hirt, Ann M/M-5540-2016</t>
  </si>
  <si>
    <t>Tegner, Christian/0000-0003-1407-7298; Hirt, Ann M/0000-0002-2193-0472; Michael, Peter/0000-0003-2829-9502; Mermod, Philippe/0000-0001-9656-9901</t>
  </si>
  <si>
    <t>United States National Science Foundation, Office of Polar Programs; Swiss National Science Foundation; Ernst and Lucie Schmidheiny Foundation; Directorate For Geosciences; Office of Polar Programs (OPP) [1141906] Funding Source: National Science Foundation</t>
  </si>
  <si>
    <t>United States National Science Foundation, Office of Polar Programs(National Science Foundation (NSF)); Swiss National Science Foundation(Swiss National Science Foundation (SNSF)); Ernst and Lucie Schmidheiny Foundation; Directorate For Geosciences; Office of Polar Programs (OPP)(National Science Foundation (NSF)NSF - Directorate for Geosciences (GEO))</t>
  </si>
  <si>
    <t>We are indebted to W. E. LeMasurier for providing rock samples from Coleman Nunatak, to R. G. Tronnes for providing a sample from the Beerenberg Volcano, and to A. Kontny for providing us samples from Hawaii and H. B. Mattsson for additional samples from Iceland. This research extensively used samples loaned from the United States Polar Rock Repository, which is sponsored by the United States National Science Foundation, Office of Polar Programs. This work was supported by the Swiss National Science Foundation and a grant from the Ernst and Lucie Schmidheiny Foundation.</t>
  </si>
  <si>
    <t>AMER PHYSICAL SOC</t>
  </si>
  <si>
    <t>COLLEGE PK</t>
  </si>
  <si>
    <t>ONE PHYSICS ELLIPSE, COLLEGE PK, MD 20740-3844 USA</t>
  </si>
  <si>
    <t>0031-9007</t>
  </si>
  <si>
    <t>1079-7114</t>
  </si>
  <si>
    <t>PHYS REV LETT</t>
  </si>
  <si>
    <t>Phys. Rev. Lett.</t>
  </si>
  <si>
    <t>MAR 22</t>
  </si>
  <si>
    <t>10.1103/PhysRevLett.110.121803</t>
  </si>
  <si>
    <t>113QL</t>
  </si>
  <si>
    <t>WOS:000316682600002</t>
  </si>
  <si>
    <t>McMinn, A; Martin, A</t>
  </si>
  <si>
    <t>McMinn, A.; Martin, A.</t>
  </si>
  <si>
    <t>Dark survival in a warming world</t>
  </si>
  <si>
    <t>dark survival; Antarctic; winter; microalgae; phytoplankton</t>
  </si>
  <si>
    <t>SEA-ICE ALGAE; MCMURDO SOUND; WEDDELL SEA; MARINE-PHYTOPLANKTON; ANTARCTIC LAKE; LIGHT; DIATOMS; WINTER; PHOTOSYNTHESIS; TEMPERATURE</t>
  </si>
  <si>
    <t>Most algae regularly experience periods of darkness ranging from a few hours to a few days. During this time, they are unable to photosynthesize, and so must consume stored energy products. However, some organisms such as polar algae and some microalgal cysts and spores are exposed to darkness for months to years, and these must use alternative strategies to survive. Some taxa, such as dinoflagellates, form cysts and become dormant. Others use physiological methods or adopt mixotrophy. The longest documented survival of more than a century was for dinoflagellates buried in sediments in a Norwegian fjord. Seasonal changes in daylight hours are naturally unaffected by climate change. This means that polar microalgae will in the future need to survive the same period of seasonal darkness but at higher temperatures, and this will require a greater drawdown of stored energy. Recent experimental work has shown that both Arctic and Antarctic phytoplankton are able to survive increases of up to 6 degrees C in the dark.</t>
  </si>
  <si>
    <t>[McMinn, A.; Martin, A.] Univ Tasmania, Inst Marine &amp; Antarctic Studies, Hobart, Tas, Australia</t>
  </si>
  <si>
    <t>McMinn, A (corresponding author), Univ Tasmania, Inst Marine &amp; Antarctic Studies, Hobart, Tas, Australia.</t>
  </si>
  <si>
    <t>andrew.mcminn@utas.edu.au</t>
  </si>
  <si>
    <t>McMinn, Andrew/A-9910-2008; Martin, Andrew/F-5688-2013</t>
  </si>
  <si>
    <t>Martin, Andrew/0000-0001-8260-5529</t>
  </si>
  <si>
    <t>10.1098/rspb.2012.2909</t>
  </si>
  <si>
    <t>081YC</t>
  </si>
  <si>
    <t>WOS:000314357600013</t>
  </si>
  <si>
    <t>Jaccard, SL; Hayes, CT; Martínez-García, A; Hodell, DA; Anderson, RF; Sigman, DM; Haug, GH</t>
  </si>
  <si>
    <t>Jaccard, S. L.; Hayes, C. T.; Martinez-Garcia, A.; Hodell, D. A.; Anderson, R. F.; Sigman, D. M.; Haug, G. H.</t>
  </si>
  <si>
    <t>Two Modes of Change in Southern Ocean Productivity Over the Past Million Years</t>
  </si>
  <si>
    <t>CARBON-DIOXIDE CONCENTRATION; SEA-ICE; CO2; MARINE; VARIABILITY; SEDIMENT; RECORDS; IMPACT; CYCLE; IRON</t>
  </si>
  <si>
    <t>Export of organic carbon from surface waters of the Antarctic Zone of the Southern Ocean decreased during the last ice age, coinciding with declining atmospheric carbon dioxide (CO2) concentrations, signaling reduced exchange of CO2 between the ocean interior and the atmosphere. In contrast, in the Subantarctic Zone, export production increased into ice ages coinciding with rising dust fluxes, thus suggesting iron fertilization of subantarctic phytoplankton. Here, a new high-resolution productivity record from the Antarctic Zone is compiled with parallel subantarctic data over the past million years. Together, they fit the view that the combination of these two modes of Southern Ocean change determines the temporal structure of the glacial-interglacial atmospheric CO2 record, including during the interval of lukewarm interglacials between 450 and 800 thousand years ago.</t>
  </si>
  <si>
    <t>[Jaccard, S. L.; Martinez-Garcia, A.; Haug, G. H.] Swiss Fed Inst Technol, Inst Geol, Dept Earth Sci, Zurich, Switzerland; [Hayes, C. T.; Anderson, R. F.] Columbia Univ, Lamont Doherty Earth Observ, Palisades, NY USA; [Hodell, D. A.] Univ Cambridge, Dept Earth Sci, Godwin Lab Paleoclimate Res, Cambridge CB2 3EQ, England; [Sigman, D. M.] Princeton Univ, Dept Geosci, Princeton, NJ 08544 USA; [Hayes, C. T.; Anderson, R. F.] Columbia Univ, Dept Earth &amp; Environm Sci, New York, NY USA</t>
  </si>
  <si>
    <t>Swiss Federal Institutes of Technology Domain; ETH Zurich; Columbia University; University of Cambridge; Princeton University; Columbia University</t>
  </si>
  <si>
    <t>Jaccard, SL (corresponding author), Swiss Fed Inst Technol, Inst Geol, Dept Earth Sci, Zurich, Switzerland.</t>
  </si>
  <si>
    <t>samuel.jaccard@erdw.ethz.ch</t>
  </si>
  <si>
    <t>Sigman, Daniel M./IYJ-2613-2023; Martinez-Garcia, Alfredo/A-6244-2010; Jaccard, Samuel/G-3447-2014; Jaccard, Samuel/IZP-9669-2023; Sigman, Daniel M./A-2649-2008; Hayes, Christopher/P-3145-2016</t>
  </si>
  <si>
    <t>Martinez-Garcia, Alfredo/0000-0002-7206-5079; Jaccard, Samuel/0000-0002-5793-0896; Sigman, Daniel M./0000-0002-7923-1973; Anderson, Robert/0000-0002-8472-2494; Hayes, Christopher/0000-0002-5636-2989; Hodell, David/0000-0001-8537-1588</t>
  </si>
  <si>
    <t>Swiss National Science Foundation (SNSF); Deutsche Forschungsgemeinschaft (DFG); U.S. National Science Foundation; Comer Science and Education Foundation; Natural Environment Research Council [NE/H009930/1] Funding Source: researchfish; NERC [NE/H009930/1] Funding Source: UKRI</t>
  </si>
  <si>
    <t>Swiss National Science Foundation (SNSF)(Swiss National Science Foundation (SNSF)); Deutsche Forschungsgemeinschaft (DFG)(German Research Foundation (DFG)); U.S. National Science Foundation(National Science Foundation (NSF)); Comer Science and Education Foundation; Natural Environment Research Council(UK Research &amp; Innovation (UKRI)Natural Environment Research Council (NERC)); NERC(UK Research &amp; Innovation (UKRI)Natural Environment Research Council (NERC))</t>
  </si>
  <si>
    <t>We thank S. Stefer for performing the XRF scanning measurements at the University of Bremen. We also acknowledge the Integrated Ocean Drilling Program for providing the samples used in this study and U. Rohl, A. Wulbers and W. Hale for their support at the Bremen IODP core repository. This research used data acquired at the XRF Core Scanner Laboratory at the MARUM - Center for Marine Environmental Sciences, University of Bremen. We further thank E. D. Galbraith as well as three anonymous reviewers, whose comments improved the manuscript. Financial support for this work was provided by the Swiss National Science Foundation (SNSF), the Deutsche Forschungsgemeinschaft (DFG), the U.S. National Science Foundation, and the Comer Science and Education Foundation.</t>
  </si>
  <si>
    <t>10.1126/science.1227545</t>
  </si>
  <si>
    <t>114KU</t>
  </si>
  <si>
    <t>WOS:000316740700039</t>
  </si>
  <si>
    <t>Larsen, K; Bird, G; Ota, M</t>
  </si>
  <si>
    <t>Larsen, Kim; Bird, Graham; Ota, Mayumi</t>
  </si>
  <si>
    <t>The ANDEEP Tanaidacea (Crustacea: Peracarida) revisited I: the family Agathotanaidae Lang, with description of four new species</t>
  </si>
  <si>
    <t>Tanaidacea; Tanaidomorpha; Agathotanaidae; Allodaposia; Metagathotanais; Paragathotanais; Paranarthrura; ANDEEP I-III; ANDEEP-SYSTCO; Antarctica</t>
  </si>
  <si>
    <t>NORTHEAST ATLANTIC; INDIAN-OCEAN</t>
  </si>
  <si>
    <t>Specimens collected during the ANDEEP I and II expeditions revealed a number of new species of tanaidacean from the family Agathotanaidae. One new species of Metagathotanais (M. furcilla), two of Paragathotanais (P. diunguisus, P. triunguisus) and one of Paranarthrura, (P. coimbrai) are described in this study. Metagathotanais furcilla can be separated from all other species by the incomplete fusion of the pleonites and the presence of dorsodistal spines of the propodi of pereopods 4-6. Paragathotanais diunguisus can be separated from all other species by the pereopod propodi with numerous distal spines and the numbers of spiniform setae on the pereopod 4-6 dactylus. Paragathotanais triunguisus can be separated from all other species by the numbers of spiniform setae on the pereopod 4-6 dactyli and the lack of maxilliped endite setae. Paranarthrura coimbrai can be separated from most other species on the spines on the propodi and ungues of pereopods 4-6. A key is given to the agathotanaids in the Antarctic/Subantarctic sector. This brings the number of agathotanaid species recorded from the Subantarctic and Antarctic sectors of the Atlantic to nine.</t>
  </si>
  <si>
    <t>[Larsen, Kim] CIMAR CIIMAR Ctr Interdisciplinar Invest Marinha, LMCEE, P-4050123 Oporto, Portugal</t>
  </si>
  <si>
    <t>Universidade do Porto</t>
  </si>
  <si>
    <t>Larsen, K (corresponding author), CIMAR CIIMAR Ctr Interdisciplinar Invest Marinha, LMCEE, Rua Bragas 289, P-4050123 Oporto, Portugal.</t>
  </si>
  <si>
    <t>tanaids@hotmail.com; zeuxo@clear.net.nz; wachicomo@gmail.com</t>
  </si>
  <si>
    <t>Larsen, Kim/I-5398-2013</t>
  </si>
  <si>
    <t>Larsen, Kim/0000-0002-6473-7285</t>
  </si>
  <si>
    <t>Portuguese [Pest-e/MAR/2A0015/2011]</t>
  </si>
  <si>
    <t>We thank Professor Angelika Brandt, University of Hamburg, for allowing us to examine the ANDEEP material and use specimens of non-singleton species for DNA analysis. The senior author was funded by the Portuguese Pest-e/MAR/2A0015/2011 grant.</t>
  </si>
  <si>
    <t>MAR 21</t>
  </si>
  <si>
    <t>10.11646/zootaxa.3630.3.2</t>
  </si>
  <si>
    <t>120MO</t>
  </si>
  <si>
    <t>WOS:000317174600002</t>
  </si>
  <si>
    <t>Semmens, JM; Payne, NL; Huveneers, C; Sims, DW; Bruce, BD</t>
  </si>
  <si>
    <t>Semmens, J. M.; Payne, N. L.; Huveneers, C.; Sims, D. W.; Bruce, B. D.</t>
  </si>
  <si>
    <t>Feeding requirements of white sharks may be higher than originally thought</t>
  </si>
  <si>
    <t>NORTHWEST ATLANTIC; CARCHARODON-CARCHARIAS; POPULATIONS; CONSERVATION; COLLAPSE; BEHAVIOR; DECLINE; SEAL</t>
  </si>
  <si>
    <t>Quantifying the energy requirements of animals in nature is critical for understanding physiological, behavioural, and ecosystem ecology; however, for difficult-to-study species such as large sharks, prey intake rates are largely unknown. Here, we use metabolic rates derived from swimming speed estimates to suggest that feeding requirements of the world's largest predatory fish, the white shark (Carcharodon carcharias), are several times higher than previously proposed. Further, our estimates of feeding frequency identify a clear benefit in seasonal selection of pinniped colonies - a white shark foraging strategy seen across much of their range.</t>
  </si>
  <si>
    <t>[Semmens, J. M.] Univ Tasmania, Inst Marine &amp; Antarctic Studies, Fisheries Aquaculture &amp; Coasts Ctr, Hobart, Tas 7001, Australia; [Payne, N. L.] Univ New S Wales, Sch Biol Earth &amp; Environm Sci, Sydney, NSW 2052, Australia; [Huveneers, C.] SARDI Aquat Sci, Threatened Endangered &amp; Protected Species Subprog, Adelaide, SA 5024, Australia; [Huveneers, C.] Flinders Univ S Australia, Sch Biol Sci, Bedford Pk, SA 5042, Australia; [Sims, D. W.] Marine Biol Assoc United Kingdom Lab, Plymouth PL1 2PB, Devon, England; [Sims, D. W.] Univ Southampton, Natl Oceanog Ctr Southampton, Southampton SO14 3ZH, Hants, England; [Sims, D. W.] Univ Southampton, Ctr Biol Sci, Southampton SO17 1BJ, Hants, England; [Bruce, B. D.] CSIRO Marine &amp; Atmospher Res, Wealth Oceans Flagship, Hobart, Tas 7001, Australia</t>
  </si>
  <si>
    <t>University of Tasmania; University of New South Wales Sydney; Flinders University South Australia; Marine Biological Association United Kingdom; University of Southampton; NERC National Oceanography Centre; University of Southampton; Commonwealth Scientific &amp; Industrial Research Organisation (CSIRO)</t>
  </si>
  <si>
    <t>Semmens, JM (corresponding author), Univ Tasmania, Inst Marine &amp; Antarctic Studies, Fisheries Aquaculture &amp; Coasts Ctr, Hobart, Tas 7001, Australia.</t>
  </si>
  <si>
    <t>Jayson.semmens@utas.edu.au</t>
  </si>
  <si>
    <t>Payne, Nicholas L/E-7811-2013</t>
  </si>
  <si>
    <t>Payne, Nicholas/0000-0002-5274-471X; Sims, David/0000-0002-0916-7363; Semmens, Jayson/0000-0003-1742-6692; Huveneers, Charlie/0000-0001-8937-1358</t>
  </si>
  <si>
    <t>Winifred Violet Scott Charitable Trust; Neiser Foundation; Wildlife Conservation Fund; Nature Foundation of SA; Solar Online</t>
  </si>
  <si>
    <t>The authors thank Andrew Fox and Rachel Robbins (Rodney Fox Shark Expeditions/Fox Shark Research Foundation) for significant logistical support, and Paul Rogers, Crystal Beckmann, and all volunteers for assistance with fieldwork. J.M. Ezcurra and J.B. O'Sullivan (Monterey Bay Aquarium) provided data on YOY metabolic rates and Hugh Pederson and Warwick Gillespie (Myriax Eonfusion) provided assistance with estimating shark positions. A. Fox (Rodney Fox Shark Expeditions) provided the shark photograph and J. Hulls (IMAS) produced the track in Figure 1 respectively. Funding was provided by the Winifred Violet Scott Charitable Trust, Neiser Foundation, Wildlife Conservation Fund, Nature Foundation of SA, and Solar Online.</t>
  </si>
  <si>
    <t>MAR 18</t>
  </si>
  <si>
    <t>10.1038/srep01471</t>
  </si>
  <si>
    <t>107VQ</t>
  </si>
  <si>
    <t>Green Published, gold, Green Accepted, Green Submitted</t>
  </si>
  <si>
    <t>WOS:000316249300002</t>
  </si>
  <si>
    <t>Antarctic ice sheet mass loss estimates using Modified Antarctic Mapping Mission surface flow observations</t>
  </si>
  <si>
    <t>ADJOINT VORTICITY EQUATION; METEOROLOGICAL OBSERVATIONS; VARIATIONAL ASSIMILATION; STREAM-B; BENEATH; SHELF; BALANCE; DEFORMATION; GREENLAND; GLACIERS</t>
  </si>
  <si>
    <t>The long residence time of ice and the relatively gentle slopes of the Antarctica Ice Sheet make basal sliding a unique positive feedback mechanism in enhancing ice discharge along preferred routes. The highly organized ice stream channels extending to the interior from the lower reach of the outlets are a manifestation of the role of basal granular material in enhancing the ice flow. In this study, constraining the model-simulated year 2000 ice flow fields with surface velocities obtained from InSAR measurements permits retrieval of the basal sliding parameters. Forward integrations of the ice model driven by atmospheric and oceanic parameters from coupled general circulation models under different emission scenarios provide a range of estimates of total ice mass loss during the 21st century. The total mass loss rate has a small intermodel and interscenario spread, rising from approximately -160 km(3)/yr at present to approximately -220 km(3)/yr by 2100. The accelerated mass loss rate of the Antarctica Ice Sheet in a warming climate is due primarily to a dynamic response in the form of an increase in ice flow speed. Ice shelves contribute to this feedback through a reduced buttressing effect due to more frequent systematic, tabular calving events. For example, by 2100 the Ross Ice Shelf is projected to shed similar to 40 km(3) during each systematic tabular calving. After the frontal section's attrition, the remaining shelf will rebound. Consequently, the submerged cross-sectional area will reduce, as will the buttressing stress. Longitudinal differential warming of ocean temperature contributes to tabular calving. Because of the prevalence of fringe ice shelves, oceanic effects likely will play a very important role in the future mass balance of the Antarctica Ice Sheet, under a possible future warming climate.</t>
  </si>
  <si>
    <t>[Ren, Diandong; Lynch, Mervyn J.] Curtin Univ Technol, Dept Appl Phys, Perth, WA, Australia; [Leslie, Lance M.] Univ Oklahoma, Sch Meteorol, Norman, OK 73019 USA; [Ren, Diandong] Curtin Univ Technol, ASDI, Perth, WA, Australia</t>
  </si>
  <si>
    <t>Curtin University; University of Oklahoma System; University of Oklahoma - Norman; Curtin University</t>
  </si>
  <si>
    <t>Ren, DD (corresponding author), Curtin Univ Technol, ASDI, Perth, WA, Australia.</t>
  </si>
  <si>
    <t>Ren, Diandong/0000-0002-5757-7527</t>
  </si>
  <si>
    <t>Australian Sustainable Development Institute (ASDI), Curtin University, Perth, Western Australia</t>
  </si>
  <si>
    <t>This study was supported by the Australian Sustainable Development Institute (ASDI), Curtin University, Perth, Western Australia. We thank Professors T. Hughes, R. Thomas, H. Conway, and D. MacAyeal for insightful comments on calving mechanisms and general climate patterns around Antarctica Ice Sheet. We thank Dr. A. Hu from NCAR for helpful discussions of oceanic warming of the Southern Ocean in the upcoming century.</t>
  </si>
  <si>
    <t>MAR 16</t>
  </si>
  <si>
    <t>10.1002/jgrd.50222</t>
  </si>
  <si>
    <t>129LY</t>
  </si>
  <si>
    <t>WOS:000317842800003</t>
  </si>
  <si>
    <t>France, JA; Harvey, VL</t>
  </si>
  <si>
    <t>France, J. A.; Harvey, V. L.</t>
  </si>
  <si>
    <t>A climatology of the stratopause in WACCM and the zonally asymmetric elevated stratopause</t>
  </si>
  <si>
    <t>GRAVITY-WAVE DRAG; STRATOSPHERIC SUDDEN WARMINGS; GENERAL-CIRCULATION MODEL; POLAR WINTER STRATOPAUSE; ELLIPTIC DIAGNOSTICS; TEMPERATURE; EVOLUTION; VORTICES; PARAMETERIZATION; PROPAGATION</t>
  </si>
  <si>
    <t>A climatology of the stratopause is produced using a 40 year simulation of the Whole Atmosphere Community Climate Model (WACCM). Anomalies in polar winter stratopause temperature and height are interpreted with respect to the location of the polar vortices and anticyclones. The WACCM climatology is compared to an 8 year climatology based on Microwave Limb Sounder (MLS) observations and data from the Goddard Earth Observing System (GEOS) version 5 from August 2004 to July 2012. The WACCM climatology is in excellent agreement with observations, except in the Antarctic vortex where the WACCM stratopause is similar to 10K warmer and similar to 5 km higher than observations. WACCM diabatic heating rates support the hypothesis that ageostrophic vertical motions associated with baroclinic planetary waves are responsible for producing Arctic winter temperature anomalies. The area of the winter polar vortices in WACCM at the stratopause is 30% smaller in the NH and 45% smaller in the SH compared to GEOS. The long WACCM record allows us to explore the geographical distribution and temporal evolution of a composite of 15 elevated stratopause (ES) events. This composite is in good agreement with the 2012 ES event observed by MLS, though December ES events in WACCM are not observed by MLS. This is the first work to show that ES events are not zonally symmetric. In the 30 days following ES events, the ES composite shows that the stratopause altitude is highest over the Canadian Arctic, and the highest stratopause temperatures occur 90 degrees to the east over the Norwegian Sea.</t>
  </si>
  <si>
    <t>[France, J. A.; Harvey, V. L.] Univ Colorado, Lab Atmospher &amp; Space Phys, Boulder, CO 80303 USA; [France, J. A.; Harvey, V. L.] Univ Colorado, Dept Atmospher &amp; Ocean Sci, Boulder, CO 80303 USA</t>
  </si>
  <si>
    <t>University of Colorado System; University of Colorado Boulder; University of Colorado System; University of Colorado Boulder</t>
  </si>
  <si>
    <t>France, JA (corresponding author), Univ Colorado, 3665 Discovery Dr, Boulder, CO 80303 USA.</t>
  </si>
  <si>
    <t>jeffrey.france@colorado.edu</t>
  </si>
  <si>
    <t>France, Jeffrey A/N-4507-2018; HARVEY, V LYNN/M-3995-2017</t>
  </si>
  <si>
    <t>France, Jeffrey A/0000-0003-2446-0303; HARVEY, V LYNN/0000-0002-7928-0804</t>
  </si>
  <si>
    <t>NASA [NNX08AK45G]; NSF [AGS 0940124, 1107498]; NASA [NNX08AK45G, 99602] Funding Source: Federal RePORTER; Div Atmospheric &amp; Geospace Sciences; Directorate For Geosciences [0940124] Funding Source: National Science Foundation; Office of Polar Programs (OPP); Directorate For Geosciences [1107498] Funding Source: National Science Foundation</t>
  </si>
  <si>
    <t>NASA(National Aeronautics &amp; Space Administration (NASA)); NSF(National Science Foundation (NSF)); NASA(National Aeronautics &amp; Space Administration (NASA)); Div Atmospheric &amp; Geospace Sciences; Directorate For Geosciences(National Science Foundation (NSF)NSF - Directorate for Geosciences (GEO)); Office of Polar Programs (OPP); Directorate For Geosciences(National Science Foundation (NSF)NSF - Directorate for Geosciences (GEO))</t>
  </si>
  <si>
    <t>We thank Ethan D. Peck for providing us with the WACCM simulation. We thank Rolando Garcia for help interpreting the WACCM results. This work was funded under NASA grant NNX08AK45G, NSF CEDAR grant AGS 0940124, and NSF ARC grant 1107498.</t>
  </si>
  <si>
    <t>10.1002/jgrd.50218</t>
  </si>
  <si>
    <t>WOS:000317842800013</t>
  </si>
  <si>
    <t>Shadwick, EH; Rintoul, SR; Tilbrook, B; Williams, GD; Young, N; Fraser, AD; Marchant, H; Smith, J; Tamura, T</t>
  </si>
  <si>
    <t>Shadwick, E. H.; Rintoul, S. R.; Tilbrook, B.; Williams, G. D.; Young, N.; Fraser, A. D.; Marchant, H.; Smith, J.; Tamura, T.</t>
  </si>
  <si>
    <t>Glacier tongue calving reduced dense water formation and enhanced carbon uptake</t>
  </si>
  <si>
    <t>dense water formation; carbon uptake; glacier calving</t>
  </si>
  <si>
    <t>NET COMMUNITY PRODUCTION; MERTZ GLACIER; EAST ANTARCTICA; ROSS SEA; IRON; ICE; CIRCULATION; POLYNYA; ICEBERG; ADELIE</t>
  </si>
  <si>
    <t>Dense shelf water formed in the Mertz Polynya supplies the lower limb of the global overturning circulation, ventilating the abyssal Indian and Pacific Oceans. Calving of the Mertz Glacier Tongue (MGT) in February 2010 altered the regional distribution of ice and reduced the size and activity of the polynya. The salinity and density of dense shelf water declined abruptly after calving, consistent with a reduction of sea ice formation in the polynya. Breakout and melt of thick multiyear sea ice released by the movement of iceberg B9B and the MGT freshened near-surface waters. The input of meltwater likely enhanced the availability of light and iron, supporting a diatom bloom that doubled carbon uptake relative to precalving conditions. The enhanced biological carbon drawdown increased the carbonate saturation state, outweighing dilution by meltwater input. These observations highlight the sensitivity of dense water formation, biological productivity, and carbon export to changes in the Antarctic icescape. Citation: Shadwick, E. H., S. R. Rintoul, B. Tilbrook, G. D. Williams, N. Young, A. D. Fraser, H. Marchant, J. Smith, and T. Tamura (2013), Glacier tongue calving reduced dense water formation and enhanced carbon uptake, Geophys. Res. Lett., 40, 904-909, doi:10.1002/grl.50178.</t>
  </si>
  <si>
    <t>[Shadwick, E. H.; Rintoul, S. R.; Tilbrook, B.; Williams, G. D.; Young, N.; Fraser, A. D.; Tamura, T.] Univ Tasmania, Antarctic Climate &amp; Ecosyst Cooperat Res Ctr, Hobart, Tas, Australia; [Rintoul, S. R.; Tilbrook, B.] CSIRO Marine &amp; Atmospher Res, Hobart, Tas, Australia; [Rintoul, S. R.] Ctr Australian Weather &amp; Climate Res, Hobart, Tas, Australia; [Rintoul, S. R.] Wealth Oceans Natl Res Flagship, Hobart, Tas, Australia; [Young, N.] Australian Antarctic Div, Hobart, Tas, Australia; [Marchant, H.] Australian Natl Univ, Canberra, ACT, Australia; [Smith, J.] Geosci Australia, Canberra, ACT, Australia; [Tamura, T.] Natl Inst Polar Res, Tokyo, Japan</t>
  </si>
  <si>
    <t>University of Tasmania; Antarctic Climate &amp; Ecosystems Cooperative Research Centre (ACE CRC); Commonwealth Scientific &amp; Industrial Research Organisation (CSIRO); Commonwealth Scientific &amp; Industrial Research Organisation (CSIRO); Commonwealth Scientific &amp; Industrial Research Organisation (CSIRO); Australian Antarctic Division; Australian National University; Geoscience Australia; Research Organization of Information &amp; Systems (ROIS); National Institute of Polar Research (NIPR) - Japan</t>
  </si>
  <si>
    <t>Tilbrook, Bronte/W-4007-2019; Rintoul, Stephen R/A-1471-2012; Fraser, Alexander/AFO-7186-2022; Smith, Jodie/H-5815-2019</t>
  </si>
  <si>
    <t>Tilbrook, Bronte/0000-0001-9385-3827; Rintoul, Stephen R/0000-0002-7055-9876; Fraser, Alexander/0000-0003-1924-0015; Smith, Jodie/0000-0002-4706-4269; Shadwick, Elizabeth/0000-0003-4008-3333; Young, Neal/0000-0001-9729-3273</t>
  </si>
  <si>
    <t>Australian Government's Cooperative Research Centres Program through the Antarctic Climate and Ecosystems Cooperative Research Centre (ACE CRC); Department of Climate Change and Energy Efficiency through the Australian Climate Change Science Program; ENVISAT [AO-745]; NASA/HQ; Grants-in-Aid for Scientific Research [13F03748, 24810030, 23310003] Funding Source: KAKEN</t>
  </si>
  <si>
    <t>Australian Government's Cooperative Research Centres Program through the Antarctic Climate and Ecosystems Cooperative Research Centre (ACE CRC)(Australian GovernmentDepartment of Industry, Innovation and ScienceCooperative Research Centres (CRC) Programme); Department of Climate Change and Energy Efficiency through the Australian Climate Change Science Program; ENVISAT; NASA/HQ; Grants-in-Aid for Scientific Research(Ministry of Education, Culture, Sports, Science and Technology, Japan (MEXT)Japan Society for the Promotion of ScienceGrants-in-Aid for Scientific Research (KAKENHI))</t>
  </si>
  <si>
    <t>This work was supported by the Australian Government's Cooperative Research Centres Program through the Antarctic Climate and Ecosystems Cooperative Research Centre (ACE CRC) and by the Department of Climate Change and Energy Efficiency through the Australian Climate Change Science Program. We acknowledge the use of data products from the Land Atmosphere Near-real time Capability for EOS (LANCE) system operated by the GSFC/Earth Science Data and Information System (ESDIS) with funding provided by NASA/HQ. We acknowledge the use of the MERIS data provided through ENVISAT project AO-745 (CI N. Young). J. Smith publishes with permission of the CEO of Geoscience Australia.</t>
  </si>
  <si>
    <t>10.1002/grl.50178</t>
  </si>
  <si>
    <t>134VG</t>
  </si>
  <si>
    <t>WOS:000318242900019</t>
  </si>
  <si>
    <t>Meredith, MP; Brown, PJ; Garabato, ACN; Jullion, L; Venables, HJ; Messias, MJ</t>
  </si>
  <si>
    <t>Meredith, Michael P.; Brown, Peter J.; Garabato, Alberto C. Naveira; Jullion, Loic; Venables, Hugh J.; Messias, Marie-Jose</t>
  </si>
  <si>
    <t>Dense bottom layers in the Scotia Sea, Southern Ocean: Creation, lifespan, and destruction</t>
  </si>
  <si>
    <t>Dense bottom layers; Abyssal mixing; Southern Ocean; Overflows</t>
  </si>
  <si>
    <t>WEDDELL SEA; DEEP; WATERS; CIRCULATION; PATHWAYS; ABYSSAL; TRENDS</t>
  </si>
  <si>
    <t>The lower limb of the Atlantic overturning circulation is renewed by dense waters from the Southern Ocean, a substantial portion of which flow through the Scotia Sea. We report dense bottom layers here, with gradients in temperature and salinity comparable to those seen near the surface of the Southern Ocean. These are overlain by layers with much weaker stratification, and are caused by episodic overflows of dense waters across the South Scotia Ridge, and topographic trapping within deep trenches. One such layer was found to be at least 34 years older than the water immediately above. The estimated vertical diffusivity to which this layer was subject is substantially less than the strong basin-average deep mixing reported previously. We conjecture that (a) vertical mixing in the Scotia Sea is strongly spatially inhomogeneous, and (b) the flushing of these layers, like their formation, is related to overflow events, and hence also strongly episodic.</t>
  </si>
  <si>
    <t>[Meredith, Michael P.; Brown, Peter J.; Venables, Hugh J.] British Antarctic Survey, Cambridge CB3 0ET, England; [Brown, Peter J.; Messias, Marie-Jose] Univ E Anglia, Sch Environm Sci, Norwich NR4 7TJ, Norfolk, England; [Garabato, Alberto C. Naveira; Jullion, Loic] Univ Southampton, Natl Oceanog Ctr, Southampton, Hants, England</t>
  </si>
  <si>
    <t>UK Research &amp; Innovation (UKRI); Natural Environment Research Council (NERC); NERC British Antarctic Survey; University of East Anglia; University of Southampton; NERC National Oceanography Centre</t>
  </si>
  <si>
    <t>Meredith, MP (corresponding author), British Antarctic Survey, Madingley Rd, Cambridge CB3 0ET, England.</t>
  </si>
  <si>
    <t>mmm@bas.ac.uk</t>
  </si>
  <si>
    <t>Brown, Peter/AAN-4372-2020; Garabato, Alberto Naveira/AAQ-1114-2020; Jullion, Loic/B-3304-2011</t>
  </si>
  <si>
    <t>Brown, Peter/0000-0002-1152-1114; Garabato, Alberto Naveira/0000-0001-6071-605X; Jullion, Loic/0000-0001-6269-6750; Messias, Marie-Jose/0000-0002-3852-2854; Meredith, Michael/0000-0002-7342-7756</t>
  </si>
  <si>
    <t>Natural Environment Research Council [NE/F010427/1, NE/E013368/1, NE/E01366X/1, bas0100028, NE/E007058/1, NE/E013538/1, NE/E005667/1, NE/E013341/1] Funding Source: researchfish; NERC [NE/E013341/1, NE/E013368/1, NE/E013538/1, bas0100028, NE/F010427/1, NE/E007058/1, NE/E01366X/1, NE/E005667/1] Funding Source: UKRI</t>
  </si>
  <si>
    <t>10.1002/grl.50260</t>
  </si>
  <si>
    <t>WOS:000318242900024</t>
  </si>
  <si>
    <t>Seppälä, A; Lu, H; Clilverd, MA; Rodger, CJ</t>
  </si>
  <si>
    <t>Seppala, A.; Lu, H.; Clilverd, M. A.; Rodger, C. J.</t>
  </si>
  <si>
    <t>Geomagnetic activity signatures in wintertime stratosphere wind, temperature, and wave response</t>
  </si>
  <si>
    <t>ENERGETIC PARTICLE-PRECIPITATION; QUASI-BIENNIAL OSCILLATION; UPPER-ATMOSPHERE; SOLAR-CYCLE; ENHANCEMENTS; TRANSPORT; ERA-40; IMPACT; OZONE; MODE</t>
  </si>
  <si>
    <t>We analyzed ERA-40 and ERA Interim meteorological re-analysis data for signatures of geomagnetic activity in zonal mean zonal wind, temperature, and Eliassen-Palm flux in the Northern Hemisphere extended winter (November-March). We found that for high geomagnetic activity levels, the stratospheric polar vortex becomes stronger in late winter, with more planetary waves being refracted equatorward. The statistically significant signals first appear in December and continue until March, with poleward propagation of the signals with time, even though some uncertainty remains due to the limited amount of data available (similar to 50 years). Our results also indicated that the geomagnetic effect on planetary wave propagation has a tendency to take place when the stratosphere background flow is relatively stable or when the polar vortex is stronger and less disturbed in early winter. These conditions typically occur during high solar irradiance cycle conditions or westerly quasi-biennial oscillation conditions.</t>
  </si>
  <si>
    <t>[Seppala, A.] Finnish Meteorol Inst, FIN-00101 Helsinki, Finland; [Lu, H.; Clilverd, M. A.] British Antarctic Survey, NERC, Cambridge CB3 0ET, England; [Rodger, C. J.] Univ Otago, Dept Phys, Dunedin, New Zealand</t>
  </si>
  <si>
    <t>Finnish Meteorological Institute; UK Research &amp; Innovation (UKRI); Natural Environment Research Council (NERC); NERC British Antarctic Survey; University of Otago</t>
  </si>
  <si>
    <t>Seppälä, A (corresponding author), Finnish Meteorol Inst, FIN-00101 Helsinki, Finland.</t>
  </si>
  <si>
    <t>annika.seppala@fmi.fi</t>
  </si>
  <si>
    <t>Rodger, Craig/A-1501-2011; Lu, Hua/GXA-0276-2022; Seppälä, Annika/C-8031-2014</t>
  </si>
  <si>
    <t>Lu, Hua/0000-0001-9485-5082; Seppälä, Annika/0000-0002-5028-8220; Rodger, Craig J./0000-0002-6770-2707</t>
  </si>
  <si>
    <t>FP7 project [FP7-PEOPLE-IEF-2008/237461]; Finnish Academy [258165, 265005, 128261]; UK Natural Environment Research Council (NERC) [NE/I010173/1]; New Zealand Marsden Fund; NERC [NE/I010173/1, bas0100023] Funding Source: UKRI; Academy of Finland (AKA) [128261] Funding Source: Academy of Finland (AKA); Natural Environment Research Council [NE/I010173/1, bas0100023] Funding Source: researchfish</t>
  </si>
  <si>
    <t>FP7 project; Finnish Academy(Research Council of Finland); UK Natural Environment Research Council (NERC)(UK Research &amp; Innovation (UKRI)Natural Environment Research Council (NERC)); New Zealand Marsden Fund(Royal Society of New ZealandMarsden Fund (NZ)); NERC(UK Research &amp; Innovation (UKRI)Natural Environment Research Council (NERC)); Academy of Finland (AKA)(Research Council of Finland); Natural Environment Research Council(UK Research &amp; Innovation (UKRI)Natural Environment Research Council (NERC))</t>
  </si>
  <si>
    <t>We thank the Alfred-Wegener Institute for Polar and Marine Research for making the ERA-40 and ERA Interim EP fluxes available. A.S. would like to thank Drs A. Orr and T. Bracegirdle at BAS for guidance in the EP analysis, and Drs M. Laine and J. Tamminen from FMI for helpful discussions and advise on statistical significance testing. Part of the work of A.S. was done during a visit to the British Antarctic Survey and was funded by the FP7 project FP7-PEOPLE-IEF-2008/237461. Work of A.S. at FMI was funded by the Finnish Academy projects CLASP (258165, 265005) and SAARA (128261). H.L. was funded by the grant NE/I010173/1 of the UK Natural Environment Research Council (NERC). C.J.R. was supported by the New Zealand Marsden Fund.</t>
  </si>
  <si>
    <t>10.1002/jgrd.50236</t>
  </si>
  <si>
    <t>WOS:000317842800007</t>
  </si>
  <si>
    <t>Dowdeswell, JA; Vásquez, M</t>
  </si>
  <si>
    <t>Dowdeswell, J. A.; Vasquez, M.</t>
  </si>
  <si>
    <t>Submarine landforms in the fjords of southern Chile: implications for glacimarine processes and sedimentation in a mild glacier-influenced environment</t>
  </si>
  <si>
    <t>Fjords; Chile; Glacimarine sediments; Glacimarine sedimentation; Submarine landforms; Turbidity-current channels; Retreat moraines; Landform-assemblage model</t>
  </si>
  <si>
    <t>ANTARCTIC ICE-SHEET; SCORESBY-SUND; SEISMIC ARCHITECTURE; TIDEWATER GLACIERS; CAMBRIDGE FJORD; PIO-XI; SEA; ICEBERG; FACIES; SHELF</t>
  </si>
  <si>
    <t>Chilean fjords are the lowest latitude at which glaciers reach the sea today. High accumulation and mass throughput sustain tidewater glacier margins in this relatively mild climatic and oceanographic setting. 27,000 km(2) of swath bathymetry allow mapping of sea-floor landforms and inferences on glacimarine sediments and sedimentation. Tidewater glaciers are present in several fjords. Beyond retreating Tempano glacier, a terminal moraine marks the limit of probable Little Ice Age advance with smaller transverse ridges closer to the glacier. Beyond advancing Pio XI Glacier there are few signs of organised submarine landforms. Older moraine ridges along several fjords formed at still-stands during deglaciation. Elsewhere, meltwater-fed braided rivers connect the glacial and marine sedimentary systems. Swath imagery shows glacifluvial and fluvial deltas with small channels and chutes that develop into long and sinuous turbidity-current channels. Few iceberg ploughmarks and submarine slope failures were observed, but several fields of pockmarks were present. The fjords of Chile are dominated by sediment delivery from turbid meltwater which distributes fine-grained debris widely, producing sorted and laminated fine-grained ice-proximal wedges and draping ice-distal seismic architecture to give a predominantly smooth sea floor. Turbidity currents also transfer sediments to some ice-distal environments. The Chilean fjordlands represent the mildest climatic and oceanographic end-member of a continuum of glacier-influenced marine settings; similar to south-east Alaska in the northern hemisphere. Components of a landform-assemblage model for climatically mild meltwater-dominated fjords include ice-contact moraine ridges, glacifluvial and fluvial deltas, and turbidity-current channels. Full-glacial and deglacial streamlined subglacial landform's are likely to have been buried in many areas by subsequent glacimarine sedimentation. (C) 2012 Elsevier Ltd. All rights reserved.</t>
  </si>
  <si>
    <t>[Dowdeswell, J. A.] Univ Cambridge, Scott Polar Res Inst, Cambridge CB2 1ER, England; [Vasquez, M.] Chilean Navy SHOA, Hydrog &amp; Oceanog Serv, Valparaiso 2360167, Chile</t>
  </si>
  <si>
    <t>University of Cambridge</t>
  </si>
  <si>
    <t>Dowdeswell, JA (corresponding author), Univ Cambridge, Scott Polar Res Inst, Cambridge CB2 1ER, England.</t>
  </si>
  <si>
    <t>jd16@cam.ac.uk</t>
  </si>
  <si>
    <t>Dowdeswell, Julian/0000-0003-1369-9482</t>
  </si>
  <si>
    <t>Erskine Bequest</t>
  </si>
  <si>
    <t>We thank Alexis Munoz and Pilar Ortiz (SHOA) for their considerable assistance with data processing, and Kelly Hogan and Daniel Price for producing the final figures. John Anderson and Ellen Cowan provided helpful reviews and Prof. J.F. Araya-Vergara kindly commented on an oral presentation of the work in Chile. The paper is published with permission of the Chilean Navy (SHOA). Writing of the paper took place mainly while JAD was Visiting Cambridge Fellow at Gateway Antarctica, University of Canterbury, New Zealand, funded through the Erskine Bequest.</t>
  </si>
  <si>
    <t>MAR 15</t>
  </si>
  <si>
    <t>10.1016/j.quascirev.2012.12.003</t>
  </si>
  <si>
    <t>158EG</t>
  </si>
  <si>
    <t>WOS:000319951600001</t>
  </si>
  <si>
    <t>Banks, JL; Ross, DJ; Keough, MJ; Macleod, CK; Keane, J; Eyre, BD</t>
  </si>
  <si>
    <t>Banks, Joanne L.; Ross, D. Jeff; Keough, Michael J.; Macleod, Catriona K.; Keane, John; Eyre, Bradley D.</t>
  </si>
  <si>
    <t>Influence of a burrowing, metal-tolerant polychaete on benthic metabolism, denitrification and nitrogen regeneration in contaminated estuarine sediments</t>
  </si>
  <si>
    <t>Ecosystem service; Metal tolerance; Bioturbation; Denitrification; Cirriformia filigera; Southern Australia</t>
  </si>
  <si>
    <t>DISSIMILATORY NITRATE REDUCTION; NUTRIENT FLUXES; ORGANIC-MATTER; MARINE-SEDIMENTS; BIOTURBATION; AMMONIUM; RECOLONIZATION; RESPIRATION; OXYGEN; IMPACT</t>
  </si>
  <si>
    <t>We investigated the effects of the burrowing cirratulid polychaete Cirriformia filigera (Delle Chiaje, 1828) on benthic respiration and nitrogen regeneration in metal-contaminated estuarine sediments using laboratory mesocosms. C. filigera is a dominant component of assemblages in the most severely contaminated sediments within the Derwent estuary, southern Australia. In the presence of C. filigera sediment O-2 consumption doubled, with approximately 55% of this increase due to their respiration and the remaining 45% attributable to oxidation reactions and increased microbial respiration associated with burrow walls. Combined NO3 and NO2 fluxes were unaffected. The addition of labile organic matter did not affect benthic fluxes, in the presence or absence of C. filigera, presumably due to the short time-frame of the experiment and naturally enriched test sediments. The results suggest that a combination of tolerance and burrowing activity enables this species to provide an ecosystem service in the removal of N from contaminated sites. (C) 2013 Elsevier Ltd. All rights reserved.</t>
  </si>
  <si>
    <t>[Banks, Joanne L.; Keough, Michael J.] Univ Melbourne, Dept Zool, Melbourne, Vic 3010, Australia; [Ross, D. Jeff; Macleod, Catriona K.; Keane, John] Inst Marine &amp; Antarctic Studies, Taroona, Tas 7053, Australia; [Eyre, Bradley D.] So Cross Univ, Sch Environm Sci &amp; Management, Ctr Coastal Biogeochem, Lismore, NSW 2480, Australia</t>
  </si>
  <si>
    <t>University of Melbourne; Melbourne Bioinformatics; University of Tasmania; Southern Cross University</t>
  </si>
  <si>
    <t>Banks, JL (corresponding author), Univ Melbourne, Dept Zool, Melbourne, Vic 3010, Australia.</t>
  </si>
  <si>
    <t>jlbanks72@gmail.com; Jeff.Ross@utas.edu.au; mjkeough@unimelb.edu.au; Catriona.Macleod@utas.edu.au; John.Keane@utas.edu.au; bradley.eyre@scu.edu.au</t>
  </si>
  <si>
    <t>Eyre, Bradley/C-2527-2013; Macleod, Catriona/J-7176-2014; Ross, Donald/F-7607-2012</t>
  </si>
  <si>
    <t>Eyre, Bradley/0000-0001-5502-0680; Keane, John Patrick/0000-0001-8950-5176; Keough, Michael/0000-0002-3382-3068; Macleod, Catriona/0000-0002-0539-6361; Ross, Donald/0000-0002-8659-3833</t>
  </si>
  <si>
    <t>Australian Research Council [LP0770222]; ARC LIEF [LE0668495, LE0989952]; ARC [DP0878568]; Australian Research Council [LE0668495, LE0989952] Funding Source: Australian Research Council</t>
  </si>
  <si>
    <t>Australian Research Council(Australian Research Council); ARC LIEF(Australian Research Council); ARC(Australian Research Council); Australian Research Council(Australian Research Council)</t>
  </si>
  <si>
    <t>We thank Andrew Pender for field and laboratory assistance and lain Alexander (SCU) for sample processing. This work was supported by an Australian Research Council Linkage Grant (LP0770222) awarded to DJR, MJK and BDE and ARC LIEF Grants (LE0668495; LE0989952) and ARC Discovery Grant (DP0878568) awarded to BDE.</t>
  </si>
  <si>
    <t>10.1016/j.marpolbul.2013.01.002</t>
  </si>
  <si>
    <t>122OD</t>
  </si>
  <si>
    <t>WOS:000317326500016</t>
  </si>
  <si>
    <t>Razik, S; Chiessi, CM; Romero, OE; von Dobeneck, T</t>
  </si>
  <si>
    <t>Razik, Sebastian; Chiessi, Cristiano M.; Romero, Oscar E.; von Dobeneck, Tilo</t>
  </si>
  <si>
    <t>Interaction of the South American Monsoon System and the Southern Westerly Wind Belt during the last 14 kyr</t>
  </si>
  <si>
    <t>Marine sediments; Multi-proxy study; Western South Atlantic; South American Monsoon; Southern Westerlies; Brazil-Malvinas Confluence; Subtropical Shelf Front</t>
  </si>
  <si>
    <t>SUBTROPICAL SHELF FRONT; RIO-DE-JANEIRO; LATE PLEISTOCENE; PARANA RIVER; PLATA RIVER; SEDIMENT CORES; CENTRAL CHILE; PATOS LAGOON; HOLOCENE; CLIMATE</t>
  </si>
  <si>
    <t>Surface currents and sediment distribution of the SE South American upper continental margin are under the influence of the South American Monsoon System (SAMS) and the Southern Westerly Wind Belt (SWWB). Both climatic systems determine the meridional position of the Subtropical Shelf Front (STSF) and probably also of the Brazil-Malvinas Confluence (BMC). We reconstruct the changing impact of the SAMS and the SWWB on sediment composition at the upper Rio Grande Cone off southern Brazil during the last 14 cal kyr BP combining sedimentological, geochemical, micropaleontological and rock magnetic proxies of marine sediment core GeoB 6211-2. Sharp reciprocal changes in ferri- and paramagnetic mineral content and prominent grain-size shifts give strong clues to systematic source changes and transport modes of these mostly terrigenous sediments. Our interpretations support the assumption that the SAMS over SE South America was weaker than today during most of the Late Glacial and entire Early Holocene, while the SWWB was contracted to more southern latitudes, resembling modern austral summer-like conditions. In consequence, the STSF and the BMC were driven to more southern positions than today's, favoring the deposition of Fe-rich but weakly magnetic La Plata River silts at the Rio Grande Cone. During the Mid Holocene, the northern boundary of the SWWB migrated northward, while the STSF reached its northernmost position of the last 14 cal kyr BP and the BMC most likely arrived at its modern position. This shift enabled the transport of Antarctic diatoms and more strongly magnetic Argentinean shelf sands to the Rio Grande Cone, while sediment contributions from the La Plata River became less important. During the Late Holocene, the modern El Nino Southern Oscillation set in and the SAMS and the austral tradewinds intensified, causing a southward shift of the STSF to its modern position. This reinforced a significant deposition of La Plata River silts at the Rio Grande Cone. These higher magnetic silts with intermediate Fe contents mirror the modern more humid terrestrial climatic conditions over SE South America. (C) 2012 Elsevier B.V. All rights reserved.</t>
  </si>
  <si>
    <t>[Razik, Sebastian; Romero, Oscar E.; von Dobeneck, Tilo] Univ Bremen, Dept Geosci, D-28359 Bremen, Germany; [Chiessi, Cristiano M.; von Dobeneck, Tilo] Univ Bremen, MARUM Ctr Marine Environm Sci, D-28359 Bremen, Germany</t>
  </si>
  <si>
    <t>University of Bremen; University of Bremen</t>
  </si>
  <si>
    <t>Razik, S (corresponding author), Univ Bremen, Dept Geosci, Klagenfurter Str, D-28359 Bremen, Germany.</t>
  </si>
  <si>
    <t>srazik@uni-bremen.de</t>
  </si>
  <si>
    <t>Chiessi, Cristiano Mazur/JAZ-0806-2023; Chiessi, Cristiano Mazur/E-1916-2012</t>
  </si>
  <si>
    <t>Chiessi, Cristiano Mazur/0000-0003-3318-8022; Chiessi, Cristiano Mazur/0000-0003-3318-8022; von Dobeneck, Tilo/0000-0002-0087-4053</t>
  </si>
  <si>
    <t>DFG through the European Graduate College EUROPROX; FAPESP [2010/09983-9, 2011/50394-0]; Spanish Council of Scientific Research (CSIC); MARUM; Fundacao de Amparo a Pesquisa do Estado de Sao Paulo (FAPESP) [10/09983-9, 11/50394-0] Funding Source: FAPESP</t>
  </si>
  <si>
    <t>DFG through the European Graduate College EUROPROX; FAPESP(Fundacao de Amparo a Pesquisa do Estado de Sao Paulo (FAPESP)); Spanish Council of Scientific Research (CSIC); MARUM; Fundacao de Amparo a Pesquisa do Estado de Sao Paulo (FAPESP)(Fundacao de Amparo a Pesquisa do Estado de Sao Paulo (FAPESP))</t>
  </si>
  <si>
    <t>Constructive comments by two anonymous referees greatly improved the paper. We acknowledge the help of Inka Meyer for guidance during grain-size analyses. We thank James A. Collins for improving the English and Alberto R. Piola for the helpful remarks on the regional oceanography. We are grateful to the Institute of Geosciences, University of Sao Paulo, to have enabled a three-months stay abroad to S.R. for fruitful discussions on the results. Financial support for this survey was provided by the DFG through the European Graduate College EUROPROX to S.R, by FAPESP grants 2010/09983-9 and 2011/50394-0 to C.M.C. as well as partially by the Spanish Council of Scientific Research (CSIC) to O.E.R. The printing costs were carried by the MARUM. Data presented in this study are available at the PANGAEA database (http://www.pangaea.de).</t>
  </si>
  <si>
    <t>10.1016/j.palaeo.2012.12.022</t>
  </si>
  <si>
    <t>122MR</t>
  </si>
  <si>
    <t>WOS:000317322700003</t>
  </si>
  <si>
    <t>Ghosh, R; Lokman, PM; Lamare, MD; Metcalf, VJ; Burritt, DJ; Davison, W; Hageman, KJ</t>
  </si>
  <si>
    <t>Ghosh, Ruma; Lokman, P. Mark; Lamare, Miles D.; Metcalf, Victoria J.; Burritt, David J.; Davison, William; Hageman, Kimberly J.</t>
  </si>
  <si>
    <t>Changes in physiological responses of an Antarctic fish, the emerald rock cod (Trematomus bernacchii), following exposure to polybrominated diphenyl ethers (PBDEs)</t>
  </si>
  <si>
    <t>AQUATIC TOXICOLOGY</t>
  </si>
  <si>
    <t>Antarctic fish; Chronic exposure; Polybrominated diphenyl ethers; Notothenioid; Pollution and research bases</t>
  </si>
  <si>
    <t>TERRA-NOVA BAY; SALMON SALMO-SALAR; OXIDATIVE STRESS; IN-VITRO; PROTEIN CARBONYLS; FLAME RETARDANTS; EROD ACTIVITY; ROSS SEA; GLUTATHIONE-PEROXIDASE; ANTIOXIDANT DEFENSES</t>
  </si>
  <si>
    <t>Although polybrominated diphenyl ethers (PBDEs) have the ability to undergo long-range atmospheric transport to remote ecosystems like Antarctica, a recent study found evidence for a local source within the Antarctic. PBDEs from sewage treatment outfalls of McMurdo Station and Scott Base on Ross Island have been attributed to the high concentrations measured in emerald rock cod (Trematomus bernacchii). The potential impact of PBDEs on Antarctic fish physiology is unknown and therefore, the aim of this study was to obtain a greater understanding of physiological responses of emerald rock cod for assessing changes in ecosystem quality. A PBDE mixture (Sigma PBDE 8 congeners) was adininistered fortnightly over 42 days and physiological changes were observed throughout this period and for a further 14 days thereafter. Changes in liver composition, molecular level changes and enzyme activities of selected detoxification-mediated and antioxidant defence markers were measured. Changes in total lipid, lipid peroxide and protein carbonyl concentrations in emerald rock cod liver were consistent with increases in nucleus surface area in the PBDE-treated groups, suggesting alterations in cellular function. Changes in the activities of selected antioxidant enzymes indirectly indicated oxidative stress, possibly resulting in the changes in liver composition. Additionally, glutathione-S-transferase (GST) activity reached its peak faster than that of ethoxyresorufin-O-deethylase (EROD), suggesting that during the early response to PBDE exposures there could be a greater involvement of GST-mediated detoxification. Thus, for at least the species examined here, protein carbonyl and lipid peroxides were useful and informative biomarkers for cellular level responses following PBDE-related exposure. Furthermore, our findings suggest that emerald rock cod exposed to PBDEs develop oxidative stress - a condition with potential consequences for fish growth, health and reproduction. (c) 2012 Elsevier B.V. All rights reserved.</t>
  </si>
  <si>
    <t>[Ghosh, Ruma; Hageman, Kimberly J.] Univ Otago, Dept Chem, Dunedin 9016, New Zealand; [Lokman, P. Mark] Univ Otago, Dept Zool, Dunedin 9016, New Zealand; [Lamare, Miles D.] Univ Otago, Dept Marine Sci, Dunedin 9016, New Zealand; [Metcalf, Victoria J.] Lincoln Univ, Fac Agr &amp; Life Sci, Canterbury 7647, New Zealand; [Burritt, David J.] Univ Otago, Dept Bot, Dunedin 9016, New Zealand; [Davison, William] Univ Canterbury, Sch Biol Sci, Christchurch 8020, New Zealand</t>
  </si>
  <si>
    <t>University of Otago; University of Otago; University of Otago; Lincoln University - New Zealand; University of Otago; University of Canterbury</t>
  </si>
  <si>
    <t>Ghosh, R (corresponding author), Univ Otago, Dept Chem, POB 56, Dunedin 9016, New Zealand.</t>
  </si>
  <si>
    <t>rghosh@chemistry.otago.ac.nz</t>
  </si>
  <si>
    <t>Lokman, Mark/AAF-1467-2019; Remy, Melanie/G-3598-2010; Metcalf, Victoria J/C-1933-2013; Lamare, Miles M/A-7020-2010</t>
  </si>
  <si>
    <t>Lokman, Mark/0000-0002-8701-475X; Remy, Melanie/0000-0002-3238-2125; Hageman, Kimberly/0000-0001-9187-5256; Metcalf, Victoria/0000-0002-0833-7965; Lamare, Miles/0000-0001-8656-7240</t>
  </si>
  <si>
    <t>Todd Foundation for Excellence (Wellington, New Zealand); Antarctica New Zealand (Christchurch, New Zealand) [K068]</t>
  </si>
  <si>
    <t>Todd Foundation for Excellence (Wellington, New Zealand); Antarctica New Zealand (Christchurch, New Zealand)</t>
  </si>
  <si>
    <t>This work was supported by the Todd Foundation for Excellence (Wellington, New Zealand) and Antarctica New Zealand (Christchurch, New Zealand) [K068]. We would like to acknowledge Pfizer (Australia) for donating the gelatine capsules; Simon Morley, Todd Beaumont, Amanda Bates and Jessica Ericson for assistance with capturing fish; Beverly Dickson (Portobello Marine Laboratory, University of Otago), Gavin Robinson and Jan McKenzie (School of Biological Sciences, University of Canterbury) for assistance with the dose study; Yuichi Ozaki and Alvin Setiawan (Department of Zoology, University of Otago) for assistance with molecular techniques; and Ken Miller (Department of Zoology, University of Otago) for assistance with the design of Fig. 1.</t>
  </si>
  <si>
    <t>0166-445X</t>
  </si>
  <si>
    <t>AQUAT TOXICOL</t>
  </si>
  <si>
    <t>Aquat. Toxicol.</t>
  </si>
  <si>
    <t>10.1016/j.aquatox.2012.11.019</t>
  </si>
  <si>
    <t>Marine &amp; Freshwater Biology; Toxicology</t>
  </si>
  <si>
    <t>111OZ</t>
  </si>
  <si>
    <t>WOS:000316531900010</t>
  </si>
  <si>
    <t>Park, JI; Lee, JH; Gwak, Y; Kim, HJ; Jin, E; Kim, YP</t>
  </si>
  <si>
    <t>Park, Ji-In; Lee, Jun Hyuck; Gwak, Yunho; Kim, Hak Jun; Jin, EonSeon; Kim, Young-Pil</t>
  </si>
  <si>
    <t>Frozen assembly of gold nanoparticles for rapid analysis of antifreeze protein activity</t>
  </si>
  <si>
    <t>BIOSENSORS &amp; BIOELECTRONICS</t>
  </si>
  <si>
    <t>Gold nanoparticle; Frozen assembly; Antifreeze protein; Ice-binding protein; Thermal hysteresis</t>
  </si>
  <si>
    <t>COLORIMETRIC DETECTION; MECHANISM</t>
  </si>
  <si>
    <t>We report the novel activity-based detection of antifreeze protein (APP), also known as ice-binding protein (IBP), using freeze-labile gold nanoparticles (AuNPs) in order to overcome labor-intensive and low throughput issues of the current method based on thermal hysteresis (TH). Upon the addition of either CnAFP from the Antarctic diatom Chaetoceros neogracile or LeIBP from the Arctic yeast Leucosporidium sp. to mercaptosuccinic acid-capped AuNP, the self-assembly of AuNPs was highly inhibited after a freezing/thawing cycle, leading to no color change in the AuNP solution. As a result, the aggregation parameter (E-520/E-650) of AuNP presented the rapid detection of both the concentration-dependent activity and stability of two AFPs with high sensitivity, where the detection range was 100-fold lower than that of the TH-based method. We suggest that our newly developed method is very suitable for simple and high-throughput measurement of AFP activity. (C) 2012 Elsevier B.V. All rights reserved.</t>
  </si>
  <si>
    <t>[Park, Ji-In; Gwak, Yunho; Jin, EonSeon; Kim, Young-Pil] Hanyang Univ, Dept Life Sci, Seoul 133791, South Korea; [Park, Ji-In; Gwak, Yunho; Jin, EonSeon; Kim, Young-Pil] Hanyang Univ, Res Inst Nat Sci, Seoul 133791, South Korea; [Lee, Jun Hyuck; Kim, Hak Jun] Korea Polar Res Inst, Div Polar Life Sci, Inchon 406840, South Korea; [Lee, Jun Hyuck; Kim, Hak Jun] Univ Sci &amp; Technol, Dept Polar Sci, Inchon 406840, South Korea</t>
  </si>
  <si>
    <t>Hanyang University; Hanyang University; Korea Institute of Ocean Science &amp; Technology (KIOST); Korea Polar Research Institute (KOPRI)</t>
  </si>
  <si>
    <t>Jin, E (corresponding author), Hanyang Univ, Dept Life Sci, Seoul 133791, South Korea.</t>
  </si>
  <si>
    <t>esjin@hanyang.ac.kr; ypilkim@hanyang.ac.kr</t>
  </si>
  <si>
    <t>Kim, Young-Pil/A-5437-2009; Jin, EonSeon/AAW-6839-2020</t>
  </si>
  <si>
    <t>Kim, Young-Pil/0000-0001-7234-1320; Jin, EonSeon/0000-0001-5691-0124</t>
  </si>
  <si>
    <t>KOPRI [PD11010]; National Research Foundation of Korea (NRF) [2012-0008222, 2012-0006053, 2012035286]; Ministry of Education, Science and Technology (MEST); Korea CCS RD Center (KCRC); Korea government (MEST) [2011-0031999]</t>
  </si>
  <si>
    <t>KOPRI(Korea Polar Research Institute of Marine Research Placement (KOPRI)); National Research Foundation of Korea (NRF)(National Research Foundation of Korea); Ministry of Education, Science and Technology (MEST)(Ministry of Education, Science &amp; Technology (MEST), Republic of Korea); Korea CCS RD Center (KCRC); Korea government (MEST)(Ministry of Education, Science &amp; Technology (MEST), Republic of KoreaKorean Government)</t>
  </si>
  <si>
    <t>This research was supported by the 2011 Polar Academic Program (PAP, PD11010) from KOPRI, and Basic Science Research Program (2012-0008222), the Bio-Signal Analysis Technology Innovation Program (2012-0006053) and Nano- Material Technology Development Program (2012035286) through the National Research Foundation of Korea (NRF) funded by the Ministry of Education, Science and Technology (MEST). This work was also supported by the Korea CCS R&amp;D Center (KCRC) grant funded by the Korea government (MEST) (2011-0031999).</t>
  </si>
  <si>
    <t>ELSEVIER ADVANCED TECHNOLOGY</t>
  </si>
  <si>
    <t>OXFORD FULFILLMENT CENTRE THE BOULEVARD, LANGFORD LANE, KIDLINGTON, OXFORD OX5 1GB, OXON, ENGLAND</t>
  </si>
  <si>
    <t>0956-5663</t>
  </si>
  <si>
    <t>1873-4235</t>
  </si>
  <si>
    <t>BIOSENS BIOELECTRON</t>
  </si>
  <si>
    <t>Biosens. Bioelectron.</t>
  </si>
  <si>
    <t>10.1016/j.bios.2012.09.052</t>
  </si>
  <si>
    <t>Biophysics; Biotechnology &amp; Applied Microbiology; Chemistry, Analytical; Electrochemistry; Nanoscience &amp; Nanotechnology</t>
  </si>
  <si>
    <t>Biophysics; Biotechnology &amp; Applied Microbiology; Chemistry; Electrochemistry; Science &amp; Technology - Other Topics</t>
  </si>
  <si>
    <t>079SA</t>
  </si>
  <si>
    <t>WOS:000314191300112</t>
  </si>
  <si>
    <t>Starkey, NA; Franchi, IA</t>
  </si>
  <si>
    <t>Starkey, Natalie A.; Franchi, Ian A.</t>
  </si>
  <si>
    <t>Insight into the silicate and organic reservoirs of the comet forming region</t>
  </si>
  <si>
    <t>GEOCHIMICA ET COSMOCHIMICA ACTA</t>
  </si>
  <si>
    <t>INTERPLANETARY DUST PARTICLES; OXYGEN ISOTOPIC COMPOSITION; MOLECULAR-CLOUD MATERIAL; SOLAR-SYSTEM; ANTARCTIC MICROMETEORITES; CARBONACEOUS CHONDRITE; REFRACTORY INCLUSIONS; PRIMITIVE METEORITES; ANOMALIES; GRAINS</t>
  </si>
  <si>
    <t>Cometary interplanetary dust particles (IDPs), collected in Earth's stratosphere, currently represent the best way to sample outer Solar System primordial dust. The fine-grained (sub-mu m) minerals of IDPs show some strong similarities to the textures expected for primary condensates from the solar nebula. In this study we have analysed a set of IDPs for combined bulk carbon, nitrogen and hydrogen isotopes, and high precision oxygen isotopes by NanoSIMS 50L. This study concentrates on combining isotopic analyses, including high precision oxygen, on the silicate and organic components within the same sample on fine-grained primordial materials. Oxygen isotope analyses reveal that some IDPs are more O-16-rich than any bulk meteorite compositions, extending to O isotope compositions in between chondritic-and solar-like values (delta O-17 = -20 parts per thousand, delta O-18 = -20 parts per thousand). The O-16-rich IDPs display more primitive organic signatures than the chondritic-like O-16-poor IDPs but, rather interestingly, they also have lower presolar grain abundances. The O-16-poor signatures probably indicate an abundant component of chondritic-like material, processed in the inner protoplanetary disk. In order to explain the association of relatively processed material (silicates and organics) with high presolar grain abundances we propose a model whereby the initial dust component is O-16-rich (solar-like) and originally present homogenously throughout the protoplanetary disk. Outward radial transport, potentially associated with aerodynamic sorting, led to an influx of processed silicates from the inner Solar System with chondritic-like isotopic signatures. Comet accretion that occurred late, or at smaller heliocentric distance, included higher abundances of this chondritic-like component and hence had more O-16-poor O isotope compositions. Presolar grains, whose extreme isotopic signatures were destroyed during early homogenisation of solar nebula dust, continue to accrete onto the protoplanetary disk with time such that the later-formed comets, those with a higher proportion of processed silicates within their source, also had time to accumulate a higher abundance of presolar grains. A similar pattern is observed in the organics, with decreasing delta D and C/H, from increased exchange with nebula gas, in IDPs that contain more O-16-poor chondritic-like material. (C) 2012 Elsevier Ltd. All rights reserved.</t>
  </si>
  <si>
    <t>[Starkey, Natalie A.; Franchi, Ian A.] Open Univ, Dept Phys Sci, Milton Keynes MK7 6AA, Bucks, England</t>
  </si>
  <si>
    <t>Open University - UK</t>
  </si>
  <si>
    <t>Starkey, NA (corresponding author), Open Univ, Dept Phys Sci, Walton Hall, Milton Keynes MK7 6AA, Bucks, England.</t>
  </si>
  <si>
    <t>n.starkey@open.ac.uk</t>
  </si>
  <si>
    <t>Science and Technology Facilities Council (STFC) [ST/I001964/1]; STFC [ST/I001964/1] Funding Source: UKRI; Science and Technology Facilities Council [ST/I001964/1] Funding Source: researchfish</t>
  </si>
  <si>
    <t>Science and Technology Facilities Council (STFC)(UK Research &amp; Innovation (UKRI)Science &amp; Technology Facilities Council (STFC)Science and Technology Development Fund (STDF)); STFC(UK Research &amp; Innovation (UKRI)Science &amp; Technology Facilities Council (STFC)); Science and Technology Facilities Council(UK Research &amp; Innovation (UKRI)Science &amp; Technology Facilities Council (STFC))</t>
  </si>
  <si>
    <t>This study was supported by a Science and Technology Facilities Council (STFC) rolling grant (ST/I001964/1). We would like to thank the Cosmic Dust Laboratory (NASA) for allocation of the IDPs and assistance during selection of particles. Jemma Davidson is thanked for the preparation and characterisation of five IDP samples and for the SEM pictures and spectra used in this study. We would also like to thank Gordon Imlach at the Open University and Alex Ball at The Natural History Museum in London for their assistance with FE-SEM measurements. NanoSIMS access through UKCAN is gratefully acknowledged. Finally, we would like the thank the Associate Editor Trevor Ireland for the handling of this manuscript along with Jerome Aleon and two anonymous reviewers for their comments on this manuscript.</t>
  </si>
  <si>
    <t>0016-7037</t>
  </si>
  <si>
    <t>1872-9533</t>
  </si>
  <si>
    <t>GEOCHIM COSMOCHIM AC</t>
  </si>
  <si>
    <t>Geochim. Cosmochim. Acta</t>
  </si>
  <si>
    <t>10.1016/j.gca.2012.11.040</t>
  </si>
  <si>
    <t>093MA</t>
  </si>
  <si>
    <t>WOS:000315194800006</t>
  </si>
  <si>
    <t>Cartwright, JA; Ott, U; Mittlefehldt, DW; Herrin, JS; Herrmann, S; Mertzman, SA; Mertzman, KR; Peng, ZX; Quinn, JE</t>
  </si>
  <si>
    <t>Cartwright, J. A.; Ott, U.; Mittlefehldt, D. W.; Herrin, J. S.; Herrmann, S.; Mertzman, S. A.; Mertzman, K. R.; Peng, Z. X.; Quinn, J. E.</t>
  </si>
  <si>
    <t>The quest for regolithic howardites. Part 1: Two trends uncovered using noble gases</t>
  </si>
  <si>
    <t>CARBONACEOUS CHONDRITE CLASTS; ARGON ISOTOPIC VARIATIONS; RAY EXPOSURE AGES; PARENT BODY; SOLAR-WIND; BASALTIC ACHONDRITES; INTERSTELLAR GRAINS; COLLISIONAL HISTORY; COSMOGENIC NUCLIDES; KAPOETA HOWARDITE</t>
  </si>
  <si>
    <t>We report noble gas data (helium (He), neon (Ne), argon (Ar), krypton (Kr) and xenon (Xe)), nominal gas retention ages (K-Ar, U-Th-He) and cosmic ray exposure (CRE) ages for the ten howardites EET 83376, EET 99408, LEW 85313, MET 00423, MET 96500, PCA 02066, PRA 04401, QUE 94200, QUE 97002, and SCO 06040, in research to better understand the regolith of the HED parent body - Vesta - through a combined petrological, compositional and noble gas study. Our main aim is to determine which howardites are truly regolithic - as defined by the presence of solar noble gas components (e.g. solar wind (SW), fractionated solar wind (FSW)) and/or by the presence of planetary components (e.g. Q, HL) associated with foreign clasts of carbonaceous chondrite material within the breccias. Of our ten howardites, four (LEW 85313, MET 00423, PRA 04401 and SCO 06040) show evidence for a regolithic origin, with noble gas ratios indicating the presence of trapped components. Howardites PRA 04401 and SCO 06040 contain significant amounts of CM type carbonaceous chondrite material, and these samples are dominated by a planetary component similar to that observed in CM meteorites Murchison and Maribo. Overall, we find evidence for two regolithic groups with different release trends: (1) SW/FSW component dominated howardites (LEW 85313 and MET 00423), where SW/FSW is dominant at low temperature releases, and less pronounced at higher temperatures; (2) Planetary component dominated howardites (PRA 04401 and SCO 06040) that also contain SW/FSW - the planetary component is associated with incorporated carbonaceous chondrite material, and is dominant at the mid-temperature release. The remaining six howardites EET 83376, EET 99408, MET 96500, PCA 02066, QUE 94200, and QUE 97002, are dominated by cosmogenic noble gases, and are not considered regolithic. Previous work by Warren et al. (2009) suggested that high siderophile element contents (specifically nickel (Ni) &gt; 300 mu g/g) were a regolith indicator for howardites, in addition to restricted Al2O3 contents (8-9 wt.%) representing a eucrite/diogenite mixing ratio of 2: 1 as indicative of an ancient well-mixed regolith. These parameters were based on five 'gas-rich' howardites. However, we find no obvious correlation between these parameters and SW/FSW or planetary noble gas content in our howardite samples. We conclude that howardite regolith parameters are not as simple as those defined by Warren et al. (2009), where three of the five howardites used contained foreign CM material, which may have caused a bias in their defined parameters. We conclude that sideophile abundances alone cannot be used to determine the regolithic nature of a sample: noble gas analysis remains a key parameter, where it is important to distinguish between planetary-dominated and SW-dominated regolithic howardites. (C) 2012 Elsevier Ltd. All rights reserved.</t>
  </si>
  <si>
    <t>[Cartwright, J. A.; Ott, U.; Herrmann, S.] Max Planck Inst Chem, D-55128 Mainz, Germany; [Ott, U.] Univ Western Hungary, H-9700 Szombathely, Hungary; [Mittlefehldt, D. W.] NASA, Lyndon B Johnson Space Ctr, Astromat Res Off, Houston, TX 77058 USA; [Herrin, J. S.; Peng, Z. X.; Quinn, J. E.] Engn &amp; Sci Contract Grp, Houston, TX 77258 USA; [Mertzman, S. A.; Mertzman, K. R.] Franklin &amp; Marshall Coll, Dept Earth &amp; Environm, Lancaster, PA 17604 USA</t>
  </si>
  <si>
    <t>Max Planck Society; National Aeronautics &amp; Space Administration (NASA); NASA Johnson Space Center; Franklin &amp; Marshall College</t>
  </si>
  <si>
    <t>Cartwright, JA (corresponding author), CALTECH, Div Geol &amp; Planetary Sci, MC 100-23,1200 E Calif Blvd, Pasadena, CA 91125 USA.</t>
  </si>
  <si>
    <t>jac@caltech.edu</t>
  </si>
  <si>
    <t>Mittlefehldt, David/JUV-2877-2023; Cartwright, Julia A/A-8470-2013; Ott, Ulrich/ABH-2337-2020</t>
  </si>
  <si>
    <t>Herrin, Jason/0000-0002-2452-244X; Ulrich, Ott/0000-0003-3574-9591</t>
  </si>
  <si>
    <t>National Science Foundation; NASA's Cosmochemistry Program; STFC [ST/J500586/1, ST/F007426/1, ST/I50583X/1] Funding Source: UKRI; Science and Technology Facilities Council [ST/I50583X/1, ST/F007426/1, ST/J500586/1] Funding Source: researchfish</t>
  </si>
  <si>
    <t>National Science Foundation(National Science Foundation (NSF)); NASA's Cosmochemistry Program(National Aeronautics &amp; Space Administration (NASA)); STFC(UK Research &amp; Innovation (UKRI)Science &amp; Technology Facilities Council (STFC)); Science and Technology Facilities Council(UK Research &amp; Innovation (UKRI)Science &amp; Technology Facilities Council (STFC))</t>
  </si>
  <si>
    <t>We thank the National Science Foundation for funding the ANSMET collecting teams that brought back the Antarctic samples studied here, and the Meteorite Working Group, NASA-Johnson Space Center and the National Museum of Natural History (Smithsonian Institution) for allocation of the samples. We are grateful to K. McBride and C. Satterwhite for extraction of the samples used in this work. DWM's participation in this project, and bulk sample major and trace element analyses were funded through NASA's Cosmochemistry Program. We would also like to thank two anonymous reviewers and the associate editor Anders Meilbom, who's comments and contributions aided the manuscript.</t>
  </si>
  <si>
    <t>10.1016/j.gca.2012.11.047</t>
  </si>
  <si>
    <t>WOS:000315194800023</t>
  </si>
  <si>
    <t>Delmonte, B; Baroni, C; Andersson, PS; Narcisi, B; Salvatore, MC; Petit, JR; Scarchilli, C; Frezzotti, M; Albani, S; Maggi, V</t>
  </si>
  <si>
    <t>Delmonte, B.; Baroni, C.; Andersson, P. S.; Narcisi, B.; Salvatore, M. C.; Petit, J. R.; Scarchilli, C.; Frezzotti, M.; Albani, S.; Maggi, V.</t>
  </si>
  <si>
    <t>Modern and Holocene aeolian dust variability from Tabs Dome (Northern Victoria Land) to the interior of the Antarctic ice sheet</t>
  </si>
  <si>
    <t>Dust; Antarctica; Holocene; Ice cores; Sr-Nd isotopes</t>
  </si>
  <si>
    <t>TERRA-NOVA BAY; ISOTOPIC SNOW VARIABILITY; SURFACE EXPOSURE AGES; CORE EAST ANTARCTICA; TALOS DOME; DRY VALLEYS; ATMOSPHERIC CIRCULATION; RICKER HILLS; CLIMATE; RECORD</t>
  </si>
  <si>
    <t>High-elevation sites from the inner part of the East Antarctic plateau sample windborne dust representative of large portions of the Southern hemisphere, and are sensitive to long-range atmospheric transport conditions to polar areas. On the periphery of the ice sheet, conversely, the aeolian transport of particles from high-elevation ice-free areas can locally represent a relatively important additional input of dust to the atmosphere, and the interplay of atmospheric dynamics, dust transport and deposition is strictly related to the regional atmospheric circulation behaviour both at present-day and in the past. The understanding of the spatial extent where local sources can influence the mineral dust budget on the ice sheet is fundamental for understanding the atmospheric dust cycle in Antarctica and for the interpretation of the dust history in marginal glaciological settings. In this work we investigate the spatial variability of dust flux and provenance during modern (pre-industrial) and Holocene times along a transect connecting Tabs Dome to the internal sites of the Antarctic plateau and we extend the existing documentation of the isotopic (Sr-Nd) fingerprint of dust-sized sediments from Victoria Land source areas. Dust flux, grain size and isotopic composition show a marked variability between Tabs Dome, Mid Point, D4 and Dome C/Vostok, suggesting that local sources play an important role on the periphery of the ice sheet. Microscope observations reveal that background mineral aerosol in the TALDICE core is composed by a mixture of dust, volcanic particles and micrometric-sized fragments of diatoms, these latter representing a small but pervasive component of Antarctic sediments. A set of samples from Victoria Land, mostly consisting of regolith and glacial deposits from high-elevation areas, was collected specially for this work and the isotopic composition of the dust-sized fraction of samples was analyzed. Results reveal a close relationship with the parent lithologies, but direct comparison between source samples and firn/ice core dust is problematical because of the ubiquitous volcanic contribution to the environmental particulate input in the Tabs Dome area. The frequency of events potentially suitable for peripheral dust transport to Tabs Dome appears relatively high for present-day conditions, according to back trajectories calculations, and the related air flow pattern well-defined from a seasonal and spatial perspective. Also, as expected from palaeo-data, these events appear extremely uncommon for internal sites. (C) 2012 Elsevier Ltd. All rights reserved.</t>
  </si>
  <si>
    <t>[Delmonte, B.; Albani, S.; Maggi, V.] Univ Milano Bicocca, DISAT Dept Earth &amp; Environm Sci, I-20126 Milan, Italy; [Baroni, C.; Salvatore, M. C.] Univ Pisa, Dipartimento Sci Terra, I-56126 Pisa, Italy; [Baroni, C.] CNR, Ist Geosci &amp; Georisorse, I-56126 Pisa, Italy; [Andersson, P. S.] Swedish Museum Nat Hist, LIG Lab Isotope Geol, S-10405 Stockholm, Sweden; [Narcisi, B.; Scarchilli, C.; Frezzotti, M.] ENEA, CR Casaccia, I-00123 Rome, Italy; [Petit, J. R.] Univ Grenoble 1, CNRS, LGGE, UMR 51230, F-38402 St Martin Dheres, France</t>
  </si>
  <si>
    <t>University of Milano-Bicocca; University of Pisa; Consiglio Nazionale delle Ricerche (CNR); Istituto di Geoscienze e Georisorse (IGG-CNR); Swedish Museum of Natural History; Italian National Agency New Technical Energy &amp; Sustainable Economics Development; Centre National de la Recherche Scientifique (CNRS); Communaute Universite Grenoble Alpes; Universite Grenoble Alpes (UGA)</t>
  </si>
  <si>
    <t>Delmonte, B (corresponding author), Univ Milano Bicocca, DISAT Dept Earth &amp; Environm Sci, Piazza Sci 1, I-20126 Milan, Italy.</t>
  </si>
  <si>
    <t>barbara.delmonte@unimib.it</t>
  </si>
  <si>
    <t>Maggi, Valter/E-1878-2014; Salvatore, Maria Cristina/AAS-4000-2020; Delmonte, Barbara/L-2555-2015; Baroni, Carlo/D-8184-2012; Albani, Samuel/AAC-5604-2020; Albani, Samuel/G-5329-2015; Maggi, Valter/AAX-5728-2020; FREZZOTTI, Massimo/AAK-7275-2020</t>
  </si>
  <si>
    <t>Salvatore, Maria Cristina/0000-0002-1590-7284; Delmonte, Barbara/0000-0002-9074-2061; Baroni, Carlo/0000-0001-5905-4650; Albani, Samuel/0000-0001-9736-5134; Albani, Samuel/0000-0001-9736-5134; Maggi, Valter/0000-0001-6287-1213; FREZZOTTI, Massimo/0000-0002-2461-2883; Scarchilli, Claudio/0000-0002-2414-2439</t>
  </si>
  <si>
    <t>European Community [SE-TAF-212]</t>
  </si>
  <si>
    <t>European Community</t>
  </si>
  <si>
    <t>This work was supported by SYNTHESYS funding (project SE-TAF-212) made available by the European Community under the FP7. The Tabs Dome Ice core Project (TALDICE), a joint European programme, is funded by national contributions from Italy, France, Germany, Switzerland and the United Kingdom. Main logistic support was provided by PNRA. This is TALDICE publication no. 28.</t>
  </si>
  <si>
    <t>10.1016/j.quascirev.2012.11.033</t>
  </si>
  <si>
    <t>WOS:000319951600005</t>
  </si>
  <si>
    <t>Sime, LC; Kohfeld, KE; Le Quéré, C; Wolff, EW; de Boer, AM; Graham, RM; Bopp, L</t>
  </si>
  <si>
    <t>Sime, Louise C.; Kohfeld, Karen E.; Le Quere, Corinne; Wolff, Eric W.; de Boer, Agatha M.; Graham, Robert M.; Bopp, Laurent</t>
  </si>
  <si>
    <t>Southern Hemisphere westerly wind changes during the Last Glacial Maximum: model-data comparison</t>
  </si>
  <si>
    <t>Glacial-interglacial cycles; Westerly winds; Southern Ocean; LGM; Atmospheric modelling; PMIP2; Data-model comparison</t>
  </si>
  <si>
    <t>SEA-SURFACE TEMPERATURE; CENTER COUPLED MODEL; CLIMATE MODEL; ATMOSPHERIC CO2; OCEAN CIRCULATION; NORTH-ATLANTIC; PART 1; SIMULATION; VENTILATION; VEGETATION</t>
  </si>
  <si>
    <t>The Southern Hemisphere (SH) westerly winds are thought to be critical to global ocean circulation, productivity, and carbon storage. For example, an equatorward shift in the winds, though its affect on the Southern Ocean circulation, has been suggested as the leading cause for the reduction in atmospheric CO2 during the Last Glacial period. Despite the importance of the winds, it is currently not clear, from observations or model results, how they behave during the Last Glacial. Here, an atmospheric modelling study is performed to help determine likely changes in the SH westerly winds during the Last Glacial Maximum (LGM). Using LGM boundary conditions, the maximum in SH westerlies is strengthened by similar to+1 m s(-1) and moved southward by similar to 2 degrees at the 850 hPa pressure level. Boundary layer stabilisation effects over equatorward extended LGM sea-ice can lead to a small apparent equatorward shift in the wind band at the surface. Further sensitivity analysis with individual boundary condition changes indicate that changes in sea surface temperatures are the strongest factor behind the wind change. The HadAM3 atmospheric simulations, along with published PMIP2 coupled climate model simulations, are then assessed against the newly synthesised database of moisture observations for the LGM. Although the moisture data is the most commonly cited evidence in support of a large equatorward shift in the SH winds during the LGM, none of the models that produce realistic LGM precipitation changes show such a large equatorward shift. In fact, the model which best simulates the moisture proxy data is the HadAM3 LGM simulation which shows a small poleward wind shift. While we cannot prove here that a large equatorward shift would not be able to reproduce the moisture data as well, we show that the moisture proxies do not provide an observational evidence base for it. (C) 2013 Elsevier Ltd. All rights reserved.</t>
  </si>
  <si>
    <t>[Sime, Louise C.; Wolff, Eric W.] British Antarctic Survey, Cambridge CB3 0ET, England; [Kohfeld, Karen E.] Simon Fraser Univ, Burnaby, BC V5A 1S6, Canada; [Le Quere, Corinne] Univ E Anglia, Sch Environm Sci, Norwich NR4 7TJ, Norfolk, England; [de Boer, Agatha M.; Graham, Robert M.] Stockholm Univ, Dept Geol Sci, S-10691 Stockholm, Sweden; [Bopp, Laurent] CEA, CNRS, F-91191 Saclay, France</t>
  </si>
  <si>
    <t>UK Research &amp; Innovation (UKRI); Natural Environment Research Council (NERC); NERC British Antarctic Survey; Simon Fraser University; University of East Anglia; Stockholm University; CEA; Centre National de la Recherche Scientifique (CNRS)</t>
  </si>
  <si>
    <t>De Boer, Agatha M/H-4202-2012; Le Quéré, Corinne/C-2631-2017; Sime, Louise/F-8058-2012; bopp, laurent/ABF-5302-2020; Sime, Louise/AAX-7730-2021; Wolff, Eric W/D-7925-2014</t>
  </si>
  <si>
    <t>Le Quéré, Corinne/0000-0003-2319-0452; Sime, Louise/0000-0002-9093-7926; bopp, laurent/0000-0003-4732-4953; Sime, Louise/0000-0002-9093-7926; Wolff, Eric W/0000-0002-5914-8531; Graham, Robert M./0000-0003-0008-1886; Kohfeld, Karen/0000-0001-7241-1624</t>
  </si>
  <si>
    <t>PMIP2 for their role in making available the multi-model dataset; and William Connolley for assistance with model setup. It was funded by The Natural Environment Research Council and forms a part of the British Antarctic Survey Polar Science for Planet Earth Programme.</t>
  </si>
  <si>
    <t>10.1016/j.quascirev.2012.12.008</t>
  </si>
  <si>
    <t>WOS:000319951600007</t>
  </si>
  <si>
    <t>Tsuji, M; Yokota, Y; Shimohara, K; Kudoh, S; Hoshino, T</t>
  </si>
  <si>
    <t>Tsuji, Masaharu; Yokota, Yuji; Shimohara, Kodai; Kudoh, Sakae; Hoshino, Tamotsu</t>
  </si>
  <si>
    <t>An Application of Wastewater Treatment in a Cold Environment and Stable Lipase Production of Antarctic Basidiomycetous Yeast Mrakia blollopis</t>
  </si>
  <si>
    <t>SP NOV.; PURIFICATION; TEMPERATURE</t>
  </si>
  <si>
    <t>Milk fat curdle in sewage is one of the refractory materials for active sludge treatment under low temperature conditions. For the purpose of solving this problem by using a bio-remediation agent, we screened Antarctic yeasts and isolated SK-4 strain from algal mat of sediments of Naga-ike, a lake in Skarvsnes, East Antarctica. The yeast strain showed high nucleotide sequence homologies (&gt; 99.6%) to Mrakia blollopis CBS8921(T) in ITS and D1/D2 sequences and had two unique characteristics when applied on an active sludge; i.e., it showed a potential to use various carbon sources and to grow under vitamin-free conditions. Indeed, it showed a biochemical oxygen demand (BOD) removal rate that was 1.25-fold higher than that of the control. We considered that the improved BOD removal rate by applying SK-4 strain was based on its lipase activity and characteristics. Finally, we purified the lipase from SK-4 and found that the enzyme was quite stable under wide ranges of temperatures and pH, even in the presence of various metal ions and organic solvents. SK-4, therefore, is a promising bio-remediation agent for cleaning up unwanted milk fat curdles from dairy milk wastewater under low temperature conditions.</t>
  </si>
  <si>
    <t>[Tsuji, Masaharu; Hoshino, Tamotsu] Natl Inst Adv Ind Sci &amp; Technol, BRRC, Higashihiroshima, Hiroshima, Japan; [Yokota, Yuji] Natl Inst Adv Ind Sci &amp; Technol, Bioprod Res Inst, Toyohira Ku, Sapporo, Hokkaido, Japan; [Shimohara, Kodai] Hokkaido High Technol Coll HHT, Eniwa, Hokkaido, Japan; [Kudoh, Sakae] NIPR, Tachikawa, Tokyo, Japan; [Hoshino, Tamotsu] Hokkaido Univ, Grad Sch Life Sci, Kita Ku, Sapporo, Hokkaido, Japan</t>
  </si>
  <si>
    <t>National Institute of Advanced Industrial Science &amp; Technology (AIST); National Institute of Advanced Industrial Science &amp; Technology (AIST); Research Organization of Information &amp; Systems (ROIS); National Institute of Polar Research (NIPR) - Japan; Hokkaido University</t>
  </si>
  <si>
    <t>Hoshino, T (corresponding author), Natl Inst Adv Ind Sci &amp; Technol, BRRC, Higashihiroshima, Hiroshima, Japan.</t>
  </si>
  <si>
    <t>tamotsu.hoshino@aist.go.jp</t>
  </si>
  <si>
    <t>Tsuji, Masaharu/0000-0002-9375-7998</t>
  </si>
  <si>
    <t>MAR 14</t>
  </si>
  <si>
    <t>e59376</t>
  </si>
  <si>
    <t>10.1371/journal.pone.0059376</t>
  </si>
  <si>
    <t>109YM</t>
  </si>
  <si>
    <t>WOS:000316407400108</t>
  </si>
  <si>
    <t>Vítek, P; Cámara-Gallego, B; Edwards, HGM; Jehlicka, J; Ascaso, C; Wierzchos, J</t>
  </si>
  <si>
    <t>Vitek, Petr; Camara-Gallego, Beatriz; Edwards, Howell G. M.; Jehlicka, Jan; Ascaso, Carmen; Wierzchos, Jacek</t>
  </si>
  <si>
    <t>Phototrophic Community in Gypsum Crust from the Atacama Desert Studied by Raman Spectroscopy and Microscopic Imaging</t>
  </si>
  <si>
    <t>GEOMICROBIOLOGY JOURNAL</t>
  </si>
  <si>
    <t>algae; Atacama Desert; cyanobacteria; gypsum; phycobiliproteins; Raman</t>
  </si>
  <si>
    <t>CALCIUM-OXALATE MONOHYDRATE; LIGHT-HARVESTING COMPLEX; HYPERARID CORE; MICROBIAL COLONIZATION; ANTARCTIC HABITATS; EVAPORITE DEPOSITS; ROCK INTERFACE; BETA-CAROTENE; IN-SITU; LIFE</t>
  </si>
  <si>
    <t>The hyperarid core of the Atacama Desert represents one of the driest places on Earth with an exceptional occurrence of microbial life coping with extreme environmental stress factors. The gypsum crusts have already been found to harbor diverse communities in this area. Here, we present a Raman spectroscopic study, complemented by correlative microscopic imaging using SEM-BSE and fluorescence microscopy, of the endolithic microbial communities inside the Ca-sulphate crusts dominated by phototrophic microorganisms. Differences of pigment composition within different zones follow the cyanobacterial and algal colonization and also reveal the degradation of phycobiliproteins within the decayed biomass of cyanobacteria. Carotenoids of at least three different types were recognized, differing in dependence on the particular phylum of phototrophic microorganisms. Moreover, calcium oxalate monohydrate - whewellite - was found to be associated with the algae and hyphal associations living in the lower regions of the crust. The 785nm excitation wavelength employed here was found to be the correct source for studying pigment composition as well as for the detection of the oxalate. A comparison of these results with those using 514.5nm laser excitation which is widely adopted for the detection of carotenoids due to the resonance Raman effect is made and discussed.</t>
  </si>
  <si>
    <t>[Vitek, Petr; Jehlicka, Jan] Charles Univ Prague, Inst Geochem Mineral &amp; Mineral Resources, Prague 12843 2, Czech Republic; [Camara-Gallego, Beatriz; Ascaso, Carmen; Wierzchos, Jacek] CSIC, Museo Nacl Ciencias Nat, E-28006 Madrid, Spain; [Edwards, Howell G. M.] Univ Bradford, Sch Life Sci, Ctr Astrobiol &amp; Extremophiles Res, Bradford BD7 1DP, W Yorkshire, England</t>
  </si>
  <si>
    <t>Charles University Prague; Consejo Superior de Investigaciones Cientificas (CSIC); CSIC - Museo Nacional de Ciencias Naturales (MNCN); University of Bradford</t>
  </si>
  <si>
    <t>Vítek, P (corresponding author), Charles Univ Prague, Inst Geochem Mineral &amp; Mineral Resources, Albertov 6, Prague 12843 2, Czech Republic.</t>
  </si>
  <si>
    <t>petr.vitek@natur.cuni.cz</t>
  </si>
  <si>
    <t>Vitek, Petr/R-8022-2016; Jehlicka, Jan/H-9357-2016; Camara Gallego, Beatriz/H-6407-2015; Wierzchos, Jacek/F-7036-2011; Ascaso, Carmen/F-5369-2011</t>
  </si>
  <si>
    <t>Jehlicka, Jan/0000-0002-4294-876X; Camara Gallego, Beatriz/0000-0003-4945-3134; Wierzchos, Jacek/0000-0003-3084-3837; Ascaso, Carmen/0000-0001-9665-193X</t>
  </si>
  <si>
    <t>Czech Science Foundation [P210/12/P330, 210/10/0467]; Ministry of Education of the Czech Republic [MSM0021620855]; Spanish Ministry of Science and Innovation [CGL2010-16004, CTM2009-122838-C04-03]</t>
  </si>
  <si>
    <t>Czech Science Foundation(Grant Agency of the Czech Republic); Ministry of Education of the Czech Republic(Ministry of Education, Youth &amp; Sports - Czech Republic); Spanish Ministry of Science and Innovation(Spanish Government)</t>
  </si>
  <si>
    <t>This work has been supported by Czech Science Foundation (Projects no. P210/12/P330 and no. 210/10/0467) and a grant MSM0021620855 from the Ministry of Education of the Czech Republic. J.W. and C.A. were supported by grant CGL2010-16004 from the Spanish Ministry of Science and Innovation. B.C.G. was funded by grant CTM2009-122838-C04-03 also from the Spanish Ministry of Science and Innovation.</t>
  </si>
  <si>
    <t>0149-0451</t>
  </si>
  <si>
    <t>1521-0529</t>
  </si>
  <si>
    <t>GEOMICROBIOL J</t>
  </si>
  <si>
    <t>Geomicrobiol. J.</t>
  </si>
  <si>
    <t>MAR 13</t>
  </si>
  <si>
    <t>10.1080/01490451.2012.697976</t>
  </si>
  <si>
    <t>Environmental Sciences; Geosciences, Multidisciplinary</t>
  </si>
  <si>
    <t>189XH</t>
  </si>
  <si>
    <t>WOS:000322301100005</t>
  </si>
  <si>
    <t>Brunnschweiler, JM; Barnett, A</t>
  </si>
  <si>
    <t>Brunnschweiler, Juerg M.; Barnett, Adam</t>
  </si>
  <si>
    <t>Opportunistic Visitors: Long-Term Behavioural Response of Bull Sharks to Food Provisioning in Fiji</t>
  </si>
  <si>
    <t>REEF-MARINE-RESERVE; SITE FIDELITY; CARCHARHINUS-LEUCAS; MOVEMENT PATTERNS; ECOTOURISM; WILDLIFE; TOURISM; CONSERVATION; FREQUENCY; TRACKING</t>
  </si>
  <si>
    <t>Shark-based tourism that uses bait to reliably attract certain species to specific sites so that divers can view them is a growing industry globally, but remains a controversial issue. We evaluate multi-year (2004-2011) underwater visual (n = 48 individuals) and acoustic tracking data (n = 82 transmitters; array of up to 16 receivers) of bull sharks Carcharhinus leucas from a long-term shark feeding site at the Shark Reef Marine Reserve and reefs along the Beqa Channel on the southern coast of Viti Levu, Fiji. Individual C. leucas showed varying degrees of site fidelity. Determined from acoustic tagging, the majority of C. leucas had site fidelity indexes &gt;0.5 for the marine reserve (including the feeding site) and neighbouring reefs. However, during the time of the day (09:00-12:00) when feeding takes place, sharks mainly had site fidelity indexes &lt;0.5 for the feeding site, regardless of feeding or non-feeding days. Site fidelity indexes determined by direct diver observation of sharks at the feeding site were lower compared to such values determined by acoustic tagging. The overall pattern for C. leucas is that, if present in the area, they are attracted to the feeding site regardless of whether feeding or non-feeding days, but they remain for longer periods of time (consecutive hours) on feeding days. The overall diel patterns in movement are for C. leucas to use the area around the feeding site in the morning before spreading out over Shark Reef throughout the day and dispersing over the entire array at night. Both focal observation and acoustic monitoring show that C. leucas intermittently leave the area for a few consecutive days throughout the year, and for longer time periods (weeks to months) at the end of the calendar year before returning to the feeding site.</t>
  </si>
  <si>
    <t>[Barnett, Adam] Deakin Univ, Sch Life &amp; Environm Sci, Burwood, Vic, Australia; [Barnett, Adam] Inst Marine &amp; Antarctic Studies, Fisheries Aquaculture &amp; Coasts Ctr, Hobart, Tas, Australia</t>
  </si>
  <si>
    <t>Deakin University; University of Tasmania</t>
  </si>
  <si>
    <t>juerg@gluecklich.net</t>
  </si>
  <si>
    <t>Brunnschweiler, Juerg/A-2110-2008</t>
  </si>
  <si>
    <t>Brunnschweiler, Juerg/0000-0002-9901-3279; , Adam/0000-0001-7430-8428</t>
  </si>
  <si>
    <t>Save Our Seas Foundation; Shark Foundation Switzerland</t>
  </si>
  <si>
    <t>This work was funded through grants to JMB from the Save Our Seas Foundation (http://saveourseas.com/) and the Shark Foundation Switzerland (http://www.shark.ch/). The funders had no role in study design, data collection and analysis, decision to publish, or preparation of the manuscript.</t>
  </si>
  <si>
    <t>e58522</t>
  </si>
  <si>
    <t>10.1371/journal.pone.0058522</t>
  </si>
  <si>
    <t>115YY</t>
  </si>
  <si>
    <t>Green Submitted, gold, Green Accepted, Green Published</t>
  </si>
  <si>
    <t>WOS:000316849200077</t>
  </si>
  <si>
    <t>Payne, NL; Snelling, EP; Semmens, JM; Gillanders, BM</t>
  </si>
  <si>
    <t>Payne, Nicholas L.; Snelling, Edward P.; Semmens, Jayson M.; Gillanders, Bronwyn M.</t>
  </si>
  <si>
    <t>Mechanisms of Population Structuring in Giant Australian Cuttlefish Sepia apama</t>
  </si>
  <si>
    <t>SPAWNING AGGREGATION; GAIT TRANSITION; METABOLIC-RATE; ENERGETICS; SQUID; CONNECTIVITY; CONSTRAINTS; TELEMETRY; MOLLUSCA; BEHAVIOR</t>
  </si>
  <si>
    <t>While a suite of approaches have been developed to describe the scale, rate and spatial structure of exchange among populations, a lack of mechanistic understanding will invariably compromise predictions of population-level responses to ecosystem modification. In this study, we measured the energetics and sustained swimming capacity of giant Australian cuttlefish Sepia apama and combined these data with information on the life-history strategy, behaviour and circulation patterns experienced by the species to predict scales of connectivity throughout parts of their range. The swimming capacity of adult and juvenile S. apama was poor compared to most other cephalopods, with most individuals incapable of maintaining swimming above 15 cm s(-1). Our estimate of optimal swimming speed (6-7 cm s(-1)) and dispersal potential were consistent with the observed fine-scale population structure of the species. By comparing observed and predicted population connectivity, we identified several mechanisms that are likely to have driven fine-scale population structure in this species, which will assist in the interpretation of future population declines.</t>
  </si>
  <si>
    <t>[Payne, Nicholas L.; Snelling, Edward P.; Gillanders, Bronwyn M.] Univ Adelaide, Sch Earth &amp; Environm Sci, Adelaide, SA, Australia; [Payne, Nicholas L.] Univ New S Wales, Sch Biol Earth &amp; Environm Sci, Kensington, NSW 2033, Australia; [Semmens, Jayson M.] Univ Tasmania, Inst Marine &amp; Antarctic Studies, Hobart, Tas, Australia</t>
  </si>
  <si>
    <t>University of Adelaide; University of New South Wales Sydney; University of Tasmania</t>
  </si>
  <si>
    <t>Payne, NL (corresponding author), Univ Adelaide, Sch Earth &amp; Environm Sci, Adelaide, SA, Australia.</t>
  </si>
  <si>
    <t>n.payne@unsw.edu.au</t>
  </si>
  <si>
    <t>Payne, Nicholas L/E-7811-2013; Gillanders, Bronwyn/B-4218-2013</t>
  </si>
  <si>
    <t>Payne, Nicholas/0000-0002-5274-471X; Semmens, Jayson/0000-0003-1742-6692; Gillanders, Bronwyn/0000-0002-7680-2240</t>
  </si>
  <si>
    <t>Field Naturalists Society of South Australia; Australian Geographic Society; Santos Ltd.; ANZ Holsworth Foundation; Australian Research Council [DP0344717]; ARC [LP100100367, FT100100767]; Australian Research Council [DP0344717, LP100100367] Funding Source: Australian Research Council</t>
  </si>
  <si>
    <t>Field Naturalists Society of South Australia; Australian Geographic Society; Santos Ltd.; ANZ Holsworth Foundation; Australian Research Council(Australian Research Council); ARC(Australian Research Council); Australian Research Council(Australian Research Council)</t>
  </si>
  <si>
    <t>Funding was provided by The Field Naturalists Society of South Australia, Australian Geographic Society, Santos Ltd., The ANZ Holsworth Foundation, and an Australian Research Council Discovery Grant (DP0344717). NLP was supported by an ARC Linkage grant (LP100100367) and BMG by an ARC Future Fellowship (FT100100767). The funders had no role in study design, data collection and analysis, decision to publish, or preparation of the manuscript.</t>
  </si>
  <si>
    <t>MAR 11</t>
  </si>
  <si>
    <t>e58694</t>
  </si>
  <si>
    <t>10.1371/journal.pone.0058694</t>
  </si>
  <si>
    <t>107WI</t>
  </si>
  <si>
    <t>WOS:000316251100080</t>
  </si>
  <si>
    <t>Raymond, JA; Morgan-Kiss, R</t>
  </si>
  <si>
    <t>Raymond, James A.; Morgan-Kiss, Rachael</t>
  </si>
  <si>
    <t>Separate Origins of Ice-Binding Proteins in Antarctic Chlamydomonas Species</t>
  </si>
  <si>
    <t>SEA-ICE; GREEN-ALGA; LAKE</t>
  </si>
  <si>
    <t>The green alga Chlamydomonas raudensis is an important primary producer in a number of ice-covered lakes and ponds in Antarctica. A C. raudensis isolate (UWO241) from Lake Bonney in the McMurdo Dry Valleys, like many other Antarctic algae, was found to secrete ice-binding proteins (IBPs), which appear to be essential for survival in icy environments. The IBPs of several Antarctic algae (diatoms, a prymesiophyte, and a prasinophyte) are similar to each other (here designated as type I IBPs) and have been proposed to have bacterial origins. Other IBPs (type II IBPs) that bear no resemblance to type I IBPs, have been found in the Antarctic Chlamydomonas sp. CCMP681, a putative snow alga, raising the possibility that chlamydomonad IBPs developed separately from the IBPs of other algae. To test this idea, we obtained the IBP sequences of C. raudensis UWO241 by sequencing the transcriptome. A large number of transcripts revealed no sequences resembling type II IBPs. Instead, many isoforms resembling type I IBPs were found, and these most closely matched a hypothetical protein from the bacterium Stigmatella aurantiaca. The sequences were confirmed to encode IBPs by the activity of a recombinant protein and by the matching of predicted and observed isoelectric points and molecular weights. Furthermore, a mesophilic sister species, C. raudensis SAG49.72, showed no ice-binding activity or PCR products from UWO241 IBP primers. These results confirm that algal IBPs are required for survival in icy habitats and demonstrate that they have diverse origins that are unrelated to the taxonomic positions of the algae. Last, we show that the C. raudensis UWO241 IBPs can change the structure of ice in a way that could increase the survivability of cells trapped in the ice.</t>
  </si>
  <si>
    <t>[Raymond, James A.] Univ Nevada, Sch Life Sci, Las Vegas, NV 89154 USA; [Morgan-Kiss, Rachael] Miami Univ, Dept Microbiol, Oxford, OH 45056 USA</t>
  </si>
  <si>
    <t>Nevada System of Higher Education (NSHE); University of Nevada Las Vegas; University System of Ohio; Miami University</t>
  </si>
  <si>
    <t>Raymond, JA (corresponding author), Univ Nevada, Sch Life Sci, Las Vegas, NV 89154 USA.</t>
  </si>
  <si>
    <t>raymond@unlv.nevada.edu</t>
  </si>
  <si>
    <t>Morgan-kiss, Rachael/0000-0003-4783-5358</t>
  </si>
  <si>
    <t>University of Nevada Las Vegas; National Science Foundation Office of Polar Programs [0631659, 1056396]; Directorate For Geosciences; Office of Polar Programs (OPP) [1056396] Funding Source: National Science Foundation; Division Of Polar Programs; Directorate For Geosciences [0631659] Funding Source: National Science Foundation</t>
  </si>
  <si>
    <t>University of Nevada Las Vegas; National Science Foundation Office of Polar Programs(National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t>
  </si>
  <si>
    <t>This study was mainly funded with personal funds (JR) with laboratory resources provided by the University of Nevada Las Vegas. This work was supported in part by National Science Foundation Office of Polar Programs Grants 0631659 and 1056396 to RM-K. The funders other than the authors had no role in study design, data collection and analysis, decision to publish, or preparation of the manuscript.</t>
  </si>
  <si>
    <t>e59186</t>
  </si>
  <si>
    <t>10.1371/journal.pone.0059186</t>
  </si>
  <si>
    <t>gold, Green Submitted, Green Published</t>
  </si>
  <si>
    <t>WOS:000316251100128</t>
  </si>
  <si>
    <t>Rodríguez, E; López-González, PJ</t>
  </si>
  <si>
    <t>Rodriguez, Estefania; Lopez-Gonzalez, Pablo J.</t>
  </si>
  <si>
    <t>New records of Antarctic and Sub-Antarctic sea anemones (Cnidaria, Anthozoa, Actiniaria and Corallimorpharia) from the Weddell Sea, Antarctic Peninsula, and Scotia Arc</t>
  </si>
  <si>
    <t>Antarctica; Biodiversity; Distribution; Hexacorallia</t>
  </si>
  <si>
    <t>SOUTH-WEST ATLANTIC; CLASSIFICATION; FORMS; GENUS; COELENTERATA; BIOGEOGRAPHY</t>
  </si>
  <si>
    <t>Herein we provide new records for 22 Antarctic species of sea anemone sensu lato (Anthozoa: Actiniaria and Corallimorpharia) from the Weddell Sea, Antarctic Peninsula, and the Scotia Sea. We provided short descriptions, images of the external morphology of preserved specimens (but also of living specimens in most cases), cnida data, and distribution maps for each studied species. New records are presented for nine species in the Weddell Sea and the geographic or bathymetric distributions for 19 of the 22 studied species are extended.</t>
  </si>
  <si>
    <t>[Rodriguez, Estefania] Amer Museum Nat Hist, Div Invertebrate Zool, New York, NY 10024 USA; [Lopez-Gonzalez, Pablo J.] Univ Seville, Fac Biol, Dept Zool, Biodivers &amp; Ecol Invertebrados Marinos, E-41012 Seville, Spain</t>
  </si>
  <si>
    <t>American Museum of Natural History (AMNH); University of Sevilla</t>
  </si>
  <si>
    <t>Rodríguez, E (corresponding author), Amer Museum Nat Hist, Div Invertebrate Zool, Cent Pk West &amp; 79th St, New York, NY 10024 USA.</t>
  </si>
  <si>
    <t>erodriguez@amnh.org; pjlopez@us.es</t>
  </si>
  <si>
    <t>Rodríguez, Estefanía/AAK-4634-2021; Lopez-González, Pablo J./Y-6440-2018</t>
  </si>
  <si>
    <t>Rodríguez, Estefanía/0000-0002-5590-6606; Lopez-González, Pablo J./0000-0002-7348-6270</t>
  </si>
  <si>
    <t>MCT-CSIC [I3P-BPD2001-1]; Spanish CICYT [ANT97-1533-E, ANT98-1739-E, ANT99-1608-E, REN2001-4920-E/ANT, REN2001-4269-E/ANT, CGL2004-20141-E, POL2006-06399/CGL (CLIMANT)]; COBICE (Copenhagen Biosystematics Center); European Commission; [(HPRI-CT-2001-00125)]</t>
  </si>
  <si>
    <t>MCT-CSIC; Spanish CICYT(Consejo Interinstitucional de Ciencia y Tecnologia (CICYT)); COBICE (Copenhagen Biosystematics Center); European Commission(European Union (EU)European Commission Joint Research Centre);</t>
  </si>
  <si>
    <t>We extend our acknowledgements to the officers and crew of the R/V Polarstern, and many colleagues on board during the EASIZ, ANDEEP, LAMPOS, and EBA-CAML cruises for their valuable assistance. Martin Rauschert is gratefully thanked for some of the living images of the species; underwater images are courtesy of Julian Gutt (AWI). Comments of M. Daly and an anonymous referee substantially improved this manuscript. Support was provided by a MCT-CSIC grant (I3P-BPD2001-1) to E. Rodriguez, and Spanish CICYT projects: ANT97-1533-E, ANT98-1739-E, ANT99-1608-E, REN2001-4920-E/ANT, REN2001-4269-E/ANT, CGL2004-20141-E, and POL2006-06399/CGL (CLIMANT). HIG LAT (HPRI-CT-2001-00125) and COBICE (Copenhagen Biosystematics Center) projects-supported by the Programme of the European Commission Improving Human Potential (IHP) action of the Transnational Access to Major Research Infrastructures-facilitated the visit to the type material collections at the Swedish Museum of Natural History (SMNH) in Stockholm (Sweden) and the Zoological Museum, University of Copenhagen (ZMUC) in Copenhagen (Denmark).</t>
  </si>
  <si>
    <t>10.11646/zootaxa.3624.1.1</t>
  </si>
  <si>
    <t>103SQ</t>
  </si>
  <si>
    <t>WOS:000315939600001</t>
  </si>
  <si>
    <t>Torda, G; Schmidt-Roach, S; Peplow, LM; Lundgren, P; van Oppen, MJH</t>
  </si>
  <si>
    <t>Torda, Gergely; Schmidt-Roach, Sebastian; Peplow, Lesa M.; Lundgren, Petra; van Oppen, Madeleine J. H.</t>
  </si>
  <si>
    <t>A Rapid Genetic Assay for the Identification of the Most Common Pocillopora damicornis Genetic Lineages on the Great Barrier Reef</t>
  </si>
  <si>
    <t>LUNAR PERIODICITY; CORAL; SCLERACTINIA; CNIDARIA; MORPHOLOGY; SHOW</t>
  </si>
  <si>
    <t>Pocillopora damicornis (Linnaeus, 1758; Scleractinia, Pocilloporidae) has recently been found to comprise at least five distinct genetic lineages in Eastern Australia, some of which likely represent cryptic species. Due to similar and plastic gross morphology of these lineages, field identification is often difficult. Here we present a quick, cost effective genetic assay as well as three novel microsatellite markers that distinguish the two most common lineages found on the Great Barrier Reef. The assay is based on PCR amplification of two regions within the mitochondrial putative control region, which show consistent and easily identifiable fragment size differences for the two genetic lineages after Alu1 restriction enzyme digestion of the amplicons.</t>
  </si>
  <si>
    <t>[Torda, Gergely] James Cook Univ, Sch Marine &amp; Trop Biol, Townsville, Qld 4811, Australia; [Torda, Gergely; Schmidt-Roach, Sebastian; Peplow, Lesa M.; Lundgren, Petra; van Oppen, Madeleine J. H.] Australian Inst Marine Sci, Townsville, Qld 4810, Australia; [Torda, Gergely; van Oppen, Madeleine J. H.] James Cook Univ, Australian Res Council Ctr Excellence Coral Reef, Townsville, Qld 4811, Australia; [Torda, Gergely; van Oppen, Madeleine J. H.] James Cook Univ, AIMS JCU, Townsville, Qld 4811, Australia; [Schmidt-Roach, Sebastian] Univ Tasmania, Inst Antarctic &amp; So Ocean Studies, Hobart, Tas, Australia; [Lundgren, Petra] Great Barrier Reef Marine Pk Author, Townsville, Qld, Australia</t>
  </si>
  <si>
    <t>James Cook University; Australian Institute of Marine Science; James Cook University; James Cook University; University of Tasmania</t>
  </si>
  <si>
    <t>van Oppen, MJH (corresponding author), Australian Inst Marine Sci, PMB 3, Townsville, Qld 4810, Australia.</t>
  </si>
  <si>
    <t>m.vanoppen@aims.gov.au</t>
  </si>
  <si>
    <t>Schmidt-Roach, Sebastian/N-7129-2013; Torda, Gergely/ABE-6388-2020; van Oppen, Madeleine JH/C-3261-2008; Torda, Gergely/ABE-6400-2020</t>
  </si>
  <si>
    <t>Torda, Gergely/0000-0002-4585-3045; van Oppen, Madeleine/0000-0003-4607-0744; Lundgren, Petra/0000-0002-1270-2005</t>
  </si>
  <si>
    <t>Australian Government's Marine and Tropical Sciences Research Fund (MTSRF); AIMS@JCU; Australian Institute for Marine Science; James Cook University; Endeavour International Postgraduate Research Scholarship</t>
  </si>
  <si>
    <t>Australian Government's Marine and Tropical Sciences Research Fund (MTSRF)(Australian Government); AIMS@JCU; Australian Institute for Marine Science; James Cook University; Endeavour International Postgraduate Research Scholarship(Australian Government)</t>
  </si>
  <si>
    <t>This work has been funded by the Australian Government's Marine and Tropical Sciences Research Fund (MTSRF), and AIMS@JCU, a collaborative scheme between the Australian Institute for Marine Science and James Cook University. G.T. is supported by the James Cook University Postgraduate Research Scholarship, and both G.T. and S.S-R. are supported by an Endeavour International Postgraduate Research Scholarship. The funders had no role in study design, data collection and analysis, decision to publish, or preparation of the manuscript.</t>
  </si>
  <si>
    <t>MAR 7</t>
  </si>
  <si>
    <t>e58447</t>
  </si>
  <si>
    <t>10.1371/journal.pone.0058447</t>
  </si>
  <si>
    <t>136BN</t>
  </si>
  <si>
    <t>gold, Green Published, Green Accepted</t>
  </si>
  <si>
    <t>WOS:000318334500084</t>
  </si>
  <si>
    <t>Quartino, ML; Deregibus, D; Campana, GL; Latorre, GEJ; Momo, FR</t>
  </si>
  <si>
    <t>Liliana Quartino, Maria; Deregibus, Dolores; Laura Campana, Gabriela; Juan Latorre, Gustavo Edgar; Roberto Momo, Fernando</t>
  </si>
  <si>
    <t>Evidence of Macroalgal Colonization on Newly Ice-Free Areas following Glacial Retreat in Potter Cove (South Shetland Islands), Antarctica</t>
  </si>
  <si>
    <t>CORALLINE ALGAE; COMMUNITIES; PENINSULA; ABUNDANCE; RESPONSES; PATTERNS; BIOMASS; LIGHT</t>
  </si>
  <si>
    <t>Climate warming has been related to glacial retreat along the Western Antarctic Peninsula. Over the last years, a visible melting of Fourcade Glacier (Potter Cove, South Shetland Islands) has exposed newly ice-free hard bottom areas available for benthic colonization. However, ice melting produces a reduction of light penetration due to an increase of sediment input and higher ice impact. Seventeen years ago, the coastal sites close to the glacier cliffs were devoid of macroalgae. Are the newly ice-free areas suitable for macroalgal colonization? To tackle this question, underwater video transects were performed at six newly ice-free areas with different degree of glacial influence. Macroalgae were found in all sites, even in close proximity to the retreating glacier. We can show that: 1. The complexity of the macroalgal community is positively correlated to the elapsed time from the ice retreat, 2. Algae development depends on the optical conditions and the sediment input in the water column; some species are limited by light availability, 3. Macroalgal colonization is negatively affected by the ice disturbance, 4. The colonization is determined by the size and type of substrate and by the slope of the bottom. As macroalgae are probably one of the main energy sources for the benthos, an expansion of the macroalgal distribution can be expected to affect the matter and energy fluxes in Potter Cove ecosystem.</t>
  </si>
  <si>
    <t>[Liliana Quartino, Maria; Deregibus, Dolores; Laura Campana, Gabriela] Inst Antartico Argentino, Dept Biol Costera, Buenos Aires, DF, Argentina; [Liliana Quartino, Maria] Museo Argentino Ciencias Nat Bernardino Rivadavia, Buenos Aires, DF, Argentina; [Laura Campana, Gabriela] Univ Nacl Lujan, Dept Ciencias Basicas, Lujan, Argentina; [Juan Latorre, Gustavo Edgar] Univ Nacl La Plata, Fac Ciencias Nat &amp; Museo, La Plata, Buenos Aires, Argentina; [Roberto Momo, Fernando] Univ Nacl Gen Sarmiento, Inst Ciencias, Los Polvorines, Argentina</t>
  </si>
  <si>
    <t>Instituto Antartico Argentino; Museo Argentino de Ciencias Naturales Bernardino Rivadavia (MACN); Universidad Nacional de Lujan; National University of La Plata; Museo La Plata</t>
  </si>
  <si>
    <t>Quartino, ML (corresponding author), Inst Antartico Argentino, Dept Biol Costera, Buenos Aires, DF, Argentina.</t>
  </si>
  <si>
    <t>lquartino@dna.gov.ar</t>
  </si>
  <si>
    <t>Momo, Fernando/A-5984-2015; Momo, Fernando R/E-3426-2012</t>
  </si>
  <si>
    <t>Momo, Fernando R/0000-0003-0710-1149</t>
  </si>
  <si>
    <t>DNA-IAA [PICTA 7/2008-2011]; ANPCyT-DNA [PICTO 0116/2012-2015]</t>
  </si>
  <si>
    <t>DNA-IAA; ANPCyT-DNA</t>
  </si>
  <si>
    <t>This research was supported by grants from DNA-IAA (PICTA 7/2008-2011) and ANPCyT-DNA (PICTO 0116/2012-2015). The funders had no role in study design, data collection and analysis, decision to publish, or preparation of the manuscript.</t>
  </si>
  <si>
    <t>MAR 4</t>
  </si>
  <si>
    <t>e58223</t>
  </si>
  <si>
    <t>10.1371/journal.pone.0058223</t>
  </si>
  <si>
    <t>099PY</t>
  </si>
  <si>
    <t>WOS:000315634900077</t>
  </si>
  <si>
    <t>Dalziel, IWD</t>
  </si>
  <si>
    <t>Dalziel, Ian W. D.</t>
  </si>
  <si>
    <t>Antarctica and supercontinental evolution: clues and puzzles</t>
  </si>
  <si>
    <t>EARTH AND ENVIRONMENTAL SCIENCE TRANSACTIONS OF THE ROYAL SOCIETY OF EDINBURGH</t>
  </si>
  <si>
    <t>11th International Symposium on Antarctic Earth Sciences (ISAES)</t>
  </si>
  <si>
    <t>JUL 10-15, 2011</t>
  </si>
  <si>
    <t>Edinburgh, SCOTLAND</t>
  </si>
  <si>
    <t>continental drift; Gondwana; Pannotia; Rodinia</t>
  </si>
  <si>
    <t>PROTEROZOIC PLATE RECONSTRUCTIONS; ECLOGITE-FACIES METAMORPHISM; WESTERN UNITED-STATES; EAST ANTARCTICA; SHACKLETON RANGE; SOUTH CHINA; COATS LAND; RODINIA SUPERCONTINENT; LAURENTIA; AUSTRALIA</t>
  </si>
  <si>
    <t>Antarctica has been known as the keypiece'' of the Gondwana supercontinent since publication of Du Toit's 1937 classic book Our Wandering Continents. It is also important to reconstruction of the early Neoproterozoic supercontinent Rodinia. Laurentia, with its circumferential late Precambrian rifted margins, can be regarded as the 'keypiece' of Rodinia. The Southwest US-East Antarctica (SWEAT) hypothesis suggested former juxtaposition of the Pacific margins of Laurentia and East Antarctica. Several new lines of evidence support this hypothesis in a revised form, but must be reconciled with opening of the Pacific Ocean basin predating amalgamation, not only of Gondwana, but even of today's East Antarctic craton. The sequence of events is envisaged to have been: (1) formation prior to 1.6 Ga of a craton, including Laurentia and the Mawson craton, that extended from South Australia along the present Transantarctic margin to the Shackleton Range; (2) suturing of southernmost Laurentia to the Kalahari craton along the Grenville, Namaqua-Natal-Maud orogenic belt ca. 1.0 Ga; (3) rifting of the East Antarctic margin (Mawson craton) from western Laurentia ca. 0.7 Ga; (4) pan-African suturing of the Mawson craton to southernmost Laurentia as Gondwana amalgamated, forming the ephemeral Pannotia supercontinent; and (5) end-Precambrian separation of Laurentia as Iapetus opened.</t>
  </si>
  <si>
    <t>Univ Texas Austin, Jackson Sch Geosci, Inst Geophys, Austin, TX 78712 USA</t>
  </si>
  <si>
    <t>Dalziel, IWD (corresponding author), Univ Texas Austin, Jackson Sch Geosci, Inst Geophys, Austin, TX 78712 USA.</t>
  </si>
  <si>
    <t>Dalziel, Ian W. D./G-5926-2010</t>
  </si>
  <si>
    <t>EDINBURGH BLDG, SHAFTESBURY RD, CB2 8RU CAMBRIDGE, ENGLAND</t>
  </si>
  <si>
    <t>1755-6910</t>
  </si>
  <si>
    <t>1755-6929</t>
  </si>
  <si>
    <t>EARTH ENV SCI T R SO</t>
  </si>
  <si>
    <t>Earth Environ. Sci. Trans. R. Soc. Edinb.</t>
  </si>
  <si>
    <t>MAR</t>
  </si>
  <si>
    <t>10.1017/S1755691012000096</t>
  </si>
  <si>
    <t>Geosciences, Multidisciplinary; Paleontology</t>
  </si>
  <si>
    <t>298ZX</t>
  </si>
  <si>
    <t>WOS:000330364900002</t>
  </si>
  <si>
    <t>Barrett, PJ</t>
  </si>
  <si>
    <t>Barrett, P. J.</t>
  </si>
  <si>
    <t>Resolving views on Antarctic Neogene glacial history - the Sirius debate</t>
  </si>
  <si>
    <t>controversy; ice sheet stability; Miocene; Pliocene</t>
  </si>
  <si>
    <t>SOUTHERN VICTORIA LAND; DRY VALLEYS REGION; PLIOCENE-PLEISTOCENE UPLIFT; DIGITAL ELEVATION MODEL; ROSS ICE SHELF; TRANSANTARCTIC MOUNTAINS; SEA-LEVEL; MIDDLE PLIOCENE; LANDSCAPE EVOLUTION; CLIMATE-CHANGE</t>
  </si>
  <si>
    <t>The discovery of marine Pliocene diatoms in warm-based glacial deposits (now termed the Sirius Group) high in the Transantarctic Mountains in the 1980s began a three-decadelong controversy over the stability of the East Antarctic Ice Sheet. Their presence implied that this ice sheet had collapsed as recently as three million years ago to allow their deposition in shallow interior seas, followed by transport and deposition from an expanded over-riding ice sheet. Though the glacial deposits included clasts with older diatoms, no evidence of clasts with Pliocene diatoms was published, but the hypothesis gained wide acceptance. Increasing knowledge of ice sheet behaviour and the antiquity and stability of the Transantarctic Mountains, along with new techniques for dating age and denudation rates for landscapes, has led to a more likely alternative hypothesis - that the high-level Sirius Group deposits pre-date Transantarctic Mountains uplift and their Pliocene diatoms are atmospheric contaminants. Surveys have shown that marine diatoms from the Antarctic margin and the Southern Ocean are indeed reaching the surface of the ice sheet and blowing through the mountains, with permafrost processes providing opportunities for contamination. Modelling and geological evidence is now consistent with a stable East Antarctic Ice Sheet in the interior for the last 14 Ma, with some retreat around the margins and periodic collapse of the West Antarctic ice sheet in Pliocene times.</t>
  </si>
  <si>
    <t>Victoria Univ Wellington, Antarctic Res Ctr, Wellington, New Zealand</t>
  </si>
  <si>
    <t>Victoria University Wellington</t>
  </si>
  <si>
    <t>Barrett, PJ (corresponding author), Victoria Univ Wellington, Antarctic Res Ctr, POB 600, Wellington, New Zealand.</t>
  </si>
  <si>
    <t>peter.barrett@vuw.ac.nz</t>
  </si>
  <si>
    <t>10.1017/S175569101300008X</t>
  </si>
  <si>
    <t>WOS:000330364900004</t>
  </si>
  <si>
    <t>Cooper, AK</t>
  </si>
  <si>
    <t>Cooper, Alan K.</t>
  </si>
  <si>
    <t>Future progress in Antarctic science: improving data care, sharing and collaboration</t>
  </si>
  <si>
    <t>Antarctic Treaty; data bank; data library; data management; data sharing; digital data; IGY; IPY; SCAR; SDLS; WDC; WDS</t>
  </si>
  <si>
    <t>Data are the foundation of modern observational science. High-quality science relies on high quality data. In Antarctica, unlike elsewhere, researchers must disperse data and conduct science differently. They must work within the laws enacted under Antarctic Treaty that defines Antarctica as a continent for peace and science, where data sharing and international collaboration are requisite keystones. Scientists also work under oversight guidance of the Scientific Committee on Antarctic Research (SCAR). In the last decade, rapid technological advances and vast increase in digital data volumes have changed the ways data are acquired, communicated, analysed, displayed and reported. Yet, the underlying science culture in which data are funded, utilised and cared for has changed little. Science-culture changes are needed for greater progress in Antarctic science. We briefly summarise and discuss aspects of Antarctic 'data care', which is a subset of data management. We offer perceptions on how changes to some aspects of current science-culture could inspire greater data sharing and international collaboration, to achieve greater success. The changes would place greater emphasis on data visualisation, higher national priority on data care, implementation of a data-library concept for data sharing, greater individual responsibility for data care, and further integration of cultural arts into data and science presentations. Much effort has gone into data management in the international community, and there are many excellent examples of successful collaborative Antarctic science programs within SCAR built on existing data sets. Yet, challenges in data care remain and specific suggestions we make deserve attention by the science community, to further promote peace and progress in Antarctic science.</t>
  </si>
  <si>
    <t>[Cooper, Alan K.] US Geol Survey, Menlo Pk, CA 94025 USA; [Cooper, Alan K.] Stanford Univ, Dept Geol &amp; Environm Sci, Stanford, CA 94305 USA</t>
  </si>
  <si>
    <t>United States Department of the Interior; United States Geological Survey; Stanford University</t>
  </si>
  <si>
    <t>Cooper, AK (corresponding author), US Geol Survey, 345 Middlefield Rd, Menlo Pk, CA 94025 USA.</t>
  </si>
  <si>
    <t>10.1017/S1755691013000091</t>
  </si>
  <si>
    <t>WOS:000330364900006</t>
  </si>
  <si>
    <t>Ciappa, A; Pietranera, L</t>
  </si>
  <si>
    <t>Ciappa, Achille; Pietranera, Luca</t>
  </si>
  <si>
    <t>High resolution observations of the Terra Nova Bay polynya using COSMO-SkyMed X-SAR and other satellite imagery</t>
  </si>
  <si>
    <t>Synthetic aperture radar; X-band SAR; COSMO-SkyMed; Terra Nova Bay polynya; Envisat ASAR; MODIS</t>
  </si>
  <si>
    <t>ROSS SEA; LANGMUIR CIRCULATION; WAVE-DISPERSION; ICE THICKNESS; AVHRR IMAGERY; PANCAKE ICE; ANTARCTICA; FRAZIL; OCEAN; MODIS</t>
  </si>
  <si>
    <t>In this study we analysed a combination of high and coarse resolution X-band COSMO-SkyMed Synthetic Aperture Radar (SAR) scenes collected during two periods in July and September 2011 over the Terra Nova Bay (Antarctica). High resolution (5 m per pixel) and lower resolution SAR (100 m) acquired over intervals of the order of minutes provided both, fine details and a full large-scale view of the polynya. The analysis was supported by several Ice Surface Temperature (IST) maps per day obtained from the thermal band of Moderate Resolution Imaging Spectroradiometer (MODIS) and some additional C-band Envisat Advanced SAR (ASAR) scenes available during the July period. The dataset revealed two major openings around 2000 km(2) occurred in the July period and one opening around 2500 km2 in the September period. The SAR analysis revealed that the polynya area is clearly distinguished from the sea ice pack offshore during the growing and closing phase. During the opening phase, the open polynya area was characterized by newly formed frazil ice organized as ice streaks parallel to the wind direction and separated by a distance of between 300 and 800 m. Waves of length between 30 and 70 m were noted on the streaks of frazil ice and on the frazil and grease ice accumulated at the polynya border. The early stage of the growing phase was indicated by the uniform distance of the ice streaks near the border of the polynya, while convergence was an indication that the wind was slowing down and that the growing phase was at a late stage. The closing phase was characterized by the progressive freezing of the open polynya area from the downwind border toward the coast. The results of this analysis suggest that the detection of the polynya area from thermal infrared or microwave temperatures is more effective during the growing phase, when large areas of unfrozen water are present within the polynya, than during the closing phase when large areas of thin sea-ice prevail. (C) 2012 Elsevier B.V. All rights reserved.</t>
  </si>
  <si>
    <t>[Ciappa, Achille; Pietranera, Luca] E Geos Telespazio, Earth Observat, I-00156 Rome, Italy</t>
  </si>
  <si>
    <t>Thales Group</t>
  </si>
  <si>
    <t>Ciappa, A (corresponding author), E Geos Telespazio, Earth Observat, Via Cannizzaro 71, I-00156 Rome, Italy.</t>
  </si>
  <si>
    <t>achille.ciappa@e-geos.it</t>
  </si>
  <si>
    <t>UK Foreign and Commonwealth Office; European Space Agency; European Commission</t>
  </si>
  <si>
    <t>UK Foreign and Commonwealth Office; European Space Agency(European Space Agency); European Commission(European Union (EU)European Commission Joint Research Centre)</t>
  </si>
  <si>
    <t>The authors acknowledge the following projects/agencies for the free access to the data over the Terra Nova Bay polynya used in this study: Polar View services (supported in the Antarctic by the UK Foreign and Commonwealth Office, the European Space Agency and the European Commission) for the availability of Envisat WSM scenes; E-GEOS and ASI (Italian Space Agency) for the use of COSMO-SkyMed scenes; NASA (U.S. National Aeronautics Space Administration) for the availability of MODIS data. The authors are grateful to two anonymous reviewers for their helpful comments.</t>
  </si>
  <si>
    <t>10.1016/j.jmarsys.2012.12.004</t>
  </si>
  <si>
    <t>120HW</t>
  </si>
  <si>
    <t>WOS:000317162400004</t>
  </si>
  <si>
    <t>Uotila, P; O'Farrell, S; Marsland, SJ; Bi, D</t>
  </si>
  <si>
    <t>Uotila, P.; O'Farrell, S.; Marsland, S. J.; Bi, D.</t>
  </si>
  <si>
    <t>The sea-ice performance of the Australian climate models participating in the CMIP5</t>
  </si>
  <si>
    <t>AUSTRALIAN METEOROLOGICAL AND OCEANOGRAPHIC JOURNAL</t>
  </si>
  <si>
    <t>SOUTHERN-OCEAN; SIMULATION; ACCESS; CYCLE; CIRCULATION</t>
  </si>
  <si>
    <t>The sea-ice performance of the Australian climate models participating in the CMIP5 experiment, ACCESS1.0, ACCESS1.3 and CSIRO-Mk3.6, is assessed. Comparison with model output from five other international climate modelling centres and observational data are also included in the assessment process. The assessment takes into account modelled climatologies and interannual variability of the sea ice extent, concentration, thickness and transport. The ACCESS models give good simulations of the global sea-ice, within the scatter of models studied, and is one of the top performing models for sea-ice metrics. CSIRO-Mk3.6 has too extensive sea-ice and the sea-ice model would likely have performed significantly better after adjustment of the model parameters. As a consequence, ACCESS and CSIRO-Mk3.6 show opposite hemispheric climate sensitivities in terms of sea ice. The ACCESS models generally capture the observed decline of the Arctic sea ice over the period of 1981-2011, but not the small increase in the Antarctic sea ice, although the simulated changes over this period are generally smaller in the Antarctic than in the Arctic. In the Arctic, the sea-ice reductions in the ACCESS models occur in the Laptev and Kara Seas rather than in the Chukchi and Beaufort Seas as observed.</t>
  </si>
  <si>
    <t>[Uotila, P.; O'Farrell, S.; Marsland, S. J.; Bi, D.] Ctr Australian Weather &amp; Climate Res, Aspendale, Vic, Australia</t>
  </si>
  <si>
    <t>Commonwealth Scientific &amp; Industrial Research Organisation (CSIRO)</t>
  </si>
  <si>
    <t>Uotila, P (corresponding author), CSIRO Marine &amp; Atmo spher, Private Bag 1, Aspendale, Vic 3195, Australia.</t>
  </si>
  <si>
    <t>Uotila, Petteri/A-1703-2012; Bi, Daohua/O-4508-2015; Marsland, Simon J/A-1453-2012</t>
  </si>
  <si>
    <t>Uotila, Petteri/0000-0002-2939-7561; Marsland, Simon J/0000-0002-5664-5276</t>
  </si>
  <si>
    <t>Department of Climate Change and Energy Efficiency; Bureau of Meteorology; CSIRO; NCI National Facility at the Australian National University</t>
  </si>
  <si>
    <t>Department of Climate Change and Energy Efficiency; Bureau of Meteorology(Bureau of Meteorology - Australia); CSIRO(Commonwealth Scientific &amp; Industrial Research Organisation (CSIRO)); NCI National Facility at the Australian National University</t>
  </si>
  <si>
    <t>This work has been undertaken as part of the Australian Climate Change Science Program, funded jointly by the Department of Climate Change and Energy Efficiency, the Bureau of Meteorology and CSIRO. This work was supported by the NCI National Facility at the Australian National University.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especially thank the CSIRO-BOM ACCESS and CSIRO-QCCCE CSIRO-Mk3.6 model development teams for their efforts. Reviewers are acknowledged for their comments and suggestions that improved the manuscript.</t>
  </si>
  <si>
    <t>AUSTRALIAN BUREAU METEOROLOGY</t>
  </si>
  <si>
    <t>MELBOURNE</t>
  </si>
  <si>
    <t>GPO BOX 1289, MELBOURNE, VIC 3001, AUSTRALIA</t>
  </si>
  <si>
    <t>1836-716X</t>
  </si>
  <si>
    <t>AUST METEOROL OCEAN</t>
  </si>
  <si>
    <t>Aust. Meteorol. Oceanogr. J.</t>
  </si>
  <si>
    <t>10.22499/2.6301.008</t>
  </si>
  <si>
    <t>183NF</t>
  </si>
  <si>
    <t>WOS:000321822100008</t>
  </si>
  <si>
    <t>Scudiero, R; Esposito, MG; Trinchella, F</t>
  </si>
  <si>
    <t>Scudiero, Rosaria; Esposito, Maria Grazia; Trinchella, Francesca</t>
  </si>
  <si>
    <t>Middle ferritin genes from the icefish Chionodraco rastrospinosus: Comparative analysis and evolution of fish ferritins</t>
  </si>
  <si>
    <t>COMPTES RENDUS BIOLOGIES</t>
  </si>
  <si>
    <t>Antarctic fish; Ferritin; Gene expression; Phylogeny</t>
  </si>
  <si>
    <t>ANTARCTIC FISH; TREMATOMUS-BERNACCHII; IRON INCORPORATION; H-CHAINS; SUBUNITS; IDENTIFICATION; ADAPTATION; EXPRESSION; STORAGE; CLONING</t>
  </si>
  <si>
    <t>Ferritin is a major intracellular iron storage protein in higher vertebrates and plays an important role in iron metabolism. This study reports the identification from the Antarctic icefish Chionodraco rastrospinosus of a complete mRNA sequence and four partial mRNA sequences, all encoding the ferritin M subunit and sharing a clear homology with the ferritin M-chain of other fish species. The open reading frame of the complete ferritin M transcript is of 528 base pairs and encodes a protein of 176 amino acids that retains the residues involved in the ferroxidase diiron center and in the ferrihydrite nucleation center. Despite the absence of hemoglobin and of any appreciable amount of iron in the icefish blood, RT-PCR analysis shows that H and M ferritin subunits are expressed both in blood and in other tissues, such as spleen, head kidney, liver and kidney. Phylogenetic analysis shows that the H and M subunits form two well separated clusters. Basal to these two clusters emerges a heterogeneous cluster, formed by two Danio rerio M, a Salmo salar M and an Orechromis niloticus H isoforms; these forms maybe represent the heritage of ancestral forms from which arose the two major H and M subunits of the fishes. (C) 2013 Academie des sciences. Published by Elsevier Masson SAS. All rights reserved.</t>
  </si>
  <si>
    <t>[Scudiero, Rosaria; Esposito, Maria Grazia; Trinchella, Francesca] Univ Naples Federico II, Dept Biol, I-80134 Naples, Italy</t>
  </si>
  <si>
    <t>University of Naples Federico II</t>
  </si>
  <si>
    <t>Scudiero, R (corresponding author), Univ Naples Federico II, Dept Biol, Via Mezzocannone 8, I-80134 Naples, Italy.</t>
  </si>
  <si>
    <t>rosaria.scudiero@unina.it</t>
  </si>
  <si>
    <t>Scudiero, Rosaria/AAI-2119-2020</t>
  </si>
  <si>
    <t>Scudiero, Rosaria/0000-0002-8186-9722</t>
  </si>
  <si>
    <t>centre Mersenne pour ldition scientifique ouverte</t>
  </si>
  <si>
    <t>Grenolde Cedex 9</t>
  </si>
  <si>
    <t>Cellule Mathdoc Batiment Ceta, 150 Rue de la Chimie CS 40700, Grenolde Cedex 9, FRANCE</t>
  </si>
  <si>
    <t>1631-0691</t>
  </si>
  <si>
    <t>1768-3238</t>
  </si>
  <si>
    <t>CR BIOL</t>
  </si>
  <si>
    <t>C. R. Biol.</t>
  </si>
  <si>
    <t>10.1016/j.crvi.2013.03.003</t>
  </si>
  <si>
    <t>165JT</t>
  </si>
  <si>
    <t>WOS:000320480700002</t>
  </si>
  <si>
    <t>Wang, ZM</t>
  </si>
  <si>
    <t>Wang, Zhaomin</t>
  </si>
  <si>
    <t>On the response of Southern Hemisphere subpolar gyres to climate change in coupled climate models</t>
  </si>
  <si>
    <t>ANTARCTIC CIRCUMPOLAR CURRENT; WESTERN BOUNDARY CURRENTS; SEA-ICE; CIRCULATION; OCEAN; TRANSPORT; DEEP; FLUX</t>
  </si>
  <si>
    <t>We investigate the responses of the Southern Hemisphere subpolar gyres to projected climate changes over the 21st century by Coupled Model Intercomparison Project Phase 3 and 5 models. Under increased greenhouse gas forcing, the Southern Hemisphere westerly winds consistently become intensified, resulting in increased cyclonic wind forcing in the subpolar region in these models. Under such wind forcing changes, it is a robust feature that there are consistent increases in the westward flow close to the coast of Antarctica, with strong implications to the mass balance of the Antarctic ice shelves and ice sheets. However, there are large discrepancies in the responses of the gyre axes and overall gyre strengths. Some models show equatorward expansions of the southern gyre limbs, resulting in consistent and large gyre strength increases, while some other models show poleward contractions of the gyres and generally small and less consistent gyre strength changes. These uncertainties are primarily a result of the uncertain simulations of eddy-driven circulations in the Antarctic Circumpolar Current. The associated buoyancy forcing changes play a secondary role in driving these oceanic responses. This study reveals that there are large uncertainties in the projections of the subpolar circulation in the current generation of coupled climate models, although CMIP5 models have considerably smaller inter-model spreads in the present-day and projected gyre strengths. To predict the subpolar circulation changes, future improved modelling studies need to particularly reduce the uncertainties in the projections of the westerly jet and to reduce the uncertainties in the eddy-driven circulation responses to wind forcing changes.</t>
  </si>
  <si>
    <t>[Wang, Zhaomin] Nanjing Univ Informat Sci &amp; Technol, Nanjing Inst Meteorol, Minist Educ, Sch Marine Sci, Nanjing 210044, Jiangsu, Peoples R China; [Wang, Zhaomin] Nanjing Univ Informat Sci &amp; Technol, Nanjing Inst Meteorol, Minist Educ, Key Lab Meteorol Disaster, Nanjing 210044, Jiangsu, Peoples R China</t>
  </si>
  <si>
    <t>Nanjing University of Information Science &amp; Technology; Nanjing University of Information Science &amp; Technology</t>
  </si>
  <si>
    <t>Wang, ZM (corresponding author), Nanjing Univ Informat Sci &amp; Technol, Nanjing Inst Meteorol, Minist Educ, Sch Marine Sci, Nanjing 210044, Jiangsu, Peoples R China.</t>
  </si>
  <si>
    <t>wzm@nuist.edu.cn</t>
  </si>
  <si>
    <t>Chinese National Key Basic Research Program [2010CB950301]; China National Natural Science Foundation (NSFC) [41276200]; Special Program for China Meteorology Trade [GYHY201306020]; Priority Academic Program Development of Jiangsu Higher Education Institutions (PAPD)</t>
  </si>
  <si>
    <t>Chinese National Key Basic Research Program(National Basic Research Program of China); China National Natural Science Foundation (NSFC)(National Natural Science Foundation of China (NSFC)); Special Program for China Meteorology Trade; Priority Academic Program Development of Jiangsu Higher Education Institutions (PAPD)</t>
  </si>
  <si>
    <t>We acknowledge the modeling groups, the Program for Climate Model Diagnosis and Intercomparison (PCMDI) and the WCRP's Working Group on Coupled Modelling (WGCM) for their roles in making available the WCRP CMIP3 multi-model data set, and the British Atmospheric Data Center for their great work on archiving CMIP5 data. We thank Mike Meredith, Andrew Meijer, and Jan Zika for helpful discussions and are grateful to Meredith's comments on an earlier draft. The constructive comments on the manuscript from three anonymous reviewers are acknowledged. Part of this work was done at the British Antarctic Survey, and monthly mean data were processed at the server of the British Atmospheric Data Center. This work is supported by Chinese National Key Basic Research Program (2010CB950301), by China National Natural Science Foundation (NSFC) Project (41276200), by the Special Program for China Meteorology Trade (grant GYHY201306020), and by a project funded by the Priority Academic Program Development of Jiangsu Higher Education Institutions (PAPD)</t>
  </si>
  <si>
    <t>10.1002/jgrc.20111</t>
  </si>
  <si>
    <t>163GE</t>
  </si>
  <si>
    <t>WOS:000320323200002</t>
  </si>
  <si>
    <t>Steiner, NS; Lee, WG; Christian, JR</t>
  </si>
  <si>
    <t>Steiner, N. S.; Lee, W. G.; Christian, J. R.</t>
  </si>
  <si>
    <t>Enhanced gas fluxes in small sea ice leads and cracks: Effects on CO2 exchange and ocean acidification</t>
  </si>
  <si>
    <t>ARCTIC-OCEAN; CARBON-CYCLE; MODEL; CLIMATE; CIRCULATION; UNDERSATURATION; IMPACTS; FUTURE; GROWTH; BUDGET</t>
  </si>
  <si>
    <t>Earth system models generally partition grid cells into an ice-covered and an open-water area and view the ice-covered area as a barrier to gas fluxes. However, observations suggest that exchange in cracks and small leads can be much higher in localized areas than expected under similar conditions in open water. While these models project a significant retreat in sea ice cover, affecting air-sea CO2 exchange and consequently ocean acidification, the simple grid cell partitioning might underestimate the actual CO2 exchange. A sensitivity study with the Canadian Earth System Model (CanESM2) shows that enhanced CO2 exchange in sea ice areas in the Arctic Ocean increases the uptake in fall and winter, allowing more continuous equilibration and hence reduced uptake in summer. The reduction in summer also hints at a limited CO2-uptake capacity of Arctic surface waters. Retreating sea ice in the future leads to a similar shift in the seasonal cycle. The annual mean carbon uptake of the Arctic Ocean north of 68 degrees N changes only slightly with the enhanced flux parameterization (&lt;3%). For the central Arctic (north of 80 degrees N) the change is up to 21% and accelerates ocean acidification, e. g. locally, surface waters could reach aragonite undersaturation 1-2 decades earlier. The differences between standard and enhanced exchange test runs become less pronounced in the future due to the reduced ice cover and extended open water season. For the Antarctic sea ice zone where the CO2 flux is out of the ocean, the enhanced exchange increases outgassing, slightly slowing down acidification.</t>
  </si>
  <si>
    <t>[Steiner, N. S.; Christian, J. R.] Fisheries &amp; Oceans Canada, Inst Ocean Sci, Sidney, BC V8L 4B2, Canada; [Steiner, N. S.; Lee, W. G.; Christian, J. R.] Environm Canada, Canadian Ctr Climate Modelling &amp; Anal, Victoria, BC, Canada</t>
  </si>
  <si>
    <t>Fisheries &amp; Oceans Canada; Environment &amp; Climate Change Canada; Canadian Centre for Climate Modelling &amp; Analysis (CCCma)</t>
  </si>
  <si>
    <t>Steiner, NS (corresponding author), Fisheries &amp; Oceans Canada, Inst Ocean Sci, Sidney, BC V8L 4B2, Canada.</t>
  </si>
  <si>
    <t>nadja.steiner@ec.gc.ca</t>
  </si>
  <si>
    <t>Lee, Warren/0000-0001-7121-2148; Steiner, Nadja/0000-0001-7456-3437</t>
  </si>
  <si>
    <t>Fisheries and Oceans Canada; Environment Canada</t>
  </si>
  <si>
    <t>Fisheries and Oceans Canada; Environment Canada(CGIAR)</t>
  </si>
  <si>
    <t>We would like to acknowledge the Earth system model development group at CCCma, for the contributions to the model development and helpful discussions. We would like to thank Lisa Miller and Brent Else for their insights into sea ice gas exchange. We thank Vivek Arora, Martin Vancopenolle, and an anonymous reviewer for valuable comments. Work in this study has been supported by Fisheries and Oceans Canada and Environment Canada.</t>
  </si>
  <si>
    <t>10.1002/jgrc.20100</t>
  </si>
  <si>
    <t>WOS:000320323200010</t>
  </si>
  <si>
    <t>Lane-Serff, GF; Stansfield, KL</t>
  </si>
  <si>
    <t>Lane-Serff, G. F.; Stansfield, K. L.</t>
  </si>
  <si>
    <t>Observations of mixed layer deepening during an Antarctic gale</t>
  </si>
  <si>
    <t>AIR-SEA FLUXES; WEDDELL SEA; BULK PARAMETERIZATION; PYCNOCLINE MODEL; OCEAN SURFACE; ICE-SHELF; DYNAMICS; COEFFICIENTS; WIND</t>
  </si>
  <si>
    <t>Observations of mixed layer deepening made during a gale in February 2005 near an ice shelf, Fimbulisen, Antarctica, are reported. The observations were made from the RRS James Clark Ross in the lee of the ice shelf, using repeated downcasts (yo-yo) of a conductivity-temperature-depth package, together with shipboard meteorological and other measurements. The mixed layer deepened from less than 40m to over 120m over the course of 27 h, with a very rapid deepening from 80m to 120m over a period of under 11 h. The mixed layer became both colder and fresher, with the change in salinity and heat content likely to be caused by melting ice. Oxygen isotope results suggest the source of the fresh water was melting sea ice rather than precipitation or ice shelf melt. The input of melt water at the surface stabilizes the mixed layer, so extra energy is required to deepen the mixed layer. The observations suggest that approximately 1.8% of the available wind-work energy was used to mix the upper water column, while the stabilizing surface buoyancy flux inhibits the turbulence in the mixed layer, limiting the mixing length to 1.6 m. The eventual depth of the mixed layer is in line with estimates based on the planetary length scale u(*)/f. The rate of mixed layer deepening is given by U-e/u(*) = 0.035. The apparent peak ice melting rate was approximately 60 mm hr(-1), although this is likely to be exaggerated by convergence and downwelling.</t>
  </si>
  <si>
    <t>[Lane-Serff, G. F.] Univ Manchester, Sch Mech Aerosp &amp; Civil Engn, Manchester M13 9PL, Lancs, England; [Stansfield, K. L.] Natl Oceanog Ctr, Southampton, Hants, England</t>
  </si>
  <si>
    <t>University of Manchester; NERC National Oceanography Centre</t>
  </si>
  <si>
    <t>Lane-Serff, GF (corresponding author), Univ Manchester, Sch Mech Aerosp &amp; Civil Engn, Pariser Bldg,Sackville St, Manchester M13 9PL, Lancs, England.</t>
  </si>
  <si>
    <t>g.f.lane-serff@manchester.ac.uk</t>
  </si>
  <si>
    <t>Lane-Serff, Gregory/AFP-1544-2022</t>
  </si>
  <si>
    <t>Lane-Serff, Gregory/0000-0002-8296-254X</t>
  </si>
  <si>
    <t>NERC [NER/T/S/2000/01412]</t>
  </si>
  <si>
    <t>NERC(UK Research &amp; Innovation (UKRI)Natural Environment Research Council (NERC))</t>
  </si>
  <si>
    <t>This research was supported by NERC grant NER/T/S/2000/01412. The authors thank the officers, crew, and scientists on the RRS James Clark Ross on cruise JR097. The authors are grateful for the many detailed comments from the referees, which helped to significantly correct and improve our calculations and interpretations.</t>
  </si>
  <si>
    <t>10.1002/jgrc.20140</t>
  </si>
  <si>
    <t>WOS:000320323200024</t>
  </si>
  <si>
    <t>de Tomasel, CM; Adams, BJ; Tomasel, FG; Wall, DH</t>
  </si>
  <si>
    <t>de Tomasel, Cecilia Milano; Adams, Byron J.; Tomasel, Fernando G.; Wall, Diana H.</t>
  </si>
  <si>
    <t>The Life Cycle of the Antarctic Nematode Plectus murrayi Under Laboratory Conditions</t>
  </si>
  <si>
    <t>JOURNAL OF NEMATOLOGY</t>
  </si>
  <si>
    <t>Anhydrobiosis; McMurdo Dry Valleys; physiology; soil fauna</t>
  </si>
  <si>
    <t>DESICCATION SURVIVAL; SOIL NEMATODES; DRY VALLEYS; DIVERSITY; INVERTEBRATES; BIODIVERSITY; ENVIRONMENT</t>
  </si>
  <si>
    <t>We study and describe the life cycle of Plectus murrayi, a free-living, bacterivorous soil nematode endemic to terrestrial Antarctica. The study was performed at 15 degrees C, a temperature identified as optimal for growth rate studies in the laboratory. Under these conditions, we observed that the first molt occurs in the egg, and second-stage juveniles hatch 12 to 14 d after egg laying. Individuals undergo three subsequent molts to become adults 23 to 26 d after hatching with a final average length of 950 mm. Egg-laying begins 41 to 43 d after hatching, resulting in an egg-to-egg life cycle ranging from 53 to 57 d under our experimental conditions. Considering that the average soil temperature during austral summers in the McMurdo Dry Valleys is only a few degrees above freezing, it is highly likely that many, if not most of these animals, require more than 1 yr to complete their entire life cycle. Our study supports other research that establishes P. murrayi as an important model organism for studying adaptation to extreme environmental stress.</t>
  </si>
  <si>
    <t>[de Tomasel, Cecilia Milano; Wall, Diana H.] Colorado State Univ, Dept Biol &amp; Nat Resource, Ecol Lab, Ft Collins, CO 80523 USA; [Adams, Byron J.] Brigham Young Univ, Dept Biol &amp; Evolutionary Ecol Labs, Provo, UT 84602 USA; [Tomasel, Fernando G.] Colorado State Univ, Dept Elect &amp; Comp Engn, Ft Collins, CO 80523 USA; [Tomasel, Fernando G.] Adv Energy Ind, Ft Collins, CO 80525 USA</t>
  </si>
  <si>
    <t>Colorado State University; Brigham Young University; Colorado State University</t>
  </si>
  <si>
    <t>de Tomasel, CM (corresponding author), Colorado State Univ, Dept Biol &amp; Nat Resource, Ecol Lab, Ft Collins, CO 80523 USA.</t>
  </si>
  <si>
    <t>cecilia.tomasel@colostate.edu</t>
  </si>
  <si>
    <t>Wall, Diana H/F-5491-2011; Adams, Byron/C-3808-2009</t>
  </si>
  <si>
    <t>Adams, Byron/0000-0002-7815-3352</t>
  </si>
  <si>
    <t>U.S. National Science Foundation [OPP 0423595]</t>
  </si>
  <si>
    <t>U.S. National Science Foundation(National Science Foundation (NSF))</t>
  </si>
  <si>
    <t>This study was supported by the U.S. National Science Foundation funding to the McMurdo LTER (OPP 0423595). We would like to thank Eddie Molina for helping us with this experiment at CSU and our Co-PIs of the soil team of the LTER, Ross. A. Virginia and John E. Barrett, and acknowledge the contributions of many past soil field teams of the Wall and Adams labs. We particularly thank the staff at the Crary Laboratory, Raytheon Polar Services, and PHI Helicopters, Inc., for impressive logistical support of the field work required for this study.</t>
  </si>
  <si>
    <t>SOC NEMATOLOGISTS</t>
  </si>
  <si>
    <t>MARCELINE</t>
  </si>
  <si>
    <t>PO BOX 311, MARCELINE, MO 64658 USA</t>
  </si>
  <si>
    <t>0022-300X</t>
  </si>
  <si>
    <t>J NEMATOL</t>
  </si>
  <si>
    <t>J. Nematol.</t>
  </si>
  <si>
    <t>164ZY</t>
  </si>
  <si>
    <t>WOS:000320453200006</t>
  </si>
  <si>
    <t>A spectral index ratio-based Antarctic land-cover mapping using hyperspatial 8-band WorldView-2 imagery</t>
  </si>
  <si>
    <t>Pan-sharpening; WorldView-2; Index ratios; Land-cover</t>
  </si>
  <si>
    <t>DIFFERENCE WATER INDEX; ARSIS CONCEPT; SNOW COVER; FUSION; QUALITY; RESOLUTION; TM; MULTIRESOLUTION; ACCURACY; NDWI</t>
  </si>
  <si>
    <t>This study evaluates the potential of 8-band high resolution WorldView-2 (WV-2) panchromatic (PAN) and multispectral image (MSI) data for the extraction of polar geospatial information. We introduce a novel method based on a customized set of normalized difference Spectral Index Ratios (SIRs), incorporating multiple bands, to improve the accuracy of land-cover mapping in the Antarctic. Most recently available WV-2 data are classified into land-cover surfaces such as snow/ice, water bodies, and landmass using the customized normalized difference SIRs. A novel multi-fold methodology is used to evaluate the effect of pan-sharpening algorithms on spectral characteristics of satellite data, and on subsequent land-cover mapping using an array of SIRs. A set of existing pan-sharpening algorithms was implemented in order to fuse PAN with MSI data, followed by estimation of multiple SIRs to extract target land-cover classes. These algorithms were compared on the basis of their effectiveness in extracting target classes using a defined set of SIRs. Our results indicate that the use of 8-band WV-2, customized SIRs, and appropriate pan-sharpening can greatly improve the extraction of land-cover information. (C) 2012 Elsevier B.V. and NIPR. All rights reserved.</t>
  </si>
  <si>
    <t>[Jawak, Shridhar D.; Luis, Alvarinho J.] Govt India, Minist Earth Sci, ESSO, NCAOR, Headland Sada 403804, Goa, India</t>
  </si>
  <si>
    <t>Earth System Science Organization (ESSO); Ministry of Earth Sciences (MoES) - India; National Centre for Polar and Ocean Research (NCPOR)</t>
  </si>
  <si>
    <t>Jawak, SD (corresponding author), Govt India, Minist Earth Sci, ESSO, NCAOR, Headland Sada 403804, Goa, India.</t>
  </si>
  <si>
    <t>10.1016/j.polar.2012.12.002</t>
  </si>
  <si>
    <t>147NT</t>
  </si>
  <si>
    <t>WOS:000319175000002</t>
  </si>
  <si>
    <t>Terazaki, M; Takahashi, KT; Odate, T</t>
  </si>
  <si>
    <t>Terazaki, Makoto; Takahashi, Kunio T.; Odate, Tsuneo</t>
  </si>
  <si>
    <t>Zonal variations in abundance and body length of chaetognaths in the 140°E seasonal ice zone during the austral summer of 2001/02</t>
  </si>
  <si>
    <t>Eukrohnia hamata; Southern boundary; Multi-ship survey</t>
  </si>
  <si>
    <t>SOUTHERN-OCEAN; EUKROHNIA-HAMATA; VERTICAL-DISTRIBUTION; SAGITTA-GAZELLAE; PREDATION IMPACT; POPULATION-STRUCTURE; GERLACHE STRAIT; ANTARCTICA; MACROZOOPLANKTON; ZOOPLANKTON</t>
  </si>
  <si>
    <t>Time-series observations of chaetognaths were carried out during four cruises along the 140 degrees E transect between 61 degrees S and 66 degrees 28'S from November to March in the 2001/02 austral summer. Three species - Eukrohnia hamata, Sagitta gazellae and Sagitta marri - occurred in the samples between 0 and 150 m. E. hamata was the most dominant species comprising between 89.6 and 100% of the chaetognath population, followed by S. gazellae (0-5.7%). There were large differences in the abundance and size frequency distribution of body length of E. hamata between the north and south of the Southern Boundary of the Antarctic Circumpolar Current (SB-ACC) which was located between 64 S and 65 S. For E. hamata, low abundance and large sized animals (22-24 mm) occurred south of the SB-ACC. A possible reason could be that the breeding season in waters north of the SB-ACC may be early spring and summer. On the other hand, low reproduction was recognized by low the abundance of E. hamata and few occurrences of juveniles south of the SB-ACC (65 degrees S). The result of a general comparison suggests that the abundance of chaetognaths along the 140 E transect has decreased during the 20 years since 1983. (C) 2013 Elsevier B.V. and NIPR. All rights reserved.</t>
  </si>
  <si>
    <t>[Terazaki, Makoto] Univ Tokyo, Ocean Res Inst, Int Coastal Res Ctr, Otsuchi, Iwate 0281102, Japan; [Takahashi, Kunio T.; Odate, Tsuneo] Natl Inst Polar Res, Tachikawa, Tokyo 1908518, Japan; [Takahashi, Kunio T.; Odate, Tsuneo] Grad Univ Adv Studies SOKENDAI, Tachikawa, Tokyo 1908518, Japan</t>
  </si>
  <si>
    <t>University of Tokyo; Research Organization of Information &amp; Systems (ROIS); National Institute of Polar Research (NIPR) - Japan; Graduate University for Advanced Studies - Japan</t>
  </si>
  <si>
    <t>Takahashi, KT (corresponding author), Natl Inst Polar Res, 10-3 Midori Cho, Tachikawa, Tokyo 1908518, Japan.</t>
  </si>
  <si>
    <t>takahashi.kunio@nipr.ac.jp</t>
  </si>
  <si>
    <t>10.1016/j.polar.2013.02.002</t>
  </si>
  <si>
    <t>WOS:000319175000003</t>
  </si>
  <si>
    <t>Chen, CX; Zhang, XY; Liu, C; Yu, Y; Liu, A; Li, GW; Li, H; Chen, XL; Chen, B; Zhou, BC; Zhang, YZ</t>
  </si>
  <si>
    <t>Chen, Chun-Xiao; Zhang, Xi-Ying; Liu, Chang; Yu, Yong; Liu, Ang; Li, Guo-Wei; Li, Hai; Chen, Xiu-Lan; Chen, Bo; Zhou, Bai-Cheng; Zhang, Yu-Zhong</t>
  </si>
  <si>
    <t>Pseudorhodobacter antarcticus sp nov., isolated from Antarctic intertidal sandy sediment, and emended description of the genus Pseudorhodobacter Uchino et al. 2002 emend. Jung et al. 2012</t>
  </si>
  <si>
    <t>AGROBACTERIUM-FERRUGINEUM; DEOXYRIBONUCLEIC-ACID; DNA HYBRIDIZATION; MARINE BACTERIUM</t>
  </si>
  <si>
    <t>A Gram-negative, aerobic, non-motile, pink-pigmented and rod-shaped strain, designated ZS3-33(T), was isolated from Antarctic intertidal sandy sediment. The strain grew optimally at 15 degrees C and with 1.0% (w/v) NaCl. It reduced nitrate to nitrite and hydrolysed Tween 20. It could not produce bacteriochlorophyll a. The predominant cellular fatty acid was C-18:1 omega 7c and the predominant respiratory quinone was Q-10. The major polar lipids were phosphatidylglycerol, phosphatidylcholine, two unidentified aminophospholipids and an unidentified aminolipid. Analyses of 16S rRNA gene sequences revealed that strain ZS3-33(T) belonged to the genus Pseudorhodobacter, showing 97.4% similarity to the type strain of Pseudorhodobacter ferrugineus and 95.3% similarity to the type strain of Pseudorhodobacter aquimaris. Levels of gyrB gene sequence similarity between strain ZS3-33(T) and the type strains of P. ferrugineus and P. aquimaris were 87.6 and 81.7%, respectively. DNA DNA relatedness between strain ZS3-33(T) and P. ferrugineus DSM 5888(T) was 56.6%. The genomic DNA G+C content of strain ZS3-33(T) was 57.1 mol%. Based on data from this polyphasic study, strain ZS3-33T represents a novel species of the genus Pseudorhodobacter, for which the name Pseudorhodobacter antarcticus sp. nov. is proposed. The type strain is ZS3-33T (=CGMCC 1.10836(T)=KCTC 23700(T)). An emended description of the genus Pseudorhodobacter Uchino et aL 2002 emend. Jung et aL 2012 is also proposed.</t>
  </si>
  <si>
    <t>[Chen, Chun-Xiao; Zhang, Xi-Ying; Liu, Chang; Liu, Ang; Li, Guo-Wei; Li, Hai; Chen, Xiu-Lan; Zhou, Bai-Cheng; Zhang, Yu-Zhong] Shandong Univ, Marine Biotechnol Res Ctr, State Key Lab Microbial Technol, Jinan 250100, Peoples R China; [Yu, Yong; Chen, Bo] Polar Res Inst China, SOA Key Lab Polar Sci, Shanghai 200136, Peoples R China</t>
  </si>
  <si>
    <t>Shandong University; Polar Research Institute of China</t>
  </si>
  <si>
    <t>Zhang, XY (corresponding author), Shandong Univ, Marine Biotechnol Res Ctr, State Key Lab Microbial Technol, Jinan 250100, Peoples R China.</t>
  </si>
  <si>
    <t>zhangxiying@sdu.edu.cn</t>
  </si>
  <si>
    <t>Zhang, Xi/HJH-1211-2023; Liu, Ang/AAJ-7281-2020</t>
  </si>
  <si>
    <t>National Natural Science Foundation of China [31025001, 31070061, 31170055, 41106161, 41176130]; Hi-Tech Research and Development program of China [2011AA090703, 2012AA092103]; pecial Fund of China for Marine-scientific Research in the Public Interest [201005032-6]; Natural Science Foundation of Shandong Province, China [JQ200910, ZR2009DZ002]; Foundation for Young Excellent Scientists in Shandong Province, China [BS2010SW015]</t>
  </si>
  <si>
    <t>National Natural Science Foundation of China(National Natural Science Foundation of China (NSFC)); Hi-Tech Research and Development program of China(National High Technology Research and Development Program of China); pecial Fund of China for Marine-scientific Research in the Public Interest; Natural Science Foundation of Shandong Province, China(Natural Science Foundation of Shandong Province); Foundation for Young Excellent Scientists in Shandong Province, China</t>
  </si>
  <si>
    <t>The work was supported by the National Natural Science Foundation of China (31025001, 31070061, 31170055, 41106161, 41176130), Hi-Tech Research and Development program of China (2011AA090703, 2012AA092103), Special Fund of China for Marine-scientific Research in the Public Interest (201005032-6), Natural Science Foundation of Shandong Province, China (JQ200910, ZR2009DZ002), and Foundation for Young Excellent Scientists in Shandong Province, China (BS2010SW015).</t>
  </si>
  <si>
    <t>10.1099/ijs.0.042184-0</t>
  </si>
  <si>
    <t>138TU</t>
  </si>
  <si>
    <t>WOS:000318533700008</t>
  </si>
  <si>
    <t>Könneke, M; Kuever, J; Galushko, A; Jorgensen, BB</t>
  </si>
  <si>
    <t>Koenneke, Martin; Kuever, Jan; Galushko, Alexander; Jorgensen, Bo Barker</t>
  </si>
  <si>
    <t>Desulfoconvexum algidum gen. nov., sp nov., a psychrophilic sulfate-reducing bacterium isolated from a permanently cold marine sediment</t>
  </si>
  <si>
    <t>DESULFOBACTERIUM-PHENOLICUM; TEMPERATURE; REDUCTION; GROWTH; PROKARYOTES; PHYLOGENY; COMMUNITY; OXIDATION</t>
  </si>
  <si>
    <t>A sulfate-reducing bacterium, designated JHA1(T), was isolated from a permanently cold marine sediment sampled in an Artic fjord on the north-west coast of Svalbard. The isolate was originally enriched at 4 degrees C in a highly diluted liquid culture amended with hydrogen and sulfate. Strain JHA1(T) was a psychrophile, growing fastest between 14 and 16 degrees C and not growing above 20 degrees C. Fastest growth was found at neutral pH (pH 7.2-7.4) and at marine concentrations of NaCl (20-30 g l(-1)) Phylogenetic analysis of 16S rRNA gene sequences revealed that strain JHA1(T) was a member of the family Desulfobacteraceae in the Deltaproteobacteria. The isolate shared 99% 16S rRNA gene sequence similarity with an environmental sequence obtained from permanently cold Antarctic sediment. The closest recognized relatives were Desulfobacula phenolica DSM 3384(T) and Desulfobacula toluolica DSM 7467(T) (both &lt;95 % sequence similarity). In contrast to its closest phylogenetic relatives, strain JHA1(T) grew chemolithoautotrophically with hydrogen as an electron donor. CO dehydrogenase activity indicated the operation of the reductive acetyl-CoA pathway for inorganic carbon assimilation. Beside differences in physiology and morphology, strain JHA1(T) could be distinguished chemotaxonomically from the genus Desulfobacula by the absence of the cellular fatty acid C-16:0 10-methyl. Phylogenetic differentiation from other genera was further supported by DsrAB and AprBA sequence analysis. Based on the described phylogenetic and phenotypic differences between strain JHA1(T) and its closest relatives, the establishment of a novel genus and a novel species, Desulfoconvexum algidum gen. nov., sp. nov. is proposed. The type strain is JHA1(T) (=DSM 21856(T) =JCM 16085(T)).</t>
  </si>
  <si>
    <t>[Koenneke, Martin; Galushko, Alexander; Jorgensen, Bo Barker] Max Planck Inst Marine Mikrobiol, D-28359 Bremen, Germany; [Kuever, Jan] Bremen Inst Mat Testing, Bremen, Germany</t>
  </si>
  <si>
    <t>Könneke, M (corresponding author), Univ Bremen, Dept Geosci, Organ Geochem Grp, Bremen, Germany.</t>
  </si>
  <si>
    <t>koenneke@uni-bremen.de</t>
  </si>
  <si>
    <t>Kuever, Jan/AAB-4423-2022; Jorgensen, Bo Barker/C-2214-2013; Koenneke, Martin/E-6893-2013; Galushko, Alexander/I-4980-2015</t>
  </si>
  <si>
    <t>Kuever, Jan/0000-0002-7861-5174; Jorgensen, Bo Barker/0000-0001-9398-8027; Koenneke, Martin/0000-0001-6770-414X; Galushko, Alexander/0000-0002-0387-7997</t>
  </si>
  <si>
    <t>Max-Planck Society</t>
  </si>
  <si>
    <t>Max-Planck Society(Max Planck SocietyFoundation CELLEX)</t>
  </si>
  <si>
    <t>The authors are grateful to Michael Pilzen, Christina Probian and Ramona Appel for assistance in analytical procedures. The work was supported by the Max-Planck Society.</t>
  </si>
  <si>
    <t>10.1099/ijs.0.043703-0</t>
  </si>
  <si>
    <t>WOS:000318533700026</t>
  </si>
  <si>
    <t>Lodolo, E; Coren, F; Ben-Avraham, Z</t>
  </si>
  <si>
    <t>Lodolo, Emanuele; Coren, Franco; Ben-Avraham, Zvi</t>
  </si>
  <si>
    <t>How do long-offset oceanic transforms adapt to plate motion changes? The example of the Western Pacific-Antarctic plate boundary</t>
  </si>
  <si>
    <t>SHACKLETON FRACTURE-ZONE; MACQUARIE RIDGE COMPLEX; ELTANIN FAULT SYSTEM; ONTONG-JAVA PLATEAU; NEW-ZEALAND; RAPID CHANGE; AUSTRALIA; TECTONICS; SOUTH; REORGANIZATION</t>
  </si>
  <si>
    <t>Oceanic transform faults respond to changes in the direction of relative plate motion. Studies have shown that short-offset transforms generally adjust with slight bends near the ridge axis, while long-offset ones have a remarkably different behavior. The western Pacific-Antarctic plate boundary highlights these differences. A set of previously unpublished seismic profiles, in combination with magnetic anomaly identifications, shows how across a former, similar to 1250 km long transform (the Emerald Fracture Zone), plate motion changes have produced a complex geometric readjustment. Three distinct sections are recognized along this plate boundary: an eastern section, characterized by parallel, multiple fault strand lineaments; a central section, shallower than the rest of the ridge system, overprinted by a mantle plume track; and a western section, organized in a cascade of short spreading axes/transform lineaments. This configuration was produced by changes that occurred since 30 Ma in the Australia-Pacific relative plate motion, combined with a gradual clockwise change in Pacific-Antarctic plate motion. These events caused extension along the former Emerald Fracture Zone, originally linking the Pacific-Antarctic spreading ridge system with the Southeast Indian ridge. Then an intra-transform propagating ridge started to develop in response to a similar to 6 Ma change in the Pacific-Antarctic spreading direction. The close proximity of the Euler poles of rotation amplified the effects of the geometric readjustments that occurred along the transform system. This analysis shows that when a long-offset transform older than 20 Ma is pulled apart by changes in spreading velocity vectors, it responds with the development of multiple discrete, parallel fault strands, whereas in younger lithosphere, locally modified by thermal anisotropies, tensional stresses generate an array of spreading axes offset by closely spaced transforms. Citation: Lodolo, E., F. Coren, and Z. Ben-Avraham (2013), How do long-offset oceanic transforms adapt to plate motion changes? The example of the Western Pacific-Antarctic plate boundary, J. Geophys. Res. Solid Earth, 118, 1195-1202, doi: 10.1002/jgrb.50109.</t>
  </si>
  <si>
    <t>[Lodolo, Emanuele; Coren, Franco] Ist Nazl Oceanog &amp; Geofis Sperimentale OGS, Trieste, Italy; [Ben-Avraham, Zvi] Tel Aviv Univ, Dept Geophys &amp; Planetary Sci, Tel Aviv, Israel</t>
  </si>
  <si>
    <t>Istituto Nazionale di Oceanografia e di Geofisica Sperimentale; Tel Aviv University</t>
  </si>
  <si>
    <t>Lodolo, E (corresponding author), Ist Nazl Oceanog &amp; Geofis Sperimentale OGS, Trieste, Italy.</t>
  </si>
  <si>
    <t>elodolo@ogs.trieste.it</t>
  </si>
  <si>
    <t>COREN, Franco/0000-0002-7160-1001; LODOLO, Emanuele/0000-0002-4706-2095</t>
  </si>
  <si>
    <t>10.1002/jgrb.50109</t>
  </si>
  <si>
    <t>135FK</t>
  </si>
  <si>
    <t>WOS:000318273300031</t>
  </si>
  <si>
    <t>Correlation between the line width and the line flux of the double-peaked broad Hα of 3C390.3</t>
  </si>
  <si>
    <t>galaxies: active; galaxies: individual: 3C390.3; galaxies: nuclei; quasars: emission lines; galaxies: Seyfert</t>
  </si>
  <si>
    <t>ACTIVE GALACTIC NUCLEI; BLACK-HOLE MASSES; IONIZATION EMISSION-LINES; TERM PROFILE VARIABILITY; CROSS-CORRELATION LAGS; ACCRETION DISKS; LONG-TERM; 3C 390.3; BALMER EMISSION; REGION SIZES</t>
  </si>
  <si>
    <t>In this paper, we carefully check the correlation between the line width (second moment) and the line flux of the double-peaked broad H alpha of the well-known mapped active galactic nucleus (AGN) 3C390.3 in order to show some further distinctions between double-peaked emitters and normal broad-line AGN. Based on the virialization assumption M-BH proportional to R-BLR x V-2(BLR) and the empirical relation R-BLR proportional to L-similar to 0.5, one strong negative correlation between the line width and the line flux of the double-peaked broad lines should be expected for 3C390.3, such as the negative correlation confirmed for the mapped broad-line object NGC5548, R-BLR x V-2(BLR) proportional to L-similar to 0.5 x sigma(2) = constant. Moreover, based on the public spectra around 1995 from the AGN WATCH project for 3C390.3, one reliable positive correlation is found between the line width and the line flux of the double-peaked broad H alpha. In the context of the proposed theoretical accretion disc model for double-peaked emitters, the unexpected positive correlation can be naturally explained, due to different time delays for the inner and outer parts of the disc-like broad-line region (BLR) of 3C390.3. Moreover, the virialization assumption is checked and found to be still available for 3C390.3. However, the time-varying size of the BLR of 3C390.3 cannot be expected by the empirical relation R-BLR proportional to L-similar to 0.5. In other words, the mean size of the BLR of 3C390.3 can be estimated by the continuum luminosity (line luminosity), while the continuum emission strengthening leads to the size of BLR decreasing (not increasing) in different moments for 3C390.3. Then, we compared our results of 3C390.3 with the previous results reported in the literature for the other double-peaked emitters, and found that before to clearly correct the effects from disc physical parameters varying (such as the effects of disc precession) for long-term observed line spectra, it is not so meaningful to discuss the correlation of the line parameters of double-peaked broad lines. Furthermore, due to the probable 'external' ionizing source with so far unclear structures, it is hard to give one conclusion that the positive correlation between the line width and the line flux can be found for all double-peaked emitters, even after the considerations of disc physical parameters varying. However, once one positive correlation of broad-line parameters is found, the accretion disc origination of the broad line should be considered first.</t>
  </si>
  <si>
    <t>Zhang, XG (corresponding author), Chinese Acad Sci, Purple Mt Observ, 2 West Beijing Rd, Nanjing 210008, Jiangsu, Peoples R China.</t>
  </si>
  <si>
    <t>Chinese grant [NSFC-11003043]</t>
  </si>
  <si>
    <t>Chinese grant</t>
  </si>
  <si>
    <t>X-GZ gratefully acknowledges the anonymous referee for giving us constructive comments and suggestions to greatly improve our paper. X-GZ gratefully acknowledges the financial support from the Chinese grant NSFC-11003043, and thanks the project of AGNWATCH (http://www.astronomy.ohio-state.edu/similar to agnwatch/) to make us conveniently collect the spectra of 3C390.3 and NGC 5548.</t>
  </si>
  <si>
    <t>10.1093/mnras/sts496</t>
  </si>
  <si>
    <t>135ET</t>
  </si>
  <si>
    <t>WOS:000318271300030</t>
  </si>
  <si>
    <t>Di Vincenzo, G; Rossetti, F; Viti, C; Balsamo, F</t>
  </si>
  <si>
    <t>Di Vincenzo, Gianfranco; Rossetti, Federico; Viti, Cecilia; Balsamo, Fabrizio</t>
  </si>
  <si>
    <t>Constraining the timing of fault reactivation: Eocene coseismic slip along a Late Ordovician ductile shear zone (northern Victoria Land, Antarctica)</t>
  </si>
  <si>
    <t>GEOLOGICAL SOCIETY OF AMERICA BULLETIN</t>
  </si>
  <si>
    <t>TRANSANTARCTIC MOUNTAINS; FISSION-TRACK; ROSS SEA; FRICTION MELTS; OUTER HEBRIDES; RIFT SYSTEM; PSEUDOTACHYLYTE; AGE; GEOCHRONOLOGY; DIFFUSION</t>
  </si>
  <si>
    <t>The reactivation of faults and shear zones is a widely documented process and represents a fundamental characteristic of deformation in the continental lithosphere. The Ross Sea in Antarctica mainly owes its present-day configuration to an extended period of early Paleozoic subduction-related crustal accretion and the subsequent Mesozoic-Cenozoic tectonics of the West Antarctic Rift System. It thus represents an ideal setting in which to study reactivation processes. This study uses the 40Ar-39Ar laserprobe technique in conjunction with mesostructural, microtextural, and nanotextural analyses to unravel the style and timing of a newly discovered mylonite-pseudotachylyte association from the rift shoulder in northern Victoria Land of Antarctica. Pseudotachylyte-bearing fault rocks overprint a reverse ductile shear zone developed in a Cambrian granite, within an overall transpressional right-lateral kinematic scenario. In situ 40Ar-39Ar analyses of biotite from the mylonite mainly yielded ages of 460-440 Ma, suggesting that ductile shearing occurred during the early Paleozoic orogenic cycle. In contrast, in situ data on the pseudotachylyte matrix yielded scattered and much younger ages of ca. 120-66 Ma. Younger ages of ca. 50 Ma were derived from step-heating experiments on matrix specimens obtained through microtexturally controlled microsampling. Taking into account the possible effects of analytical artifacts due to sample irradiation and of Ar loss due to the ultrafine grain of the matrix, coseismic faulting is assigned to the middle Eocene. Results indicate a minimum 390 m.y. period of tectonic quiescence and prove that brittle reactivation occurred in response to a totally different stress regime. Regionally, the study confirms a post-early Eocene age for the activation and propagation of intraplate dextral strike-slip tectonics in Victoria Land.</t>
  </si>
  <si>
    <t>[Di Vincenzo, Gianfranco] CNR, Ist Geosci &amp; Georisorse, I-56124 Pisa, Italy; [Rossetti, Federico] Univ Roma Tre, Dipartimento Sci Geol, I-00146 Rome, Italy; [Viti, Cecilia] Univ Siena, Dipartimento Sci Terra, I-53100 Siena, Italy; [Balsamo, Fabrizio] Univ Parma, Dipartimento Sci Terra, I-43124 Parma, Italy</t>
  </si>
  <si>
    <t>Consiglio Nazionale delle Ricerche (CNR); Istituto di Geoscienze e Georisorse (IGG-CNR); Roma Tre University; University of Siena; University of Parma</t>
  </si>
  <si>
    <t>Di Vincenzo, G (corresponding author), CNR, Ist Geosci &amp; Georisorse, Via Moruzzi 1, I-56124 Pisa, Italy.</t>
  </si>
  <si>
    <t>g.divincenzo@igg.cnr.it</t>
  </si>
  <si>
    <t>Balsamo, Fabrizio/F-1674-2017</t>
  </si>
  <si>
    <t>Balsamo, Fabrizio/0000-0003-1931-466X; ROSSETTI, Federico/0000-0001-8071-7252; DI VINCENZO, GIANFRANCO/0000-0002-9669-9789</t>
  </si>
  <si>
    <t>Programma Nazionale di Ricerche in Antartide; Consiglio Nazionale delle Ricerche</t>
  </si>
  <si>
    <t>Programma Nazionale di Ricerche in Antartide(Ministry of Education, Universities and Research (MIUR)); Consiglio Nazionale delle Ricerche(Consiglio Nazionale delle Ricerche (CNR))</t>
  </si>
  <si>
    <t>We thank P. Scarlato and A. Cavallo (Istituto Nazio nale di Geofi sica e Vulcanologia, Rome) for providing access to and assistance with the fi eld emission scanning electron microscope (SEM) facility, respectively. G. Giorgetti (Dipartimento di Scienze della Terra, University of Siena) and A. Risplendente (Dipartimento di Scienze della Terra, University of Milano) are thanked for support during SEM investigation and electron microprobe analyses, respectively. C. J. Warren kindly made available the DIFFARG code. We are grateful to the reviewers R. E. Holdsworth and F. Jourdan for their constructive criticisms and comments, which greatly improved the original paper. Research was realized with the fi nancial support by Programma Nazionale di Ricerche in Antartide and coordination by Consiglio Nazionale delle Ricerche.</t>
  </si>
  <si>
    <t>0016-7606</t>
  </si>
  <si>
    <t>1943-2674</t>
  </si>
  <si>
    <t>GEOL SOC AM BULL</t>
  </si>
  <si>
    <t>Geol. Soc. Am. Bull.</t>
  </si>
  <si>
    <t>MAR-APR</t>
  </si>
  <si>
    <t>10.1130/B30670.1</t>
  </si>
  <si>
    <t>130IJ</t>
  </si>
  <si>
    <t>WOS:000317907000021</t>
  </si>
  <si>
    <t>Stillman, DE; MacGregor, JA; Grimm, RE</t>
  </si>
  <si>
    <t>Stillman, David E.; MacGregor, Joseph A.; Grimm, Robert E.</t>
  </si>
  <si>
    <t>The role of acids in electrical conduction through ice</t>
  </si>
  <si>
    <t>POLAR ICE; ANTARCTIC ICE; WEST ANTARCTICA; EAST ANTARCTICA; GROUNDING ZONE; CLIMATE-CHANGE; SULFURIC-ACID; METEORIC ICE; CORE; SHEETS</t>
  </si>
  <si>
    <t>Electrical conduction through meteoric polar ice is controlled by soluble impurities that originate mostly from sea salt, biomass burning, and volcanic eruptions. The strongest conductivity response is to acids, yet the mechanism causing this response has been unclear. Here we elucidate conduction mechanisms in ice using broadband dielectric spectroscopy of meteoric polar ice cores. We find that conduction through polycrystalline polar ice is consistent with Jaccard theory for migration of charged protonic point defects through single ice crystals, except that bulk DC conduction is impeded by grain boundaries. Neither our observations nor modeling using Archie's Law support the hypothesis that grain-boundary networks of unfrozen acids cause significant electrolytic conduction. Common electrical logs of ice cores (by electrical conductivity measurement [ECM] or dielectric profiling [DEP]) and the attenuation of radio waves in ice sheets thus respond to protonic point defects only. This response implies that joint interpretation of electrical and chemical logs can determine impurity partitioning between the lattice and grain boundaries or inclusions. For example, in the Greenland Ice Core Project (GRIP) ice core from central Greenland, on average more than half of the available lattice-soluble impurities (H+, Cl-, NH4(+)) create defects. Understanding this partitioning could help further resolve the nature of past changes in atmospheric chemistry.</t>
  </si>
  <si>
    <t>[Stillman, David E.; Grimm, Robert E.] Southwest Res Inst, Dept Space Studies, Boulder, CO 80302 USA; [MacGregor, Joseph A.] Univ Texas Austin, Inst Geophys, Austin, TX USA</t>
  </si>
  <si>
    <t>Southwest Research Institute; University of Texas System; University of Texas Austin</t>
  </si>
  <si>
    <t>Stillman, DE (corresponding author), Southwest Res Inst, Dept Space Studies, Boulder, CO 80302 USA.</t>
  </si>
  <si>
    <t>dstillman@boulder.swri.edu</t>
  </si>
  <si>
    <t>MacGregor, Joseph A/A-6746-2010</t>
  </si>
  <si>
    <t>Grimm, Robert/0000-0002-7588-1194</t>
  </si>
  <si>
    <t>Planetary Geology and Geophysics Program, National Aeronautics and Space Administration [NNX10AJ65G, NNX08AM92G]; NASA [98206, NNX10AJ65G, NNX08AM92G, 131790] Funding Source: Federal RePORTER</t>
  </si>
  <si>
    <t>Planetary Geology and Geophysics Program, National Aeronautics and Space Administration; NASA(National Aeronautics &amp; Space Administration (NASA))</t>
  </si>
  <si>
    <t>This work was supported by the Planetary Geology and Geophysics Program, National Aeronautics and Space Administration (grants NNX10AJ65G and NNX08AM92G). We thank the innumerable individuals who collected and first studied these ice cores, the U.S. National Ice Core Laboratory for providing the ice core samples, and D. D. Blankenship, K. L. Neal, and D. P. Winebrenner for valuable discussions. We also thank Associate Editor J. N. Bassis, S. A. Arcone, and two anonymous reviewers for constructive comments that improved the manuscript.</t>
  </si>
  <si>
    <t>10.1029/2012JF002603</t>
  </si>
  <si>
    <t>135ES</t>
  </si>
  <si>
    <t>WOS:000318271200001</t>
  </si>
  <si>
    <t>Wolovick, MJ; Bell, RE; Creyts, TT; Frearson, N</t>
  </si>
  <si>
    <t>Wolovick, Michael J.; Bell, Robin E.; Creyts, Timothy T.; Frearson, Nicholas</t>
  </si>
  <si>
    <t>Identification and control of subglacial water networks under Dome A, Antarctica</t>
  </si>
  <si>
    <t>ICE-SHEET; WEST ANTARCTICA; GAMBURTSEV MOUNTAINS; SATELLITE RADAR; EAST ANTARCTICA; LAKES; FLOW; INVENTORY; EVOLUTION; GLACIER</t>
  </si>
  <si>
    <t>Subglacial water in continental Antarctica forms by melting of basal ice due to geothermal or frictional heating. Subglacial networks transport the water from melting areas and can facilitate sliding by the ice sheet over its bed. Subglacial water flow is driven mainly by gradients in overburden pressure and bed elevation. We identify small (median 850 m) water bodies within the Gamburtsev Subglacial Mountains in East Antarctica organized into long (20-103 km) coherent drainage networks using a dense (5 km) grid of airborne radar data. The individual water bodies are smaller on average than the water bodies contained in existing inventories of Antarctic subglacial water and most are smaller than the mean ice thickness of 2.5 km, reflecting a focusing of basal water by rugged topography. The water system in the Gamburtsev Subglacial Mountains reoccupies a system of alpine overdeepenings created by valley glaciers in the early growth phase of the East Antarctic Ice Sheet. The networks follow valley floors either uphill or downhill depending on the gradient of the ice sheet surface. In cases where the networks follow valley floors uphill they terminate in or near plumes of freeze-on ice, indicating source to sink transport within the basal hydrologic system. Because the ice surface determines drainage direction within the bed-constrained network, the system is bed-routed but surface-directed. Along-flow variability in the structure of the freeze-on plumes suggests variability in the networks on long (10s of ka) timescales, possibly indicating changes in the basal thermal state.</t>
  </si>
  <si>
    <t>[Wolovick, Michael J.; Bell, Robin E.; Creyts, Timothy T.; Frearson, Nicholas] Columbia Univ, Lamont Doherty Earth Observ, Palisades, NY 10964 USA</t>
  </si>
  <si>
    <t>Columbia University</t>
  </si>
  <si>
    <t>Wolovick, MJ (corresponding author), Columbia Univ, Lamont Doherty Earth Observ, POB 1000,61 Route 9W, Palisades, NY 10964 USA.</t>
  </si>
  <si>
    <t>mwolovic@ldeo.columbia.edu</t>
  </si>
  <si>
    <t>Wolovick, Michael/JZE-0247-2024</t>
  </si>
  <si>
    <t>Wolovick, Michael/0000-0002-9345-7039; Creyts, Timothy/0000-0003-1756-5211</t>
  </si>
  <si>
    <t>NSF OPP awards [ANT-0632292, ANT-0537752, ANT-0636584]</t>
  </si>
  <si>
    <t>NSF OPP awards</t>
  </si>
  <si>
    <t>We thank all field participants in the AGAP project for their hard work under difficult conditions. Kirsty Langley, Roger Buck, and Daniel Fischel provided insightful comments on earlier versions of the manuscript. This work was funded through NSF OPP awards ANT-0632292, ANT-0537752, and ANT-0636584.</t>
  </si>
  <si>
    <t>10.1029/2012JF002555</t>
  </si>
  <si>
    <t>WOS:000318271200011</t>
  </si>
  <si>
    <t>Akba, O; Kilinc, E; Aydin, I; Erdogan, S; Aydin, F; Duz, MZ; Hamamci, C</t>
  </si>
  <si>
    <t>Akba, Osman; Kilinc, Ersin; Aydin, Isil; Erdogan, Sait; Aydin, Firat; Duz, M. Zahir; Hamamci, Candan</t>
  </si>
  <si>
    <t>Major and Trace Element Contamination of Short-Term Snow Cover During and After a Dust Storm and Analysis by ICP-OES</t>
  </si>
  <si>
    <t>ATOMIC SPECTROSCOPY</t>
  </si>
  <si>
    <t>HEAVY-METALS; PARTICULATE MATTER; PHOSPHORUS SPECIATION; ANTARCTIC SNOW; AIR-POLLUTION; SURFACE SNOW; STREET DUST; ATMOSPHERE; PARTICLES; DIYARBAKIR</t>
  </si>
  <si>
    <t>The levels of major and trace elements are key data for evaluating the toxicity of potential particulate matter and for identifying pollution sources. From this point of view, snow is considered an ideal matrix to observe deposition from the atmosphere due to environmental and anthropogenic activities. This work has demonstrated that major and trace element levels of Al, As, Cd, Co, Cr, Cu, Fe, Mn, Mo, Ni, Pb, Sb, Se, Sn, and Zn were found in snow precipitation sampled during and after a dust storm in and around Diyarbakir city, SE Anatolia, Turkey. A simple methodological approach consisting of surface snow sampling and analysis by ICP-OES provides information about the spatial distribution and temporal evolution of atmospheric precipitation. The concentrations of toxic metals were found at high levels and are therefore a threat to human health. In particular, the concentrations for Fe and Al were significantly higher than for the other elements.</t>
  </si>
  <si>
    <t>[Akba, Osman; Kilinc, Ersin; Aydin, Isil; Erdogan, Sait; Aydin, Firat; Duz, M. Zahir; Hamamci, Candan] Dicle Univ, Fac Sci, Dept Chem, TR-21280 Diyarbakir, Turkey</t>
  </si>
  <si>
    <t>Dicle University</t>
  </si>
  <si>
    <t>Aydin, F (corresponding author), Dicle Univ, Fac Sci, Dept Chem, TR-21280 Diyarbakir, Turkey.</t>
  </si>
  <si>
    <t>faydin@dicle.edu.tr</t>
  </si>
  <si>
    <t>Kilinc, Ersin/L-7187-2015</t>
  </si>
  <si>
    <t>Kilinc, Ersin/0000-0001-5223-9919</t>
  </si>
  <si>
    <t>ATOMIC SPECTROSCOPY PRESS LTD</t>
  </si>
  <si>
    <t>KWAI CHUNG</t>
  </si>
  <si>
    <t>FLAT H29, 1-F, PHASE 2 KWAI SHING IND BLDG, NO 42-46 TAI LIN PAI RD, KWAI CHUNG, KWAI TSING, HONG KONG</t>
  </si>
  <si>
    <t>0195-5373</t>
  </si>
  <si>
    <t>2708-521X</t>
  </si>
  <si>
    <t>ATOM SPECTROSC</t>
  </si>
  <si>
    <t>Atom. Spectrosc.</t>
  </si>
  <si>
    <t>10.46770/AS.2013.02.002</t>
  </si>
  <si>
    <t>Spectroscopy</t>
  </si>
  <si>
    <t>135CQ</t>
  </si>
  <si>
    <t>WOS:000318264000002</t>
  </si>
  <si>
    <t>Holbourn, A; Kuhnt, W; Frank, M; Haley, BA</t>
  </si>
  <si>
    <t>Holbourn, Ann; Kuhnt, Wolfgang; Frank, Martin; Haley, Brian A.</t>
  </si>
  <si>
    <t>Changes in Pacific Ocean circulation following the Miocene onset of permanent Antarctic ice cover</t>
  </si>
  <si>
    <t>benthic stable isotopes; Nd isotopes; Pacific Ocean circulation; middle Miocene</t>
  </si>
  <si>
    <t>NEODYMIUM ISOTOPIC COMPOSITION; TOTAL GEOSTROPHIC CIRCULATION; CENTRAL-AMERICAN SEAWAY; DEEP-WATER; SOUTHERN-OCEAN; NORTH PACIFIC; ND ISOTOPES; PB ISOTOPES; THERMOHALINE CIRCULATION; INTERMEDIATE WATER</t>
  </si>
  <si>
    <t>We integrate micropaleontological and geochemical records (benthic stable isotopes, neodymium isotopes, benthic foraminiferal abundances and XRF-scanner derived elemental data) from well-dated Pacific Ocean successions (15-12.7 Ma) to monitor circulation changes during the middle Miocene transition into a colder climate mode with permanent Antarctic ice cover. Together with previously published records, our results show improvement in deep water ventilation and strengthening of the meridional overturning circulation following major ice expansion at similar to 13.9 Ma. Neodymium isotope data reveal, however, that the provenance of intermediate and deep water masses did not change markedly between 15 and 12.7 Ma. We attribute the increased delta C-13 gradient between Pacific deep and intermediate water masses between similar to 13.6 and 12.7 Ma to more vigorous entrainment of Pacific Central Water into the wind-driven ocean circulation due to enhanced production of intermediate and deep waters in the Southern Ocean. Prominent 100 kyr ventilation cycles after 13.9 Ma reveal that the deep Pacific remained poorly ventilated during warmer intervals at high eccentricity, whereas colder periods (low eccentricity) were characterized by a more vigorous meridional overturning circulation with enhanced carbonate preservation. The long-term delta C-13 decline in Pacific intermediate and deep water sites between 13.5 and 12.7 Ma reflects a global trend, probably related to a re-adjustment response of the global carbon cycle following the last 400 kyr carbon maximum (CM6) of the Monterey Excursion. (C) 2013 Elsevier B.V. All rights reserved.</t>
  </si>
  <si>
    <t>[Holbourn, Ann; Kuhnt, Wolfgang] Univ Kiel, Inst Geosci, D-24118 Kiel, Germany; [Frank, Martin; Haley, Brian A.] GEOMAR Helmholtz Ctr Ocean Res Kiel, D-24148 Kiel, Germany; [Haley, Brian A.] Oregon State Univ, Corvallis, OR 97331 USA</t>
  </si>
  <si>
    <t>University of Kiel; Helmholtz Association; GEOMAR Helmholtz Center for Ocean Research Kiel; Oregon State University</t>
  </si>
  <si>
    <t>Holbourn, A (corresponding author), Univ Kiel, Inst Geosci, Olshaussenstr 40, D-24118 Kiel, Germany.</t>
  </si>
  <si>
    <t>ah@gpi.uni-kiel.de</t>
  </si>
  <si>
    <t>Frank, Martin/0000-0002-8606-4421; Holbourn, Ann/0000-0002-3167-0862; Haley, Brian/0000-0003-2879-8117</t>
  </si>
  <si>
    <t>Deutsche Forschungsgemeinschaft [Ku649/27]</t>
  </si>
  <si>
    <t>This research used samples provided by the Ocean Drilling Program (ODP) and was funded by the Deutsche Forschungsgemeinschaft (Grant Ku649/27). We thank Folkmar Hauff for smooth operation of the TIMS facility at GEOMAR, Ulla Rohl for advice regarding XRF scanning and Nils Andersen for isotope measurements. We are also very grateful to the editor Gideon Henderson and to two anonymous referees for insightful, constructive comments.</t>
  </si>
  <si>
    <t>MAR 1</t>
  </si>
  <si>
    <t>10.1016/j.epsl.2013.01.020</t>
  </si>
  <si>
    <t>133HR</t>
  </si>
  <si>
    <t>WOS:000318130000005</t>
  </si>
  <si>
    <t>Petrenko, VV; Severinghaus, JP; Smith, AM; Riedel, K; Baggenstos, D; Harth, C; Orsi, A; Hua, Q; Franz, P; Takeshita, Y; Brailsford, GW; Weiss, RF; Buizert, C; Dickson, A; Schaefer, H</t>
  </si>
  <si>
    <t>Petrenko, Vasilii V.; Severinghaus, Jeffrey P.; Smith, Andrew M.; Riedel, Katja; Baggenstos, Daniel; Harth, Christina; Orsi, Anais; Hua, Quan; Franz, Peter; Takeshita, Yui; Brailsford, Gordon W.; Weiss, Ray F.; Buizert, Christo; Dickson, Andrew; Schaefer, Hinrich</t>
  </si>
  <si>
    <t>High-precision 14C measurements demonstrate production of in situ cosmogenic 14CH4 and rapid loss of in situ cosmogenic 14CO in shallow Greenland firn</t>
  </si>
  <si>
    <t>radiocarbon; ice core; cosmogenic; firn; methane; carbon monoxide</t>
  </si>
  <si>
    <t>LAST GLACIAL TERMINATION; ICE-CORE; POLAR ICE; LAW DOME; ABLATION RATES; SOLAR-ACTIVITY; ANTARCTIC ICE; RADIOCARBON; METHANE; RECORD</t>
  </si>
  <si>
    <t>Measurements of radiocarbon (C-14) in carbon dioxide (CO2), methane (CH4) and carbon monoxide (CO) from glacial ice are potentially useful for absolute dating of ice cores, studies of the past atmospheric CH4 budget and for reconstructing the past cosmic ray flux and solar activity. Interpretation of C-14 signals in ice is complicated by the fact that the two major C-14 components-trapped atmospheric and in situ cosmogenic-are present in a combined form, as well as by a very limited understanding of the in situ component. This study measured (CH4)-C-14 and (CO)-C-14 content in glacial firn with unprecedented precision to advance understanding of the in situ C-14 component. (CH4)-C-14 and (CO)-C-14 were melt-extracted on site at Summit, Greenland from three very large (similar to 1000 kg each) replicate samples of firn that spanned a depth range of 3.6-5.6 m. Non-cosmogenic C-14 contributions were carefully characterized through simulated extractions and a suite of supporting measurements. In situ cosmogenic (CO)-C-14 was quantified to better than +/- 0.6 molecules g(-1) ice, improving on the precision of the best prior ice (CO)-C-14 measurements by an order of magnitude. The (CO)-C-14 measurements indicate that most (&gt;99%) of the in situ cosmogenic C-14 is rapidly lost from shallow Summit firn to the atmosphere. Despite this rapid C-14 loss, our measurements successfully quantified (CH4)-C-14 in the retained fraction of cosmogenic C-14 (to +/- 0.01 molecules g(-1) ice or better), and demonstrate for the first time that a significant amount of (CH4)-C-14 is produced by cosmic rays in natural ice. This conclusion increases the confidence in the results of an earlier study that used measurements of (CH4)-C-14 in glacial ice to show that wetlands were the likely main driver of the large and rapid atmospheric CH4 increase approximately 1 1.6 kyr ago. (C) 2013 Elsevier B.V. All rights reserved.</t>
  </si>
  <si>
    <t>[Petrenko, Vasilii V.] Univ Rochester, Dept Earth &amp; Environm Sci, Rochester, NY 14627 USA; [Petrenko, Vasilii V.] Univ Colorado, Inst Arctic &amp; Alpine Res INSTAAR, Boulder, CO 80309 USA; [Petrenko, Vasilii V.; Severinghaus, Jeffrey P.; Baggenstos, Daniel; Harth, Christina; Orsi, Anais; Takeshita, Yui; Weiss, Ray F.; Dickson, Andrew] Univ Calif San Diego, Scripps Inst Oceanog, La Jolla, CA 92093 USA; [Smith, Andrew M.; Hua, Quan] Australian Nucl Sci &amp; Technol Org, Kirrawee DC, NSW 2232, Australia; [Riedel, Katja; Franz, Peter; Brailsford, Gordon W.; Schaefer, Hinrich] Natl Inst Water &amp; Atmospher Res Ltd NIWA, Wellington, New Zealand; [Buizert, Christo] Univ Copenhagen, Niels Bohr Inst, Ctr Ice &amp; Climate, DK-2100 Copenhagen, Denmark</t>
  </si>
  <si>
    <t>University of Rochester; University of Colorado System; University of Colorado Boulder; University of California System; University of California San Diego; Scripps Institution of Oceanography; Australian Nuclear Science &amp; Technology Organisation; National Institute of Water &amp; Atmospheric Research (NIWA) - New Zealand; University of Copenhagen; Niels Bohr Institute</t>
  </si>
  <si>
    <t>Petrenko, VV (corresponding author), Univ Rochester, Dept Earth &amp; Environm Sci, 227 Hutchison Hall, Rochester, NY 14627 USA.</t>
  </si>
  <si>
    <t>vpetrenk@z.rochester.edu</t>
  </si>
  <si>
    <t>Hua, Quan/F-9593-2014; Takeshita, Yuichiro/M-2405-2013; Takeshita, Yuichiro/HNP-5848-2023; , Andrew/HLX-8550-2023; Baggenstos, Daniel/AAK-5751-2021; Dickson, Andrew Gilmore/HPE-2168-2023</t>
  </si>
  <si>
    <t>Baggenstos, Daniel/0000-0001-9756-6884; Smith, Andrew/0000-0002-9193-2617; Petrenko, Vasilii/0000-0002-0263-8759; Schaefer, Hinrich/0000-0002-1163-2818; Buizert, Christo/0000-0002-2227-1747</t>
  </si>
  <si>
    <t>NSF OPP [0806450]; NOAA Climate and Global Change Postdoctoral Fellowships; New Zealand Ministry for Science and Innovation [C01X0703]; Office of Polar Programs (OPP); Directorate For Geosciences [0806450, 1204084, 0839031] Funding Source: National Science Foundation; Office Of The Director; Office Of Internatl Science &amp;Engineering [0968391] Funding Source: National Science Foundation</t>
  </si>
  <si>
    <t>NSF OPP(National Science Foundation (NSF)NSF - Directorate for Geosciences (GEO)); NOAA Climate and Global Change Postdoctoral Fellowships(National Oceanic Atmospheric Admin (NOAA) - USA); New Zealand Ministry for Science and Innovation; Office of Polar Programs (OPP); Directorate For Geosciences(National Science Foundation (NSF)NSF - Directorate for Geosciences (GEO)); Office Of The Director; Office Of Internatl Science &amp;Engineering(National Science Foundation (NSF)NSF - Office of the Director (OD))</t>
  </si>
  <si>
    <t>This work was supported by NSF OPP award 0806450 (Severinghaus), NOAA Climate and Global Change Postdoctoral Fellowships (Petrenko, Buizert) and New Zealand Ministry for Science and Innovation contract C01X0703 (Brailsford, Franz, Riedel, Schaefer). We thank James White for hosting Petrenko at INSTAAR, Mary Albert and Zoe Courville for sharing their unpublished Summit firn density data, CH2MHILL and 109th Air National Guard for excellent field logistical support, and Ross Beaudette for help with field preparations and testing. We thank Guy Emanuele and Ralph Keeling for extracting CO2 from sample air aliquots.</t>
  </si>
  <si>
    <t>10.1016/j.epsl.2013.01.032</t>
  </si>
  <si>
    <t>WOS:000318130000018</t>
  </si>
  <si>
    <t>Thomson, SN; Reiners, PW; Hemming, SR; Gehrels, GE</t>
  </si>
  <si>
    <t>Thomson, Stuart N.; Reiners, Peter W.; Hemming, Sidney R.; Gehrels, George E.</t>
  </si>
  <si>
    <t>The contribution of glacial erosion to shaping the hidden landscape of East Antarctica</t>
  </si>
  <si>
    <t>PRINCE-CHARLES-MOUNTAINS; ICE-SHEET; THERMAL HISTORY; LAMBERT GRABEN; EVOLUTION; APATITE; THERMOCHRONOLOGY; UPLIFT</t>
  </si>
  <si>
    <t>The subglacial topography in East Antarctica has been revealed by airborne radar surveys(1-3). However, how this ice-hidden landscape has evolved over time is less well known(4-12). Low pre-glacial erosion rates since the Permian period have been reported(12), challenging arguments for enhanced erosion during the Cretaceous period(4,6). Herewe present a record of long-term East Antarctic erosion by applying multiple dating techniques to over 1,400 detrital mineral grains from onshore moraines and offshore sediments of Cretaceous to Quaternary age in the region of Lambert Glacier and Prydz Bay. Ages from pre-glacial sediments support overall low erosion rates before the expansion of the ice sheet, apart from a discrete interval of magmatic heating about 115 Myr ago that is inconsistent with widespread Cretaceous erosion. We find a shift towards younger and broader age distributions since similar to 34 Myr ago that necessitates spatially localized erosion of over 2 km in the Lambert Glacier catchment over this time. We infer that the trough containing Lambert Glacier was incised almost entirely by selective glacial erosion following initial expansion of the East Antarctic ice sheet. This implies that the early ice sheet was dynamic with ice flow concentrated along fixed ice streams.</t>
  </si>
  <si>
    <t>[Thomson, Stuart N.; Reiners, Peter W.; Gehrels, George E.] Univ Arizona, Dept Geosci, Tucson, AZ 85271 USA; [Hemming, Sidney R.] Columbia Univ, Dept Earth &amp; Environm Sci, Palisades, NY 10964 USA; [Hemming, Sidney R.] Columbia Univ, Lamont Doherty Earth Observ, Palisades, NY 10964 USA</t>
  </si>
  <si>
    <t>University of Arizona; Columbia University; Columbia University</t>
  </si>
  <si>
    <t>Thomson, SN (corresponding author), Univ Arizona, Dept Geosci, Tucson, AZ 85271 USA.</t>
  </si>
  <si>
    <t>thomson@email.arizona.edu</t>
  </si>
  <si>
    <t>Thomson, Stuart N/IZE-4354-2023; Thomson, Stuart N/A-1222-2009</t>
  </si>
  <si>
    <t>Thomson, Stuart N/0000-0003-4331-5654; Hemming, Sidney/0000-0001-8117-2303</t>
  </si>
  <si>
    <t>NSF [ANT 0838722]; Directorate For Geosciences; Division Of Earth Sciences [1032156] Funding Source: National Science Foundation; Division Of Earth Sciences; Directorate For Geosciences [0732380] Funding Source: National Science Foundation</t>
  </si>
  <si>
    <t>NSF(National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</si>
  <si>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This work was supported by NSF Polar Programs award ANT 0838722. We thank D. Harwood for supplying samples from the Pagodroma Group, E. Pierce and T. Williams for help with data compilation, L. Hill and P. Gou for help with sample preparation, U. Chowdhury and S. Nicolescu for (U-Th)/He analytical assistance, and M. Pecha and the Arizona LaserChron Center staff for support with U-Pb analysis.</t>
  </si>
  <si>
    <t>10.1038/ngeo1722</t>
  </si>
  <si>
    <t>117IC</t>
  </si>
  <si>
    <t>WOS:000316945800021</t>
  </si>
  <si>
    <t>Ohshima, KI; Fukamachi, Y; Williams, GD; Nihashi, S; Roquet, F; Kitade, Y; Tamura, T; Hirano, D; Herraiz-Borreguero, L; Field, I; Hindell, M; Aoki, S; Wakatsuchi, M</t>
  </si>
  <si>
    <t>Ohshima, Kay I.; Fukamachi, Yasushi; Williams, Guy D.; Nihashi, Sohey; Roquet, Fabien; Kitade, Yujiro; Tamura, Takeshi; Hirano, Daisuke; Herraiz-Borreguero, Laura; Field, Iain; Hindell, Mark; Aoki, Shigeru; Wakatsuchi, Masaaki</t>
  </si>
  <si>
    <t>Antarctic BottomWater production by intense sea-ice formation in the Cape Darnley polynya</t>
  </si>
  <si>
    <t>WATER FORMATION; SOUTHERN-OCEAN; WEDDELL SEA; PRYDZ BAY; FORMATION RATES; DEEP; SHELF; VARIABILITY; CIRCULATION; EXPORT</t>
  </si>
  <si>
    <t>The formation of Antarctic Bottom Water-the cold, dense water that occupies the abyssal layer of the global ocean-is a key process in global ocean circulation. This water mass is formed as dense shelf water sinks to depth. Three regions around Antarctica where this process takes place have been previously documented. The presence of another source has been identified in hydrographic and tracer data, although the site of formation is not well constrained. Here we document the formation of dense shelf water in the Cape Darnley polynya (65 degrees -69 degrees E) and its subsequent transformation into bottom water using data from moorings and instrumented elephant seals (Mirounga leonina). Unlike the previously identified sources of Antarctic Bottom Water, which require the presence of an ice shelf or a large storage volume, bottom water production at the Cape Darnley polynya is driven primarily by the flux of salt released by sea-ice formation. We estimate that about 0.3-0.7 x 10(6) m(3) s(-1) of dense shelf water produced by the Cape Darnley polynya is transformed into Antarctic BottomWater. The transformation of this water mass, which we term Cape Darnley BottomWater, accounts for 6-13% of the circumpolar total.</t>
  </si>
  <si>
    <t>[Ohshima, Kay I.; Fukamachi, Yasushi; Aoki, Shigeru; Wakatsuchi, Masaaki] Hokkaido Univ, Inst Low Temp Sci, Sapporo, Hokkaido 0600819, Japan; [Williams, Guy D.; Herraiz-Borreguero, Laura] Univ Tasmania, Antarctic Climate &amp; Ecosyst Cooperat Res Ctr, Hobart, Tas 7001, Australia; [Nihashi, Sohey] Tomakomai Natl Coll Technol, Tomakomai 0591275, Japan; [Roquet, Fabien] Stockholm Univ, Dept Meteorol, S-10691 Stockholm, Sweden; [Kitade, Yujiro; Hirano, Daisuke] Tokyo Univ Marine Sci &amp; Technol, Tokyo 1088477, Japan; [Tamura, Takeshi] Natl Inst Polar Res, Tachikawa, Tokyo 1908518, Japan; [Field, Iain] Macquarie Univ, Grad Sch Environm, N Ryde, NSW 2109, Australia; [Hindell, Mark] Univ Tasmania, Inst Marine &amp; Antarctic Studies, Hobart, Tas 7001, Australia</t>
  </si>
  <si>
    <t>Hokkaido University; Antarctic Climate &amp; Ecosystems Cooperative Research Centre (ACE CRC); University of Tasmania; Stockholm University; Tokyo University of Marine Science &amp; Technology; Research Organization of Information &amp; Systems (ROIS); National Institute of Polar Research (NIPR) - Japan; Macquarie University; University of Tasmania</t>
  </si>
  <si>
    <t>Ohshima, KI (corresponding author), Hokkaido Univ, Inst Low Temp Sci, Sapporo, Hokkaido 0600819, Japan.</t>
  </si>
  <si>
    <t>ohshima@lowtem.hokudai.ac.jp</t>
  </si>
  <si>
    <t>Roquet, Fabien/D-4848-2013; Hindell, Mark A/K-1131-2013; Ohshima, Kay I/D-6909-2012; Fukamachi, Yasushi/D-1895-2012; Field, Iain C/D-3934-2009; Hirano, Daisuke/P-3963-2019; Roquet, Fabien/N-3221-2019; KITADE, Yujiro/O-1912-2014; Aoki, Shigeru/D-9105-2012; Herraiz-Borreguero, Laura/D-5795-2015</t>
  </si>
  <si>
    <t>Fukamachi, Yasushi/0000-0001-5798-9380; Roquet, Fabien/0000-0003-1124-4564; KITADE, Yujiro/0000-0002-9312-6870; Herraiz-Borreguero, Laura/0000-0002-4455-801X; Hindell, Mark/0000-0002-7823-7185</t>
  </si>
  <si>
    <t>Ministry of Education, Culture, Sports, Science and Technology in Japan [20221001, 20540419, 21740337, 23340135]; Australian Government's Cooperative Research Centres Programme through the Antarctic Climate &amp; Ecosystem Cooperative Research Centre; Grants-in-Aid for Scientific Research [23340135, 21740337, 24810030, 20540419, 21310002, 22221001, 20221001, 23310003] Funding Source: KAKEN</t>
  </si>
  <si>
    <t>Ministry of Education, Culture, Sports, Science and Technology in Japan(Ministry of Education, Culture, Sports, Science and Technology, Japan (MEXT)); Australian Government's Cooperative Research Centres Programme through the Antarctic Climate &amp; Ecosystem Cooperative Research Centre(Australian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</si>
  <si>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We are deeply indebted to the officers, crew and scientists on board TR/V Umitaka-maru and R/V Hakuho-maru for their help with field observations. Comments by R. A. Massom and support from K. Shimada and K. Kitagawa were helpful. The AMSR-E and SSM/I data were provided by the National Snow and Ice Data Center (NSIDC), University of Colorado. The ASAR data were provided by European Space Agency. IMOS seal CTD data were provided through the Australian Animal Tracking and Monitoring System, a facility of Integrated Marine Observing System. Isles Kerguelen deployments were supported by the French Spatial Agency (CNES) and the French Polar Institute (IPEV). This work was supported by Grants-in-Aids for Scientific Research (20221001, 20540419, 21740337, 23340135) of the Ministry of Education, Culture, Sports, Science and Technology in Japan, and the Australian Government's Cooperative Research Centres Programme through the Antarctic Climate &amp; Ecosystem Cooperative Research Centre.</t>
  </si>
  <si>
    <t>10.1038/NGEO1738</t>
  </si>
  <si>
    <t>WOS:000316945800027</t>
  </si>
  <si>
    <t>Zhong, Z; Li, F; Yan, JG; Shao, XY; Ke, BG</t>
  </si>
  <si>
    <t>Zhong Zhen; Li Fei; Yan Jian-Guo; Shao Xian-Yuan; Ke Bao-Gui</t>
  </si>
  <si>
    <t>Localized gravity/topography admittance and correlation analysis of recent lunar gravity field models</t>
  </si>
  <si>
    <t>Gravity Field; Topography; Admittance; Correlation</t>
  </si>
  <si>
    <t>MOON; THICKNESS</t>
  </si>
  <si>
    <t>Based on the high degree lunar gravity field models LP150Q, GLGM-3 and SGM150j and Chang' E topography model CLTM-s01, the localized gravity/topography admittance and correlation for various gravity field models within an axisymmetric window of fixed widths in the spectral domain are studied. Localized gravity/topography admittance and correlation for some typical mascon basins are also investigated. The results firstly show that the power spectra of the lunar gravity field from medium- to high-frequency can be increased after adding the lunar farside gravity field data. Moreover, all the models are appropriate for localized gravity/topography admittance and correlation analysis on the near side of the moon, which indicates that all the models can be used to estimate the localized geophysical parameters on the nearside. As to estimation of localized geophysical parameters on the farside, however, SGM150j is quite suitable. Finally, there is more mass anomaly in the main mascon basins on the nearside than those on the farside and such mass anomaly comes deeper than that on the farside.</t>
  </si>
  <si>
    <t>[Zhong Zhen; Li Fei; Yan Jian-Guo; Shao Xian-Yuan] State Key Lab Informat Engn Surveying Mapping &amp; R, Wuhan 430079, Peoples R China; [Li Fei] Chinese Antarctic Ctr Surveying &amp; Mapping, Wuhan 430079, Peoples R China; [Ke Bao-Gui] Chinese Acad Surveying &amp; Mapping, Beijing 100830, Peoples R China</t>
  </si>
  <si>
    <t>Chinese Academy of Surveying &amp; Mapping</t>
  </si>
  <si>
    <t>Zhong, Z (corresponding author), State Key Lab Informat Engn Surveying Mapping &amp; R, Wuhan 430079, Peoples R China.</t>
  </si>
  <si>
    <t>zhenzhongmail@163.com; fli@whu.edu.cn</t>
  </si>
  <si>
    <t>LI, MINGZE/KEI-2317-2024</t>
  </si>
  <si>
    <t>Yan, Jianguo/0000-0003-2612-4776</t>
  </si>
  <si>
    <t>10.6038/cjg20130307</t>
  </si>
  <si>
    <t>120KM</t>
  </si>
  <si>
    <t>WOS:000317169200007</t>
  </si>
  <si>
    <t>Gosling, SN</t>
  </si>
  <si>
    <t>Gosling, Simon N.</t>
  </si>
  <si>
    <t>The likelihood and potential impact of future change in the large-scale climate-earth system on ecosystem services</t>
  </si>
  <si>
    <t>Ecosystem services; Climate change; Impact; Review; Sea level rise; Ocean acidification; Amazonia dieback; Water security; Monsoon; THC and AMOC collapse</t>
  </si>
  <si>
    <t>SEA-LEVEL RISE; MERIDIONAL OVERTURNING CIRCULATION; ASIAN SUMMER MONSOON; THERMOHALINE CIRCULATION; ENVIRONMENTAL-CHANGE; MODEL SIMULATIONS; ATMOSPHERIC CO2; CARBON STORAGE; POLAR BEARS; CORAL-REEFS</t>
  </si>
  <si>
    <t>This article reviews the level of current scientific understanding regarding the impact of future change in the large-scale climate-earth system on ecosystem services. Impacts from sea level rise, ocean acidification, increases in ocean temperature, potential collapse of the thermohaline circulation; failure of the South Asia monsoon; the melting of sea ice, the Greenland Ice Sheet and the West Antarctic Ice Sheet; changes in water availability; and Amazonia forest dieback, are considered. The review highlights that while a number of uncertainties remain in understanding, there is evidence to suggest that climate change may have already affected some ecosystem services. Furthermore, there is considerable evidence to show that future climate change could have impacts on biodiversity, as well as secondary impacts on issues important to human society, including; habitability; land productivity and food security; water security; and potential economic impacts. (C) 2012 Elsevier Ltd. All rights reserved.</t>
  </si>
  <si>
    <t>Univ Nottingham, Sch Geog, Nottingham NG7 2RD, England</t>
  </si>
  <si>
    <t>University of Nottingham</t>
  </si>
  <si>
    <t>Gosling, SN (corresponding author), Univ Nottingham, Sch Geog, Nottingham NG7 2RD, England.</t>
  </si>
  <si>
    <t>simon.gosling@nottingham.ac.uk</t>
  </si>
  <si>
    <t>Gosling, Simon/A-3013-2012</t>
  </si>
  <si>
    <t>Gosling, Simon/0000-0001-5973-6862</t>
  </si>
  <si>
    <t>S15</t>
  </si>
  <si>
    <t>S31</t>
  </si>
  <si>
    <t>10.1016/j.envsci.2012.03.011</t>
  </si>
  <si>
    <t>123FB</t>
  </si>
  <si>
    <t>WOS:000317372700003</t>
  </si>
  <si>
    <t>Scopelliti, G; Bellanca, A; Monien, D; Kuhn, G</t>
  </si>
  <si>
    <t>Scopelliti, Giovanna; Bellanca, Adriana; Monien, Donata; Kuhn, Gerhard</t>
  </si>
  <si>
    <t>Chemostratigraphy of the early Pliocene diatomite interval from MIS AND-1B core (Antarctica): Palaeoenvironment implications</t>
  </si>
  <si>
    <t>biogenic opal; element geochemistry; palaeoenvironment</t>
  </si>
  <si>
    <t>DEEP-SEA SEDIMENT; CONTINENTAL-MARGIN; DOLOMITE PRECIPITATION; EQUATORIAL PACIFIC; AUTHIGENIC BARITE; SULFATE REDUCTION; MARINE-SEDIMENTS; SOUTHERN-OCEAN; MCMURDO SOUND; TRACE-METALS</t>
  </si>
  <si>
    <t>The AND-1B drill core (1285 m-long) was recovered, inside the ANDRILL (ANtarctic geological DRILLing) Program, during the austral summer of 2006/07 from beneath the floating McMurdo Ice Shelf. Drilling recovered a stratigraphic succession of alternating diamictites, diatomites and volcaniclastic sediments spanning about the last 14 Ma. A core portion between 350 and 480 mbsf, including a 80 m-thick diatomite interval recording the early Pliocene warming event, was investigated in term of opal biogenic content and element geochemistry. Across the diatomite interval, in spite of the lithological uniformity, a fluctuating biogenic opal profile mirrors the 00 record, testifying a decrease in productivity when temperature drops as a consequence of small glacial fluctuations. The comparison of biogenic opal data with Chaetoceros spp. abundances from Konfirst et al. (2012) documents alternations between periods of high primary productivity in stratified surface waters and of enhanced terrigenous input in ice-free conditions. Cluster analysis discriminates elements associated to terrigenous input from those subject to biogenic control. Further separation in sub-cluster was interpreted in term of different element response to changes in provenance but also to depositional/early diagenetic conditions at the seafloor. Whilst K and Ti are related to different sediment sources confirming previous studies from the same interval, V, Zn and, to a lesser extent, Fe, document reducing/anoxic conditions during the diatomites deposition (in particular in 400-460 mbsf interval). Mg, Sr and Mn contents are related to authigenic carbonate precipitation whilst Ba is interested by nonsteady-state processes leading to local peaks of barium below the sulphate-rich/sulphate-poor pore water boundary where generally the low degree of barite saturation is responsible for Ba remobilization. Such alteration in depositional dynamics, responsible of the precipitation of an oxygen-depleted barium phase, was probably induced by change in sedimentation rate and/or in palaeoenvironmental conditions. (C) 2013 Elsevier B.V. All rights reserved.</t>
  </si>
  <si>
    <t>[Scopelliti, Giovanna; Bellanca, Adriana] Univ Palermo, Dipartimento Sci Terra &amp; Mare DiSTeM, I-90123 Palermo, Italy; [Monien, Donata] Carl von Ossietzky Univ Oldenburg, Inst Chem &amp; Biol Marine Environm, D-26111 Oldenburg, Germany; [Kuhn, Gerhard] Alfred Wegener Inst Polar &amp; Marine Res, Geosci Div, Bremerhaven, Germany</t>
  </si>
  <si>
    <t>University of Palermo; Carl von Ossietzky Universitat Oldenburg; Helmholtz Association; Alfred Wegener Institute, Helmholtz Centre for Polar &amp; Marine Research</t>
  </si>
  <si>
    <t>Scopelliti, G (corresponding author), Univ Palermo, Dipartimento Sci Terra &amp; Mare DiSTeM, Via Archirafi 36, I-90123 Palermo, Italy.</t>
  </si>
  <si>
    <t>giovanna.scopelliti@unipa.it</t>
  </si>
  <si>
    <t>Scopelliti, Giovanna/I-7562-2014</t>
  </si>
  <si>
    <t>Kuhn, Gerhard/0000-0001-6069-7485; SCOPELLITI, Giovanna/0000-0002-2112-3195</t>
  </si>
  <si>
    <t>Italian Antarctic Research (PNRA); US National Science Foundation; NZ Foundation for Research Science and Technology; Royal Society of NZ Marsden Fund; Italian Antarctic Research Programme; German Research Foundation (DFG) [KU 683/8]; Alfred Wegener Institute Polar and Marine Research; Division Of Earth Sciences; Directorate For Geosciences [0745574, 0745817] Funding Source: National Science Foundation</t>
  </si>
  <si>
    <t>Italian Antarctic Research (PNRA); US National Science Foundation(National Science Foundation (NSF)); NZ Foundation for Research Science and Technology(New Zealand Foundation for Research, Science and Technology); Royal Society of NZ Marsden Fund(Royal Society of New ZealandMarsden Fund (NZ)); Italian Antarctic Research Programme; German Research Foundation (DFG)(German Research Foundation (DFG)); Alfred Wegener Institute Polar and Marine Research; Division Of Earth Sciences; Directorate For Geosciences(National Science Foundation (NSF)NSF - Directorate for Geosciences (GEO))</t>
  </si>
  <si>
    <t>This study was supported by the Italian Antarctic Research (PNRA). ANDRILL-MIS Science Team, the Chief Scientists Tim Naish and Ross Powell are thanked for their encouragement and assistance. The ANDRILL project is a multinational collaboration between the Antarctic programmes of Germany, Italy, New Zealandand the United States. Antarctica New Zealand is the project operator and developed the drilling system in collaboration with Alex Pyne at Victoria University of Wellington and Webster Drilling and Enterprises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have been jointly supported by the US National Science Foundation, NZ Foundation for Research Science and Technology, the Royal Society of NZ Marsden Fund, the Italian Antarctic Research Programme, and the German Research Foundation (DFG, KU 683/8) and the Alfred Wegener Institute Polar and Marine Research. The authors are indebted to two anonymous reviewers for their constructive comments that greatly improved the manuscript.</t>
  </si>
  <si>
    <t>10.1016/j.gloplacha.2013.01.001</t>
  </si>
  <si>
    <t>121OH</t>
  </si>
  <si>
    <t>WOS:000317253600003</t>
  </si>
  <si>
    <t>Sekma, H; Park, YH; Vivier, F</t>
  </si>
  <si>
    <t>Sekma, H.; Park, Y. -H.; Vivier, F.</t>
  </si>
  <si>
    <t>Time-Mean Flow as the Prevailing Contribution to the Poleward Heat Flux across the Southern Flank of the Antarctic Circumpolar Current: A Case Study in the Fawn Trough, Kerguelen Plateau</t>
  </si>
  <si>
    <t>LARGE-SCALE CIRCULATION; GULF-STREAM; VERTICAL MOTION; EDDY HEAT; OCEAN; TRANSPORTS; TEMPERATURE; VARIABILITY; BALANCE; WATER</t>
  </si>
  <si>
    <t>The major mechanisms of the oceanic poleward heat flux in the Southern Ocean are still in debate. The long-standing belief stipulates that the poleward heat flux across the Antarctic Circumpolar Current (ACC) is mainly due to mesoscale transient eddies and the cross-stream heat flux by time-mean flow is insignificant. This belief has recently been challenged by several numerical modeling studies, which stress the importance of mean flow for the meridional heat flux in the Southern Ocean. Here, this study analyzes moored current meter data obtained recently in the Fawn Trough, Kerguelen Plateau, to estimate the cross-stream heat flux caused by the time-mean flow and transient eddies. It is shown that the poleward eddy heat flux in this southern part of the ACC is negligible, while that from the mean flow is overwhelming by two orders of magnitude. This is due to the unusual anticlockwise turning of currents with decreasing depth, which is associated with significant bottom upwelling engendered by strong bottom currents flowing over the sloping topography of the trough. The circumpolar implications of these local observations are discussed in terms of the depth-integrated linear vorticity budget, which suggests that the six topographic features along the southern flank of the ACC equivalent to the Fawn Trough case would yield sufficient poleward heat flux to balance the oceanic heat loss in the subpolar region. As eddy activity on the southern flank of the ACC is too weak to transport sufficient heat poleward, the nonequivalent barotropic structure of the mean flow in several topographically constricted passages should accomplish the required task.</t>
  </si>
  <si>
    <t>[Sekma, H.; Park, Y. -H.] Museum Natl Hist Nat, LOCEAN, IPSL, F-75231 Paris 05, France; [Vivier, F.] Univ Paris 06, LOCEAN, IPSL, CNRS, Paris, France</t>
  </si>
  <si>
    <t>Sorbonne Universite; Universite Paris Cite; Museum National d'Histoire Naturelle (MNHN); Universite Paris Cite; Museum National d'Histoire Naturelle (MNHN); Sorbonne Universite; Centre National de la Recherche Scientifique (CNRS)</t>
  </si>
  <si>
    <t>Park, YH (corresponding author), Museum Natl Hist Nat, LOCEAN, USM402, Dept Milieux &amp; Peuplements Aquat, 43 Rue Cuvier, F-75231 Paris 05, France.</t>
  </si>
  <si>
    <t>yhpark@mnhn.fr</t>
  </si>
  <si>
    <t>Vivier, Frederic/0000-0003-2539-4133</t>
  </si>
  <si>
    <t>IPEV; CNES; INSU</t>
  </si>
  <si>
    <t>IPEV; CNES(Centre National D'etudes Spatiales); INSU(Centre National de la Recherche Scientifique (CNRS))</t>
  </si>
  <si>
    <t>We are grateful to the captain and crew of the Marion Dufresne during the TRACK cruises, the DT/INSU for mooring instruments, and H. Le Goff and C. Rouault for the mooring, recovery, and preliminary treatment of current meter data. This work has benefited from the logistic or financial support from IPEV, CNES, and INSU. We thank H. Phillips for a mooring motion correction program and I. Durand for her contribution in data analysis and graphics. M. Mazloff kindly provided us with the SOSE-derived air-sea flux data.</t>
  </si>
  <si>
    <t>10.1175/JPO-D-12-0125.1</t>
  </si>
  <si>
    <t>119RJ</t>
  </si>
  <si>
    <t>WOS:000317114800007</t>
  </si>
  <si>
    <t>Sinclair, KE; Bertler, NAN; Trompetter, WJ; Baisden, WT</t>
  </si>
  <si>
    <t>Sinclair, Kate E.; Bertler, Nancy A. N.; Trompetter, W. J.; Baisden, W. T.</t>
  </si>
  <si>
    <t>Seasonality of Airmass Pathways to Coastal Antarctica: Ramifications for Interpreting High-Resolution Ice Core Records</t>
  </si>
  <si>
    <t>ROSS SEA; SEMIANNUAL OSCILLATION; ISOTOPIC COMPOSITION; CLIMATE VARIABILITY; WATER ISOTOPES; PRECIPITATION; TRENDS; FIRN; SNOW</t>
  </si>
  <si>
    <t>Understanding airmass pathways is critical for ice core interpretation, and the ability to determine the broadscale characteristics and seasonality of synoptic-scale flow using paleoclimate records offers great potential to improve the understanding of past atmospheric circulation. The dominant airmass pathways to a coastal Antarctic ice core site at the Whitehall Glacier in the Ross Sea are modeled using snowfall and high-resolution stable isotope data between 1979 and 2006, combined with back trajectories produced from both NCEP-NCAR and ECMWF Interim Re-Analysis (ERA-Interim) data. Back trajectories generated from both datasets produce comparable results. They show that high snowfall is associated with cyclonic airflow in the Ross Sea with a strong meridional component along the western Ross Sea coast. Over a 28-yr time frame, trajectories also reveal a clear distinction between flow paths associated with above-and below-average annual temperatures (high and low delta D) in the ice core record. In cold months (low delta D), when there is a strengthened trough of low pressure around the continent, synoptically driven incursions of marine air across West Antarctica and trajectories originating from coastal East Antarctica are dominant. Conversely, in warmer months (high delta D), airmass pathways are centered over the Ross Sea and the adjacent Southern Ocean. These trajectories are slower moving and are expected to draw marine moisture from high-latitude seasonally open oceans.</t>
  </si>
  <si>
    <t>[Sinclair, Kate E.; Bertler, Nancy A. N.; Trompetter, W. J.; Baisden, W. T.] GNS Sci, Natl Isotope Ctr, Wellington, New Zealand; [Bertler, Nancy A. N.] Victoria Univ Wellington, Antarctic Res Ctr, Wellington, New Zealand</t>
  </si>
  <si>
    <t>GNS Science - New Zealand; Victoria University Wellington</t>
  </si>
  <si>
    <t>Sinclair, KE (corresponding author), GNS Sci, Natl Isotope Ctr, 30 Gracefield Rd,POB 30-386, Lower Hutt 5040, New Zealand.</t>
  </si>
  <si>
    <t>k.sinclair@gns.cri.nz</t>
  </si>
  <si>
    <t>Bertler, Nancy A N/F-3967-2011; Baisden, Troy/B-9831-2008</t>
  </si>
  <si>
    <t>Baisden, Troy/0000-0003-1814-1306; Bertler, Nancy/0000-0001-6028-4891; Trompetter, William/0000-0003-2530-5946</t>
  </si>
  <si>
    <t>New Zealand Ministry for Science and Innovation [VICX0704, CO5X0202, RDF-VUW1103]; New Zealand Foundation for Research, Science and Technology Postdoctoral Fellowship [CO5X0902]</t>
  </si>
  <si>
    <t>New Zealand Ministry for Science and Innovation; New Zealand Foundation for Research, Science and Technology Postdoctoral Fellowship(New Zealand Foundation for Research, Science and Technology)</t>
  </si>
  <si>
    <t>This project was funded by the New Zealand Ministry for Science and Innovation via contracts awarded to Victoria University of Wellington, GNS Science (VICX0704, CO5X0202, RDF-VUW1103) and a New Zealand Foundation for Research, Science and Technology Postdoctoral Fellowship (CO5X0902). We are grateful for logistical support for the ice core extraction (K049) by Antarctica New Zealand and the U. S. Polar Program and we thank the Alfred Wegener Institute for providing their shallow ice core drilling system. NCEP-NCAR reanalysis data were obtained from the NOAA Earth System Research Laboratory (http://www.esrl.noaa.gov/psd/data), and ERA-Interim data were downloaded from ECMWF (http://data.ecmwf.int/data). We thank two anonymous reviewers and Harold Sodemann for their constructive feedback on the draft manuscript. We are also grateful to Dougal Townsend and Richard Castillo for assistance with image processing.</t>
  </si>
  <si>
    <t>10.1175/JCLI-D-12-00167.1</t>
  </si>
  <si>
    <t>112UV</t>
  </si>
  <si>
    <t>WOS:000316620500013</t>
  </si>
  <si>
    <t>O'Rorke, R; Jeffs, AG; Fitzgibbon, Q; Chow, S; Lavery, S</t>
  </si>
  <si>
    <t>O'Rorke, R.; Jeffs, A. G.; Fitzgibbon, Q.; Chow, S.; Lavery, S.</t>
  </si>
  <si>
    <t>Extracting DNA from whole organism homogenates and the risk of false positives in PCR based diet studies: A case study using spiny lobster larvae</t>
  </si>
  <si>
    <t>Contamination; Diet; Larvae; PCR; Phyllosoma; Plankton</t>
  </si>
  <si>
    <t>GUT-CONTENT-ANALYSIS; PHYLLOSOMA LARVAE; PANULIRUS-JAPONICUS; JASUS-EDWARDSII; FEEDING-BEHAVIOR; STAGE PHYLLOSOMA; ROCK LOBSTER; PREDATION; PREY; DECAPODA</t>
  </si>
  <si>
    <t>Better understanding the diet of small marine predators such as the planktonic larvae of spiny lobsters is important for our awareness of interactions within marine assemblages and for species commercialisation. In DNA-based diet studies of small organisms there is a risk that any DNA contaminating the outside of an organism will be detected and falsely assumed to originate from the gut. Experiments with terrestrial predators have overcome the problem of exogenous contamination by treating the exterior of the predator with bleach (sodium hypochlorite). However, the use of bleach is a risky strategy when treating either a rare predator or aquatic predators, which are generally more permeable than terrestrial animals. Many plankton studies have not reported how they dealt with exogenous contamination, or do not use a control during PCR to detect false positives due to exogenous contamination. One approach is to wash the predator with MilliQ filtered water or ethanol and to use the final wash as a PCR template to detect residual DNA. In the present study we report that washing has variable success at removing exogenous contaminants and that using the final wash as a control for exogenous contamination consistently fails. Based on our results we recommend using DNA extracted from a swab of the exterior of the predator as a control for exogenous contamination. We also report on the benefit of using a novel syringe technique to obtain gut content that minimises contact with the predator surface, and therefore the risk of exogenous contamination. (c) 2013 Elsevier B.V. All rights reserved.</t>
  </si>
  <si>
    <t>[O'Rorke, R.; Jeffs, A. G.; Lavery, S.] Univ Auckland, Leigh Marine Lab, Warkworth 0941, New Zealand; [Fitzgibbon, Q.] Univ Tasmania, Inst Marine &amp; Antarctic Studies, Hobart, Tas 7001, Australia; [Chow, S.] Natl Res Inst Aquaculture, Yokosuka, Kanagawa 2360316, Japan; [Lavery, S.] Univ Auckland, Sch Biol Sci, Auckland 1142, New Zealand</t>
  </si>
  <si>
    <t>University of Auckland; University of Tasmania; University of Auckland</t>
  </si>
  <si>
    <t>O'Rorke, R (corresponding author), Univ Auckland, Leigh Marine Lab, Box 349, Warkworth 0941, New Zealand.</t>
  </si>
  <si>
    <t>roro002@aucklanduni.ac.nz</t>
  </si>
  <si>
    <t>Jeffs, Andrew G/D-9474-2012; Lavery, Shane/AFX-7929-2022; O'Rorke, Richard/C-9281-2011</t>
  </si>
  <si>
    <t>Lavery, Shane/0000-0003-3038-292X; Jeffs, Andrew/0000-0002-8504-1949; O'Rorke, Richard/0000-0002-9304-2677; Fitzgibbon, Quinn/0000-0002-1104-3052</t>
  </si>
  <si>
    <t>Foundation for Research, Science and Technology in New Zealand</t>
  </si>
  <si>
    <t>Foundation for Research, Science and Technology in New Zealand(New Zealand Foundation for Research, Science and Technology)</t>
  </si>
  <si>
    <t>We are grateful to Vivian Ward for creating the excellent figure, Nigel Birch and Craig Millar for use of their laminar flow hoods and Angela Little for facilitating access to equipment and lab-space. The experimental component of this project was funded by the Foundation for Research, Science and Technology in New Zealand. [RH]</t>
  </si>
  <si>
    <t>10.1016/j.jembe.2013.01.003</t>
  </si>
  <si>
    <t>114BM</t>
  </si>
  <si>
    <t>WOS:000316715000001</t>
  </si>
  <si>
    <t>Leanza, HA; Mazzini, A; Corfu, F; Llambías, EJ; Svensen, H; Planke, S; Galland, O</t>
  </si>
  <si>
    <t>Leanza, H. A.; Mazzini, A.; Corfu, F.; Llambias, E. J.; Svensen, H.; Planke, S.; Galland, O.</t>
  </si>
  <si>
    <t>The Chachil Limestone (Pliensbachian-earliest Toarcian) Neuquen Basin, Argentina: U-Pb age calibration and its significance on the Early Jurassic evolution of southwestern Gondwana</t>
  </si>
  <si>
    <t>Radiometric ages; Pliensbachian/Toarcian boundary; Early Jurassic; Chachil Limestone; Precuyano Cycle; Neuquen Basin</t>
  </si>
  <si>
    <t>ANTARCTIC PENINSULA; BREAK-UP; ZIRCON; PRECISION; VOLCANISM; ACCURACY; CHACAICO; SIERRA</t>
  </si>
  <si>
    <t>New radiometric U-Pb ages obtained on zircon crystals from Early Jurassic ash layers found within beds of the Chachil Limestone at its type locality in the Chachil depocentre (southern Neuquen Basin) confirm a Pliensbachian age (186.0 +/- 0.4 Ma). Additionally, two ash layers found in limestone beds in Chacay Melehue at the Cordillera del Viento depocentre (central Neuquen Basin) gave Early Pliensbachian (185.7 +/- 0.4 Ma) and earliest Toarcian (182.3 +/- 0.4 Ma) U-Pb zircon ages. Based on these new datings and regional geological observations, we propose that the limestones cropping out at Chacay Melehue are correlatable with the Chachil Limestone. Recent data by other authors from limestones at Serrucho creek in the upper Puesto Araya Formation (Valenciana depocentre, southern Mendoza) reveal ages of 182.16 +/- 0.6 Ma. Based on these new evidences, we consider the Chachil Limestone an important Early Jurassic stratigraphic marker, representing an almost instantaneous widespread flooding episode in western Gondwana. The unit marks the initiation in the Neuquen Basin of the Cuyo Group, followed by widespread black shale deposition. Accordingly, these limestones can be regarded as the natural seal of the Late Triassic -earliest Jurassic Precuyano Cycle, which represents the infill of halfgrabens and/or grabens related to a strong extensional regime. Paleontological evidence supports that during Pliensbachian-earliest Toarcian times these limestones were deposited in western Gondwana in marine warm water environments. (c) 2012 Elsevier Ltd. All rights reserved.</t>
  </si>
  <si>
    <t>[Leanza, H. A.] Serv Geol Minero Argentino, RA-1322 Buenos Aires, DF, Argentina; [Leanza, H. A.] Consejo Nacl Invest Cient &amp; Tecn, RA-1322 Buenos Aires, DF, Argentina; [Mazzini, A.; Svensen, H.; Planke, S.; Galland, O.] Univ Oslo, N-0316 Oslo, Norway; [Corfu, F.] Univ Oslo, Dept Geosci, N-0316 Oslo, Norway; [Llambias, E. J.] Univ Nacl La Plata, Ctr Invest Geol, RA-1900 La Plata, Argentina; [Planke, S.] VBPR, N-0349 Oslo, Norway</t>
  </si>
  <si>
    <t>Consejo Nacional de Investigaciones Cientificas y Tecnicas (CONICET); University of Oslo; University of Oslo; National University of La Plata</t>
  </si>
  <si>
    <t>Leanza, HA (corresponding author), Serv Geol Minero Argentino, Av Julio A Roca 651, RA-1322 Buenos Aires, DF, Argentina.</t>
  </si>
  <si>
    <t>hectorleanza@gmail.com</t>
  </si>
  <si>
    <t>Galland, Olivier/C-2016-2017; Planke, Sverre/AAE-1721-2021; Corfu, Fernando/U-3936-2019; Mazzini, Adriano/HOH-3443-2023</t>
  </si>
  <si>
    <t>Corfu, Fernando/0000-0002-9370-4239; Mazzini, Adriano/0000-0003-0913-8682; Planke, Sverre/0000-0001-6128-2193</t>
  </si>
  <si>
    <t>Centre of Excellence grant from the Norwegian Research Council; Young Outstanding Researcher grant from the Norwegian Research Council [180678/V30]; CONICET (Argentinian Research Council) [PIP 5222]</t>
  </si>
  <si>
    <t>Centre of Excellence grant from the Norwegian Research Council(Research Council of Norway); Young Outstanding Researcher grant from the Norwegian Research Council(Research Council of Norway); CONICET (Argentinian Research Council)</t>
  </si>
  <si>
    <t>This study was supported by a Centre of Excellence grant to PGP, by a Young Outstanding Researcher grant (180678/V30) to Henrik Svensen, both of them from the Norwegian Research Council and by the grant PIP 5222 CONICET (Argentinian Research Council) to Hector A. Leanza. The authors would like to thank Carlos Portilla (Direccion General de Mineria, Zapala) for authorizing works in the Neuquen province, Alberto Garrido (Direccion General de Mineria, Museo Olsacher, Zapala) for his help in obtaining samples from the Chachil Limestone type locality, Claudia Negro (SEGEMAR, Buenos Aires) for helpful comments on the Valenciana depocentre, and Jose Mendia (Direccion de Geologia Regional, SEGEMAR, Buenos Aires) for its support for making possible this study.</t>
  </si>
  <si>
    <t>1873-0647</t>
  </si>
  <si>
    <t>10.1016/j.jsames.2012.07.012</t>
  </si>
  <si>
    <t>101GL</t>
  </si>
  <si>
    <t>WOS:000315763100015</t>
  </si>
  <si>
    <t>Pildain, MB; Rajchenberg, M</t>
  </si>
  <si>
    <t>Pildain, M. B.; Rajchenberg, M.</t>
  </si>
  <si>
    <t>The phylogenetic position of Postia s.l. (Polyporales, Basidiomycota) from Patagonia, Argentina</t>
  </si>
  <si>
    <t>MYCOLOGIA</t>
  </si>
  <si>
    <t>Antrodia clade; mating type; molecular phylogeny; nuclear behavior; Ryvardenia</t>
  </si>
  <si>
    <t>ANTARCTIC PIPTOPORUS POLYPORACEAE; FOMITOPSIS; CLADES; PLANT</t>
  </si>
  <si>
    <t>We investigated the phylogenetic relationships of Postia species from Patagonia with rDNA ITS and LSU sequences, together with morphological, cultural and biological features. All species in the genus were included in a Postia clade irrespective of whether their spores were thin- or thick-walled. This clade is characterized by tetrapolar mating, a normal nuclear behavior, metachromatic generative hyphae and absence of fiber hyphae in culture. One subclade merged the austral taxa P. pelliculosa and P. punctata, but otherwise no distinct relationships were found regarding spore shape, spore wall thickness and geographical distribution of taxa. The austral P. venata and the endemic P. carbophila, with thin-walled basidiospores, occupied variable positions in both analyses. Postia caesia from Patagonia grouped within the P. caesia species complex but on a separate branch. In contrast, P. rennyi and P. balsamea from Patagonia corresponded well with strains from other geographic areas. The two austral species in Ryvardenia, R. cretacea and R. campyla, characterized by non-metachromatic hyphae, bipolar mating and an astatocoenocytic nuclear behavior, formed an independent subclade among the dimitic genera of the Antrodia clade, far from other Postia taxa within which they had been placed previously, supporting their inclusion in a genus of their own. Postia carbophila grouped with other Postia species and not with Postia (Rhodonia) placenta as suggested previously on the basis of morphological comparisons. Instead, the latter species grouped with taxa in the dimitic genus Amyloporia with which it shares heterocytic nuclear behavior. A separation between specimens of Postia pelliculosa and Ryvardenia cretacea from either side of the Pacific (i.e. SE Australia/New Zealand and S Argentina/S Chile) suggests they could be considered different at the species level from a phylogenetic point of view.</t>
  </si>
  <si>
    <t>[Rajchenberg, M.] Ctr Invest &amp; Extens Forestal Andino Patagon, Area Protecc Forestal, RA-9200 Esquel, Chubut, Argentina; Consejo Nacl Invest Cient &amp; Tecn CONICET, Buenos Aires, DF, Argentina</t>
  </si>
  <si>
    <t>Rajchenberg, M (corresponding author), Ctr Invest &amp; Extens Forestal Andino Patagon, Area Protecc Forestal, CC 14, RA-9200 Esquel, Chubut, Argentina.</t>
  </si>
  <si>
    <t>mrajchenberg@ciefap.org.ar</t>
  </si>
  <si>
    <t>Nationall Research Council of Argentina (CONICET) [PIP 80101000]</t>
  </si>
  <si>
    <t>Nationall Research Council of Argentina (CONICET)</t>
  </si>
  <si>
    <t>We thank curators of herbaria and culture collections for materials provided for this research. G. Gates and D. Ratkowsky (Hobart, Tasmania) kindly reviewed the manuscript before submission and made valuable comments. Two anonymous reviewers provided constructive criticism to improve the text. We acknowledge the Heads of Parques Nacionales Agency (APN) for letting us collect specimens in protected areas under their keeping. Authors are researchers of the Nationall Research Council of Argentina (CONICET), which supported this research through grant PIP 80101000.</t>
  </si>
  <si>
    <t>0027-5514</t>
  </si>
  <si>
    <t>1557-2536</t>
  </si>
  <si>
    <t>Mycologia</t>
  </si>
  <si>
    <t>10.3852/12-088</t>
  </si>
  <si>
    <t>119HM</t>
  </si>
  <si>
    <t>WOS:000317088400011</t>
  </si>
  <si>
    <t>Zhang, YM; Wu, KJ; Zhang, XS; Bi, F; Song, ZY; Liu, SH</t>
  </si>
  <si>
    <t>Zhang Yuming; Wu Kejian; Zhang Xiaoshuang; Bi Fan; Song Zhaoyang; Liu Shouhua</t>
  </si>
  <si>
    <t>Improving the estimate of wind energy input into the Ekman layer within the Antarctic Circumpolar Current</t>
  </si>
  <si>
    <t>energy input; Ekman-Stokes layer; Coriolis-Stokes forcing; Antarctic Circumpolar Current</t>
  </si>
  <si>
    <t>STOKES LAYER; SUBINERTIAL MOTIONS; WAVE; DRIVEN; STRESS; OCEAN; CIRCULATION</t>
  </si>
  <si>
    <t>Based on the data and method offered by Liu et al. (2009), the direct wind and Stokes drift-induced energy inputs into the Ekman layer within the Antarctic Circumpolar Current (ACC) area are reestimated since the results of the former have been proved to be underestimated. And the result shows that the total rate of energy input into the Ekman-Stokes layer within the ACC area is 852.41 GW, including 649.75 GW of direct wind energy input (76%) and 202.66 GW of Stoke drift-induced energy input (24%). Total increased energy input, due to wave-induced Coriolis-Stokes forcing added to the classical Ekman model, is 52.05 GW, accounting for 6.5% of the wind energy input into the classical Ekman layer. The long-term variability of direct wind and Stokes drift-induced energy inputs into the Ekman layer within the ACC is also investigated, and the result shows that the Stokes drift hinders the decadal increasing trend of direct wind energy input. Meanwhile, there is a period of 4-5 a in the energy spectrums, as same as the Antarctic circumpolar wave.</t>
  </si>
  <si>
    <t>[Zhang Yuming; Wu Kejian; Bi Fan; Song Zhaoyang] Ocean Univ China, Phys Oceanog Lab, Qingdao 266100, Peoples R China; [Liu Shouhua] Natl Marine Data &amp; Informat Serv, Tianjin 300171, Peoples R China; [Zhang Xiaoshuang] State Ocean Adm, Natl Marine Data &amp; Informat Serv, Key Lab Marine Environm Informat Technol, Tianjin 300171, Peoples R China</t>
  </si>
  <si>
    <t>Ocean University of China; National Marine Data &amp; Information Service; National Marine Data &amp; Information Service</t>
  </si>
  <si>
    <t>Wu, KJ (corresponding author), Ocean Univ China, Phys Oceanog Lab, Qingdao 266100, Peoples R China.</t>
  </si>
  <si>
    <t>Bi, Fan/JPA-1791-2023</t>
  </si>
  <si>
    <t>Zhang, Yuming/0000-0003-1532-545X</t>
  </si>
  <si>
    <t>National Natural Science Foundation of China [40930844, 40976005]</t>
  </si>
  <si>
    <t>Foundation item: The National Natural Science Foundation of China under contract Nos 40930844 and 40976005.</t>
  </si>
  <si>
    <t>10.1007/s13131-013-0284-6</t>
  </si>
  <si>
    <t>107RS</t>
  </si>
  <si>
    <t>WOS:000316239100003</t>
  </si>
  <si>
    <t>Kawahara, H; Hirai, A; Minabe, T; Obata, H</t>
  </si>
  <si>
    <t>Kawahara, Hidehisa; Hirai, Akihito; Minabe, Toshi; Obata, Hitoshi</t>
  </si>
  <si>
    <t>Stabilization of Astaxanthin by A Novel Biosurfactant Produced by Rhodotorula mucilaginosa KUGPP-1</t>
  </si>
  <si>
    <t>BIOCONTROL SCIENCE</t>
  </si>
  <si>
    <t>Biosurfactant; Astaxanthin; Rhodotorula mucllaginosa</t>
  </si>
  <si>
    <t>SACCHAROMYCES-CEREVISIAE; CANDIDA; BIOEMULSIFIER; CAROTENOIDS; ACETATE; LIPIDS</t>
  </si>
  <si>
    <t>We found that a novel biosurfactant from the cultured broth of red yeast, Rhodotorula mucilaginosa KUGPP-1, originating in the Antarctic, has dispersive power against astaxanthin. The novel biosurfactant was purified from extracts to the ultrafiltration state by acetone precipitation and chromatography on a DEAE-Toyopearl 650M, and gel filtration on a Sephacryl S-400HR. The molecular mass of the novel biosurfactant was estimated to be about 730,000 by gel filtration chromatography. The novel biosurfactant was comprised of sugar and protein in an approximate molar ratio of 9 : 1. The sugars were comprised of mannose, galactose and glucose. The particle size of the astaxanthin (0.13 mu g/ml)micelle was about 410 nm. Astaxanthin was stable to oxidation in the novel biosurfactant micelles. To our knowledge, this is the first report on a glycoprotein type of biosurfactant with astaxanthin-stabilizing ability.</t>
  </si>
  <si>
    <t>[Kawahara, Hidehisa; Hirai, Akihito; Minabe, Toshi; Obata, Hitoshi] Kansai Univ, Dept Life Sci &amp; Biotechnol, Suita, Osaka 5648680, Japan</t>
  </si>
  <si>
    <t>Kansai University</t>
  </si>
  <si>
    <t>Kawahara, H (corresponding author), Kansai Univ, Dept Life Sci &amp; Biotechnol, 3-3-35 Yamate Cho, Suita, Osaka 5648680, Japan.</t>
  </si>
  <si>
    <t>kawahara@ipcku.kansai-u.ac.jp</t>
  </si>
  <si>
    <t>Strategic Project to Support the Formation of Research Bases at Private Universities</t>
  </si>
  <si>
    <t>Strategic Project to Support the Formation of Research Bases at Private Universities(Ministry of Education, Culture, Sports, Science and Technology, Japan (MEXT))</t>
  </si>
  <si>
    <t>This work was supported by Strategic Project to Support the Formation of Research Bases at Private Universities (2008-2012).</t>
  </si>
  <si>
    <t>SOC ANTIBACTERIAL &amp; ANTIFUNGAL AGENTS, JAPAN</t>
  </si>
  <si>
    <t>OSAKA</t>
  </si>
  <si>
    <t>NISHI-HONMACHI 1-13-38, SHIN-KOSAN BLDG, NISHI-KU, 7 FL, OSAKA, 550-0005, JAPAN</t>
  </si>
  <si>
    <t>1342-4815</t>
  </si>
  <si>
    <t>1884-0205</t>
  </si>
  <si>
    <t>BIOCONTROL SCI</t>
  </si>
  <si>
    <t>Biocontrol Sci.</t>
  </si>
  <si>
    <t>10.4265/bio.18.21</t>
  </si>
  <si>
    <t>Biology; Biotechnology &amp; Applied Microbiology</t>
  </si>
  <si>
    <t>Life Sciences &amp; Biomedicine - Other Topics; Biotechnology &amp; Applied Microbiology</t>
  </si>
  <si>
    <t>109MV</t>
  </si>
  <si>
    <t>WOS:000316373600003</t>
  </si>
  <si>
    <t>Xu, ZK; Li, TG; Yu, XK; Li, AC; Tang, Z; Choi, J; Nan, QY</t>
  </si>
  <si>
    <t>Xu ZhaoKai; Li TieGang; Yu XinKe; Li AnChun; Tang Zheng; Choi, JinYong; Nan QingYun</t>
  </si>
  <si>
    <t>Sediment provenance and evolution of the East Asian winter monsoon since 700 ka recorded by major elements in the West Philippine Sea</t>
  </si>
  <si>
    <t>major elements; provenance; eolian dust; East Asian winter monsoon; West Philippine Sea</t>
  </si>
  <si>
    <t>PACIFIC; LUZON; GEOCHEMISTRY; VARIABILITY; PLATEAU; UPLIFT; CHINA; LAVAS; DUST; FLUX</t>
  </si>
  <si>
    <t>To synthetically realize the character of major-element compositions as well as its significance for provenance and paleoenvironment recorded in core sediments of the West Philippine Sea over the last 700 ka, grain size and major elements of 221 bulk sediments, together with major-element compositions in the detrital phase of 16 typical samples, in core MD06-3047 collected from the Benham Rise were analyzed. Both discrimination plot and R-mode factor analysis indicate that vertical changes of major elements are mainly controlled by the sedimentation of nearby volcanic matter and the eolian dust input, whereas influences from marine biologic deposition and hydrothermal activity are minor. In particular, Al2O3 and K2O are representative of an eolian dust factor. The variation in the eolian dust factor score is characterized by the obviously glacial-interglacial periodicity and can be well compared with the paleotemperature record of the Antarctic ice core and the evolution of the East Asian winter monsoon (EAWM) recorded in the Chinese loess sequence, and then offers a new proxy for the evolution history of eolian dust input into the study area that is controlled by the EAWM intensity and aridity in the continental source regions of atmospheric dust.</t>
  </si>
  <si>
    <t>[Xu ZhaoKai; Li TieGang; Yu XinKe; Li AnChun; Nan QingYun] Chinese Acad Sci, Inst Oceanol, Key Lab Marine Geol &amp; Environm, Qingdao 266071, Peoples R China; [Tang Zheng] Minist Land &amp; Resources China, Qingdao Inst Marine Geol, Key Lab Marine Hydrocarbon Resources &amp; Environm G, Qingdao 266071, Peoples R China; [Choi, JinYong] Kunsan Natl Univ, Dept Oceanog, Kunsan 573701, South Korea</t>
  </si>
  <si>
    <t>Chinese Academy of Sciences; Institute of Oceanology, CAS; China Geological Survey; Qingdao Institute of Marine Geology (QIMG); Ministry of Natural Resources of the People's Republic of China; Kunsan National University</t>
  </si>
  <si>
    <t>Li, TG (corresponding author), Chinese Acad Sci, Inst Oceanol, Key Lab Marine Geol &amp; Environm, Qingdao 266071, Peoples R China.</t>
  </si>
  <si>
    <t>tgli@qdio.ac.cn</t>
  </si>
  <si>
    <t>Public Science and Technology Research Funds Projects of Ocean, State Oceanic Administration of the People's Republic of China [201005003]; KLMGE, IO, CAS; National Natural Science Foundation of China [41106043, 41230959]; National Basic Research Program of China [2007CB815903]; Chinese Academy of Sciences [KZCX2-YW-221]</t>
  </si>
  <si>
    <t>Public Science and Technology Research Funds Projects of Ocean, State Oceanic Administration of the People's Republic of China; KLMGE, IO, CAS; National Natural Science Foundation of China(National Natural Science Foundation of China (NSFC)); National Basic Research Program of China(National Basic Research Program of China); Chinese Academy of Sciences(Chinese Academy of Sciences)</t>
  </si>
  <si>
    <t>The authors would like to thank the scientific party and crew of the R/V Marion Dufresne of the French Polar Institute for sampling. We are grateful to MA GengTian of the CL, IGGE, CAGS and WANG HongLi of the KLMGE, IO, CAS for their assistance in sample analysis. The anonymous reviewers and Dr. WAN ShiMing are appreciated for improving the English of the manuscript and offering constructive comments. This work was supported by the Public Science and Technology Research Funds Projects of Ocean, State Oceanic Administration of the People's Republic of China (201005003), the Open Fund of the KLMGE, IO, CAS, the National Natural Science Foundation of China (41106043 and 41230959), the National Basic Research Program of China (2007CB815903), and the Innovative Program of the Chinese Academy of Sciences (KZCX2-YW-221).</t>
  </si>
  <si>
    <t>10.1007/s11434-012-5538-8</t>
  </si>
  <si>
    <t>107LT</t>
  </si>
  <si>
    <t>WOS:000316219500013</t>
  </si>
  <si>
    <t>Forcone, A; Calderón, A; Kutschker, A</t>
  </si>
  <si>
    <t>Forcone, Alicia; Calderon, Anabel; Kutschker, Adriana</t>
  </si>
  <si>
    <t>Apicultural pollen from the Andean region of Chubut (Argentinean Patagonia)</t>
  </si>
  <si>
    <t>GRANA</t>
  </si>
  <si>
    <t>pollen loads; pollen sources; bee-plants; Patagonia</t>
  </si>
  <si>
    <t>PALYNOLOGICAL CHARACTERIZATION; BOTANICAL ORIGIN; HONEY-BEES; SOUTH</t>
  </si>
  <si>
    <t>An analysis of pollen loads of Apis mellifera was performed in order to identify the pollen sources that support the hives in the Andean region of Chubut. During the apicultural period (from 9 September 2010 to 12 March 2011), pollen loads were collected every fortnight in a selected apiary located in a transition area between the sub-Antarctic forests and the Patagonian steppe. Forty-six pollen types belonging to 26 plant families were found in the pollen spectrum of pollen loads, of which the most diverse were Asteraceae (11 types) and Fabaceae (six types). Families with major biomass contribution were Asteraceae (49%), Fabaceae (10%), Salicaceae (10%), Rhamnaceae (7%), Rosaceae (7%) and Brassicaceae (4%). Thirty-one per cent of the identified pollen belonged to the native flora. The major contribution of indigenous species occurred in late spring. Mutisia spp., Discaria type, Senecio spp., Adesmia spp. and Maytenus spp. were the most collected native taxa. Most plants providing pollen to the beehive are also nectariferous resources in the Andean region of Chubut. The protein content of the collected pollen ranged from 7.78% to 32.48%. The most collected types had protein content between 13.09% and 30.93%.</t>
  </si>
  <si>
    <t>[Forcone, Alicia; Calderon, Anabel; Kutschker, Adriana] Univ Nacl Patagonia San Juan Bosco, Fac Ciencias Nat, Trelew, Chubut, Argentina</t>
  </si>
  <si>
    <t>Universidad Nacional de la Patagonia San Juan Bosco</t>
  </si>
  <si>
    <t>Forcone, A (corresponding author), Univ Nacl Patagonia San Juan Bosco Sede Trelew, Fac Ciencias Nat, Lab Palinol, Roca 115 1 Piso, RA-9100 Trelew, Chubut, Argentina.</t>
  </si>
  <si>
    <t>aforcone@infovia.com.ar</t>
  </si>
  <si>
    <t>TAYLOR &amp; FRANCIS AS</t>
  </si>
  <si>
    <t>OSLO</t>
  </si>
  <si>
    <t>KARL JOHANS GATE 5, NO-0154 OSLO, NORWAY</t>
  </si>
  <si>
    <t>0017-3134</t>
  </si>
  <si>
    <t>1651-2049</t>
  </si>
  <si>
    <t>Grana</t>
  </si>
  <si>
    <t>10.1080/00173134.2012.717964</t>
  </si>
  <si>
    <t>109TN</t>
  </si>
  <si>
    <t>WOS:000316391700004</t>
  </si>
  <si>
    <t>Huenerlage, K; Buchholz, F</t>
  </si>
  <si>
    <t>Huenerlage, Kim; Buchholz, Friedrich</t>
  </si>
  <si>
    <t>Krill of the northern Benguela Current and the Angola-Benguela frontal zone compared: physiological performance and short-term starvation in Euphausia hanseni</t>
  </si>
  <si>
    <t>Krill; Euphausia hanseni; Benguela upwelling; stable isotopes; metabolic activity</t>
  </si>
  <si>
    <t>DIFFERENT CLIMATIC ZONES; MEGANYCTIPHANES-NORVEGICA; ANTARCTIC KRILL; CITRATE-SYNTHASE; MAINTENANCE MECHANISMS; NEMATOSCELIS-MEGALOPS; NYCTIPHANES-CAPENSIS; METABOLIC PROPERTIES; ENZYME REGULATION; LIPID-METABOLISM</t>
  </si>
  <si>
    <t>Adult Euphausia hanseni, keystone and most abundant krill species in the northern Benguela Upwelling area, were sampled during late austral summer in two water masses (northern Benguela Current versus Angola-Benguela-Front waters) along the Atlantic coast off Namibia. This study investigates the species physiological performance at different temperatures which it naturally experiences during diel vertical migration as well as its capacity to physiologically adapt to seven consecutive days of starvation. Moulting rates, metabolic rates, carbon demand, total lipid and protein contents, citrate synthase activity and kinetics, C:N ratios and stable isotope ratios were measured. These parameters were used to estimate the species physiological condition and adaptive capability within the nutritionally poly-pulsed Benguela upwelling system to cope with short periods of food absence. Moulting rates correlated negatively with temperature. Metabolic rates followed the Q(10) rule and declined significantly over the starvation period. Decreasing trends in the other parameters similarly suggest an adaptation to remain metabolically efficient. Ammonium excretion rates, oxygen to nitrogen ratios and stable isotopes showed strong distinctions between regions. Considerable differences were found between regions in the nutritional condition of E. hanseni. The total lipid content and the physiological reaction to starvation are different from euphausiids from other latitudes and help to define E. hanseni as a true upwelling organism.</t>
  </si>
  <si>
    <t>[Huenerlage, Kim; Buchholz, Friedrich] Alfred Wegener Inst Polar &amp; Marine Res, Sect Funct Ecol, D-27570 Bremerhaven, Germany</t>
  </si>
  <si>
    <t>Huenerlage, K (corresponding author), Alfred Wegener Inst Polar &amp; Marine Res, Sect Funct Ecol, Handelshafen 12, D-27570 Bremerhaven, Germany.</t>
  </si>
  <si>
    <t>kim.huenerlage@awi.de</t>
  </si>
  <si>
    <t>Huenerlage, Lara Kim/0000-0002-1997-4556</t>
  </si>
  <si>
    <t>project Geochemistry and Ecology of the Namibian Upwelling System (GENUS); German Federal Ministry of Education and Research (BMBF) [03F0497F]</t>
  </si>
  <si>
    <t>project Geochemistry and Ecology of the Namibian Upwelling System (GENUS); German Federal Ministry of Education and Research (BMBF)(Federal Ministry of Education &amp; Research (BMBF))</t>
  </si>
  <si>
    <t>This work was part of the project Geochemistry and Ecology of the Namibian Upwelling System (GENUS) and was funded by the German Federal Ministry of Education and Research (BMBF), project number: 03F0497F.</t>
  </si>
  <si>
    <t>10.1093/plankt/fbs086</t>
  </si>
  <si>
    <t>106FY</t>
  </si>
  <si>
    <t>WOS:000316129700009</t>
  </si>
  <si>
    <t>Gibson, GM; Totterdell, JM; White, LT; Mitchell, CH; Stacey, AR; Morse, MP; Whitaker, A</t>
  </si>
  <si>
    <t>Gibson, G. M.; Totterdell, J. M.; White, L. T.; Mitchell, C. H.; Stacey, A. R.; Morse, M. P.; Whitaker, A.</t>
  </si>
  <si>
    <t>Pre-existing basement structure and its influence on continental rifting and fracture zone development along Australia's southern rifted margin</t>
  </si>
  <si>
    <t>JOURNAL OF THE GEOLOGICAL SOCIETY</t>
  </si>
  <si>
    <t>NORTHERN VICTORIA LAND; GAWLER CRATON; TECTONIC EVOLUTION; DELAMERIAN OROGEN; SOUTHEASTERN AUSTRALIA; PACIFIC MARGIN; ROSS OROGEN; ANTARCTICA; BASIN; GONDWANA</t>
  </si>
  <si>
    <t>Palaeogeographical reconstructions of the Australian and Antarctic margins based on matching basement structures are commonly difficult to reconcile with those derived from ocean-floor magnetic anomalies and plate vectors. Following identification of a previously unmapped crustal-scale structure in the southern part of the early Palaeozoic Delamerian Orogen (Coorong Shear Zone), a more tightly constrained plate reconstruction for these margins is proposed. This reconstruction places the Coorong Shear Zone opposite the Mertz Shear Zone in Antarctica and lends itself to a revised interpretation of continental rifting along Australia's southern margin in which rift basin architecture, margin segmentation and the formation of ocean-floor fracture zones are all linked to pre-existing basement structure and the reactivation of a few deep-rooted crustal structures inherited from the Delamerian Orogeny in particular. Reactivation of the Coorong Shear Zone and other basement structures (Avoca-Sorell Fault Zone) during the earlier stages of rifting was accompanied by the partitioning of extensional strain and formation of late Jurassic-Early Cretaceous normal faults and half-graben in the Bight and Otway basins with opposing NE-SW and NW-SE structural trends. Previously, the Mertz Shear Zone has been correlated with the Proterozoic Kalinjala Mylonite Zone in the Gawler Craton but this positions Australia 300-400 km too far east relative to Antarctica prior to breakup and fails to secure an equally satisfactory match in both basement geology and the superimposed extension-related structures.</t>
  </si>
  <si>
    <t>[Gibson, G. M.; Totterdell, J. M.; Mitchell, C. H.; Stacey, A. R.; Morse, M. P.; Whitaker, A.] Geosci Australia, Canberra, ACT 2601, Australia; [White, L. T.; Morse, M. P.] Australian Natl Univ, Res Sch Earth Sci, Canberra, ACT 0200, Australia</t>
  </si>
  <si>
    <t>Geoscience Australia; Australian National University</t>
  </si>
  <si>
    <t>Gibson, GM (corresponding author), Geosci Australia, Canberra, ACT 2601, Australia.</t>
  </si>
  <si>
    <t>george.gibson@ga.gov.au</t>
  </si>
  <si>
    <t>White, Lloyd/AAB-3357-2020; White, Lloyd/AAY-8174-2020</t>
  </si>
  <si>
    <t>White, Lloyd/0000-0002-1829-0881;</t>
  </si>
  <si>
    <t>Australian-Indian Strategic Research Fund</t>
  </si>
  <si>
    <t>For constructive and thoughtful reviews of the paper, we thank F. Salvini, C. Carson, G. Fraser and W. Preiss, along with an anonymous journal reviewer. T. Chiotis is thanked for drafting the figures. The authors publish with permission from the CEO, Geoscience Australia. L. T. W. was supported by the Australian-Indian Strategic Research Fund grant 'Towards a unified East Gondwanaland reconstruction and its implications for Himalayan Orogeny'.</t>
  </si>
  <si>
    <t>GEOLOGICAL SOC PUBL HOUSE</t>
  </si>
  <si>
    <t>BATH</t>
  </si>
  <si>
    <t>UNIT 7, BRASSMILL ENTERPRISE CENTRE, BRASSMILL LANE, BATH BA1 3JN, AVON, ENGLAND</t>
  </si>
  <si>
    <t>0016-7649</t>
  </si>
  <si>
    <t>2041-479X</t>
  </si>
  <si>
    <t>J GEOL SOC LONDON</t>
  </si>
  <si>
    <t>J. Geol. Soc.</t>
  </si>
  <si>
    <t>10.1144/jgs2012-040</t>
  </si>
  <si>
    <t>106BA</t>
  </si>
  <si>
    <t>WOS:000316115200012</t>
  </si>
  <si>
    <t>Deng, ZA; Jin, JY; Ji, FY; Zhang, F; Jiang, XY; Wang, W; Kang, LC</t>
  </si>
  <si>
    <t>Deng, Zeng'an; Jin, Jiye; Ji, Fengying; Zhang, Feng; Jiang, Xiaoyi; Wang, Wei; Kang, Linchong</t>
  </si>
  <si>
    <t>Estimating the Isoneutral Slope and Tracer Diffusion from Argo Observations</t>
  </si>
  <si>
    <t>MARINE GEODESY</t>
  </si>
  <si>
    <t>Argo observations; geopotential ocean model; isoneutral slope; tracer diffusion</t>
  </si>
  <si>
    <t>ANTARCTIC BOTTOM WATER; POTENTIAL TEMPERATURE; CIRCULATION; DENSITY; ALGORITHMS; MODEL</t>
  </si>
  <si>
    <t>Tracer diffusion is an important issue in ocean modeling, and isoneutral slope is key to parameterization of tracer diffusion in the ocean interior when using the isoneutral/dianeutral scheme. In this study, multiyear mean temperature, salinity, and pressure-gridded products that cover the upper 2000m of the global ocean are created by employing all the Argo float observations up to date. Comparison with WOA09 data indicates that Argo temperature and salinity depict the reality well. Based on the reliable Argo gridded products, the in situ density fields are calculated. Then isoneutral slope in the ocean interior deep to 2000m was determined by using the Argo-derived density. Taking advantage of isoneutral slope, therefore, diffusion tensor as well as isoneutral tracer diffusion flux can be obtained in combination of the tracer diffusion coefficient. The aim of this work is to propose a procedure to estimate the isoneutral slope using Argo observations and to offer new isoneutral slope-gridded products in the hope of further facilitating the parameterization of isoneutral tracer diffusion in geopotential (Z-coordinate) ocean models.</t>
  </si>
  <si>
    <t>[Deng, Zeng'an; Jin, Jiye; Ji, Fengying; Zhang, Feng; Jiang, Xiaoyi; Wang, Wei; Kang, Linchong] Natl Marine Data &amp; Informat Serv, Tianjin 300171, Peoples R China; [Deng, Zeng'an; Jin, Jiye; Zhang, Feng; Jiang, Xiaoyi; Wang, Wei; Kang, Linchong] State Ocean Adm, Key Lab China Digital Ocean, Tianjin, Peoples R China</t>
  </si>
  <si>
    <t>National Marine Data &amp; Information Service</t>
  </si>
  <si>
    <t>Deng, ZA (corresponding author), Natl Marine Data &amp; Informat Serv, 93 Liuwei Rd, Tianjin 300171, Peoples R China.</t>
  </si>
  <si>
    <t>dengzengan@163.com</t>
  </si>
  <si>
    <t>Jin, Jiye/JXL-9931-2024</t>
  </si>
  <si>
    <t>Deng, Zengan/0000-0003-4531-1622</t>
  </si>
  <si>
    <t>research foundations for young scientists from State Oceanic Administration [2011221, 2011224, 2010606]; National Marine Data and Information Service [1612011, 1612013, 1612018, 1612019]; National Natural Science Foundation of China [41206012, 41171304]</t>
  </si>
  <si>
    <t>research foundations for young scientists from State Oceanic Administration; National Marine Data and Information Service; National Natural Science Foundation of China(National Natural Science Foundation of China (NSFC))</t>
  </si>
  <si>
    <t>The authors appreciate support from the research foundations for young scientists from State Oceanic Administration (2011221, 2011224, 2010606), research foundations from National Marine Data and Information Service (1612011, 1612013, 1612018, 1612019), and National Natural Science Foundation of China (Nos. 41206012 and 41171304). Helpful suggestions from Ms. Yu Ting and Ms. Dong Mingmei are greatly appreciated. We thank the Ocean Climate Laboratory of the National Ocean Data Center (USA) for its work in constructing the World Ocean Atlas 2009. Valuable comments from anonymous reviewers helped in improving this work.</t>
  </si>
  <si>
    <t>0149-0419</t>
  </si>
  <si>
    <t>1521-060X</t>
  </si>
  <si>
    <t>MAR GEOD</t>
  </si>
  <si>
    <t>Mar. Geod.</t>
  </si>
  <si>
    <t>10.1080/01490419.2012.699504</t>
  </si>
  <si>
    <t>Geochemistry &amp; Geophysics; Oceanography; Remote Sensing</t>
  </si>
  <si>
    <t>104IU</t>
  </si>
  <si>
    <t>WOS:000315986700007</t>
  </si>
  <si>
    <t>Bauch, HA</t>
  </si>
  <si>
    <t>Bauch, Henning A.</t>
  </si>
  <si>
    <t>Interglacial climates and the Atlantic meridional overturning circulation: is there an Arctic controversy?</t>
  </si>
  <si>
    <t>Arctic palaeoclimate; Warm interglaciations; Atlantic heat transfer; AMOC</t>
  </si>
  <si>
    <t>STABLE-ISOTOPE SIGNALS; DEEP-WATER CONDITIONS; NORTH-ATLANTIC; SEA-LEVEL; HIGH-RESOLUTION; NORDIC SEAS; ICE-SHEET; TERMINATION-II; NORWEGIAN SEA; OXYGEN-ISOTOPE</t>
  </si>
  <si>
    <t>Arctic palaeorecords are important to understand the natural range of forcing and feedback mechanisms within the context of past and present climate change in this temperature-sensitive region. A wide array of methods and archives now provide a robust understanding of the Holocene climate evolution. By comparison rather little is still known about older interglacials, and in particular, on the effects of the northward propagation of heat transfer via the Atlantic meridional ocean circulation (AMOC) into the Arctic. Terrestrial records from this area often indicate a warmer and moister climate during past interglacials than in the Holocene implying a more vigorous AMOC activity. This is in conflict with marine data. Although recognized as very prominent interglacials in Antarctic ice cores, cross-latitudinal surface ocean temperature reconstructions show that little of the surface ocean warmth still identified in the Northeast Atlantic during older interglacial peaks (e.g., MIS5e, 9, 11) was further conveyed into the polar latitudes, and that each interglacial developed its own specific palaeoclimate features. Interactive processes between water mass overturning and the hydrological system of the Arctic, and how both developed together out of a glacial period with its particular ice sheet configuration and relative sea-level history, determined the efficiency of an evolving interglacial AMOC. Because of that glacial terminations developed some very specific water mass characteristics, which also affected the climate evolution of the ensuing interglacial periods. Moreover, the observed contrasts in the Arctic-directed meridional ocean heat flux between past interglacials have implications for the palaeoclimatic evaluation of this polar region. Crucial environmental factors of the Arctic climate system, such as the highly dynamical interactions between deep water mass flow, surface ocean temperature/salinity, sea ice, and atmosphere, exert strong feedbacks on interglacial climate regionality that goes well beyond the Arctic. A sound interpretation of such processes from palaeoarchives requires a good understanding of the applied proxies. Fossils, in particular, are often key to the reconstruction of past conditions. But the tremendously flexible adaptation strategies of biota sometimes hampers further in-depth interpretations, especially when considering their palaeoenvironmental meaning in the context of rapid palaeoclimatic changes and long-term Pleistocene evolution. (c) 2012 Elsevier Ltd. All rights reserved.</t>
  </si>
  <si>
    <t>GEOMAR Helmholtz Ctr Ocean Res, Akad Wissensch &amp; Literatur Mainz, D-24148 Kiel, Germany</t>
  </si>
  <si>
    <t>Bauch, HA (corresponding author), GEOMAR Helmholtz Ctr Ocean Res, Akad Wissensch &amp; Literatur Mainz, Wischhofstr 1-3, D-24148 Kiel, Germany.</t>
  </si>
  <si>
    <t>hbauch@geomar.de</t>
  </si>
  <si>
    <t>10.1016/j.quascirev.2012.11.023</t>
  </si>
  <si>
    <t>105CO</t>
  </si>
  <si>
    <t>WOS:000316043400001</t>
  </si>
  <si>
    <t>Briggs, RD; Tarasov, L</t>
  </si>
  <si>
    <t>Briggs, Robert D.; Tarasov, Lev</t>
  </si>
  <si>
    <t>How to evaluate model-derived deglaciation chronologies: a case study using Antarctica</t>
  </si>
  <si>
    <t>Model evaluation; Observational data; Ice-sheet model; Antarctica; Deglaciation; Data model comparison</t>
  </si>
  <si>
    <t>LAST GLACIAL MAXIMUM; RELATIVE SEA-LEVEL; ICE-SHEET; EAST ANTARCTICA; EXPOSURE AGES; HISTORY; CONSTRAINTS; RECORD; RADIOCARBON; GREENLAND</t>
  </si>
  <si>
    <t>We address the evaluation of model-derived deglaciation chronologies using observational data. The study has been undertaken using the Antarctic ice sheet as the focus, however, the issues addressed and the methods described are applicable to the evaluation of other ice sheet reconstructions. Within this context, we present an initial database of observational data for constraining Antarctic ice sheet deglaciation chronologies (AntICEdat). The database constrains present-day ice sheet configuration, relative sea level, past ice thickness and grounding line retreat and is made available as a spreadsheet. We consider the non-trivial translation of an observation to model-applicable constraint data. Through observational error models and data-weighting we address the main issues that arise from evaluating modelled reconstructions - generated with a glacial systems model that has, like all such models, inherent structural deficiencies - using heterogeneous observational data. The evaluation method uses observational error models to quantify model to observational misfits that also incorporate the measurement uncertainties for each data-point. The data-point misfits are adjusted by data-weighting and combined to generate a score for the model output. As such, different chronologies can be evaluated and compared. We examine the sensitivity of the score to the different data-types and associated weighting using model-derived reconstructions. In addition, suggested reporting requirements are proposed to ensure that maximum value can be extracted from observational data. (c) 2012 Elsevier Ltd. All rights reserved.</t>
  </si>
  <si>
    <t>[Briggs, Robert D.; Tarasov, Lev] Mem Univ Newfoundland, Dept Phys &amp; Phys Oceanog, St John, NF A1B 3X7, Canada</t>
  </si>
  <si>
    <t>Memorial University Newfoundland</t>
  </si>
  <si>
    <t>Tarasov, L (corresponding author), Mem Univ Newfoundland, Dept Phys &amp; Phys Oceanog, St John, NF A1B 3X7, Canada.</t>
  </si>
  <si>
    <t>lev@mun.ca</t>
  </si>
  <si>
    <t>IPO, PAGES/JXY-7546-2024</t>
  </si>
  <si>
    <t>Briggs, Robert/0009-0006-3808-5750</t>
  </si>
  <si>
    <t>Canadian Foundation for Innovation; National Science and Engineering Research Council; ACEnet; Meltwater Ocean Cryosphere Atmospheric response network (MOCA)</t>
  </si>
  <si>
    <t>Canadian Foundation for Innovation(Canada Foundation for Innovation); National Science and Engineering Research Council(Natural Sciences and Engineering Research Council of Canada (NSERC)); ACEnet; Meltwater Ocean Cryosphere Atmospheric response network (MOCA)</t>
  </si>
  <si>
    <t>Support provided by Canadian Foundation for Innovation, the National Science and Engineering Research Council, and ACEnet. Tarasov holds a Canada Research Chair. This article is a contribution to the INQUA sponsored Meltwater Ocean Cryosphere Atmospheric response network (MOCA) and has benefited from discussions within network workshops.</t>
  </si>
  <si>
    <t>10.1016/j.quascirev.2012.11.021</t>
  </si>
  <si>
    <t>WOS:000316043400008</t>
  </si>
  <si>
    <t>Lowell, TV; Hall, BL; Kelly, MA; Bennike, O; Lusas, AR; Honsaker, W; Smith, CA; Levy, LB; Travis, S; Denton, GH</t>
  </si>
  <si>
    <t>Lowell, Thomas V.; Hall, Brenda L.; Kelly, Meredith A.; Bennike, Ole; Lusas, Amanda R.; Honsaker, William; Smith, Colby A.; Levy, Laura B.; Travis, Scott; Denton, George H.</t>
  </si>
  <si>
    <t>Late Holocene expansion of Istorvet ice cap, Liverpool Land, east Greenland</t>
  </si>
  <si>
    <t>East Greenland; Istorvet ice cap; Late Holocene; Little Ice Age</t>
  </si>
  <si>
    <t>NEW-ZEALAND; ENVIRONMENTAL HISTORY; OUTLET GLACIER; SCORESBY SUND; MASS-LOSS; CLIMATE; SHEET; VARIABILITY; CALIBRATION; RECONSTRUCTION</t>
  </si>
  <si>
    <t>The Greenland Ice Sheet is undergoing dynamic changes that will have global implications if they continue into the future. In this regard, an understanding of how the ice sheet responded to past climate changes affords a baseline for anticipating future behavior. Small, independent ice caps adjacent to the Greenland Ice Sheet (hereinafter called local ice caps) are sensitive indicators of the response of Greenland ice-marginal zones to climate change. Therefore, we reconstructed late Holocene ice-marginal fluctuations of the local Istorvet ice cap in east Greenland, using radiocarbon dates of subfossil plants, Be-10 dates of surface boulders, and analyses of sediment cores from both threshold and control lakes. During the last termination, the Istorvet ice cap had retreated close to its maximum Holocene position by similar to 11,730 cal yr BP. Radiocarbon dates of subfossil plants exposed by recent recession of the ice margin indicate that the Istorvet cap was smaller than at present from AD 200 to AD 1025. Sediments from a threshold lake show no glacial input until the ice cap advanced to within 365 m of its Holocene maximum position by AD similar to 1150. Thereafter the ice cap remained at or close to this position until at least AD 1660. The timing of this, the most extensive of the Holocene, expansion is similar to that recorded at some glaciers in the Alps and in southern Alaska. However, in contrast to these other regions, the expansion in east Greenland at AD 1150 appears to have been very close to, if not at, a maximum Holocene value. Comparison of the Istorvet ice-cap fluctuations with Holocene glacier extents in Southern Hemisphere middle-to-high latitude locations on the Antarctic Peninsula and in the Andes and the Southern Alps suggests an out-of-phase relationship. If correct, this pattern supports the hypothesis that a bipolar see-saw of oceanic and/or atmospheric circulation during the Holocene produced asynchronous glacier response at some localities in the two polar hemispheres. (c) 2012 Elsevier Ltd. All rights reserved.</t>
  </si>
  <si>
    <t>[Lowell, Thomas V.; Honsaker, William; Smith, Colby A.] Univ Cincinnati, Dept Geol, Cincinnati, OH 45226 USA; [Hall, Brenda L.; Lusas, Amanda R.; Denton, George H.] Univ Maine, Sch Earth &amp; Climate Sci, Orono, ME 04469 USA; [Hall, Brenda L.; Lusas, Amanda R.; Denton, George H.] Univ Maine, Climate Change Inst, Orono, ME 04469 USA; [Kelly, Meredith A.; Levy, Laura B.] Dartmouth Coll, Dept Earth Sci, Hanover, NH 03755 USA; [Bennike, Ole] Geol Survey Denmark &amp; Greenland, Copenhagen, Denmark; [Travis, Scott] GCI, Soldiers Grove, WI 54655 USA</t>
  </si>
  <si>
    <t>University System of Ohio; University of Cincinnati; University of Maine System; University of Maine Orono; University of Maine System; University of Maine Orono; Dartmouth College; Geological Survey Of Denmark &amp; Greenland</t>
  </si>
  <si>
    <t>Lowell, TV (corresponding author), Univ Cincinnati, Dept Geol, Cincinnati, OH 45226 USA.</t>
  </si>
  <si>
    <t>Thomas.Lowell@uc.edu</t>
  </si>
  <si>
    <t>Levy, Laura/A-3648-2015; Bennike, Ole/G-7070-2018</t>
  </si>
  <si>
    <t>Levy, Laura/0000-0002-4617-8299; Kelly, Meredith/0000-0001-8163-3907; Lowell, Thomas/0000-0001-7826-0636; Bennike, Ole/0000-0002-5486-9946</t>
  </si>
  <si>
    <t>Comer Science and Education Foundation; NSF [ARC-0909285, ARC-0908081, ARC-0909270]; Office of Polar Programs (OPP); Directorate For Geosciences [0909270] Funding Source: National Science Foundation</t>
  </si>
  <si>
    <t>Comer Science and Education Foundation; NSF(National Science Foundation (NSF)); Office of Polar Programs (OPP); Directorate For Geosciences(National Science Foundation (NSF)NSF - Directorate for Geosciences (GEO))</t>
  </si>
  <si>
    <t>We thank the Comer Science and Education Foundation, the late Gary Comer, the late Telford Allen, and the Captain and crew of the Turmoil for support, and K. Garhart for field assistance. Mike Retelle and two anonymous reviewers helped clarify this paper. LRC staff were instrumental in the preliminary core analysis. This work was also generously supported by NSF awards to Lowell (ARC-0909285), Hall (ARC-0908081), and Kelly (ARC-0909270).</t>
  </si>
  <si>
    <t>10.1016/j.quascirev.2012.11.012</t>
  </si>
  <si>
    <t>WOS:000316043400009</t>
  </si>
  <si>
    <t>Yang, QX; Tian, JW; Zhao, W; Xie, LL</t>
  </si>
  <si>
    <t>Yang Qingxuan; Tian Jiwei; Zhao Wei; Xie Lingling</t>
  </si>
  <si>
    <t>Turbulent dissipation and mixing in Prydz Bay</t>
  </si>
  <si>
    <t>CHINESE JOURNAL OF OCEANOLOGY AND LIMNOLOGY</t>
  </si>
  <si>
    <t>turbulent mixing; Prydz Bay; Antarctic Bottom Water (AABW); microstructure observation</t>
  </si>
  <si>
    <t>ANTARCTIC BOTTOM WATER; INTERNAL WAVES; SOUTHERN-OCEAN; CIRCUMPOLAR CURRENT; WESTERN WEDDELL; CIRCULATION; SEA; SHELF; MICROSTRUCTURE; PROFILES</t>
  </si>
  <si>
    <t>In this paper, we present measurements of velocity, temperature, salinity, and turbulence collected in Prydz Bay, Antarctica, during February, 2005. The dissipation rates of turbulent kinetic energy (E &gt;) and diapycnal diffusivities (K (z) ) were estimated along a section in front of the Amery Ice Shelf. The dissipation rates and diapycnal diffusivities were spatially non-uniform, with higher values found in the western half of the section where E &gt; reached 10(-7) W/kg and K (z) reached 10(-2) m(2)/s, about two and three orders of magnitude higher than those in the open ocean, respectively. In the western half of the section both the dissipation rates and diffusivities showed a high-low-high vertical structure. This vertical structure may have been determined by internal waves in the upper layer, where the ice shelf draft acts as a possible energy source, and by bottom-generated internal waves in the lower layer, where both tides and geostrophic currents are possible energy sources. The intense diapycnal mixing revealed in our observations could contribute to the production of Antarctic Bottom Water in Prydz Bay.</t>
  </si>
  <si>
    <t>[Yang Qingxuan; Tian Jiwei; Zhao Wei] Ocean Univ China, Phys Oceanog Lab, Qingdao 266100, Peoples R China; [Xie Lingling] Guangdong Ocean Univ, South China Sea Environm Inst, Zhanjiang 524088, Peoples R China</t>
  </si>
  <si>
    <t>Ocean University of China; Guangdong Ocean University</t>
  </si>
  <si>
    <t>Yang, QX (corresponding author), Ocean Univ China, Phys Oceanog Lab, Qingdao 266100, Peoples R China.</t>
  </si>
  <si>
    <t>yangqx@ouc.edu.cn</t>
  </si>
  <si>
    <t>Zhao, Wei/K-7846-2012</t>
  </si>
  <si>
    <t>National Natural Science Foundation of China [40906004, 40890153, 41176008, 91028008]; National High Technology Research and Development Program of China (863 Program) [2008AA09A402]; Polar Science Strategic Foundation of China [20080206]; Key Lab Open Research Foundation of China [KP201006]; National Key Technology Research and Development Program of China [2006BAB18B02]</t>
  </si>
  <si>
    <t>National Natural Science Foundation of China(National Natural Science Foundation of China (NSFC)); National High Technology Research and Development Program of China (863 Program)(National High Technology Research and Development Program of China); Polar Science Strategic Foundation of China; Key Lab Open Research Foundation of China; National Key Technology Research and Development Program of China(National Key Technology R&amp;D ProgramNational High Technology Research and Development Program of China)</t>
  </si>
  <si>
    <t>Supported by the National Natural Science Foundation of China (Nos. 40906004, 40890153, 41176008, and 91028008), the National High Technology Research and Development Program of China (863 Program) (No. 2008AA09A402), the Polar Science Strategic Foundation of China (No. 20080206), the Key Lab Open Research Foundation of China (No. KP201006), and the National Key Technology Research and Development Program of China (No. 2006BAB18B02)</t>
  </si>
  <si>
    <t>16 DONGHUANGCHENGGEN NORTH ST, BEIJING, 100717, PEOPLES R CHINA</t>
  </si>
  <si>
    <t>0254-4059</t>
  </si>
  <si>
    <t>CHIN J OCEANOL LIMN</t>
  </si>
  <si>
    <t>Chin. J. Oceanol. Limnol.</t>
  </si>
  <si>
    <t>10.1007/s00343-013-2040-3</t>
  </si>
  <si>
    <t>104TO</t>
  </si>
  <si>
    <t>WOS:000316018300022</t>
  </si>
  <si>
    <t>González, PD; Tortello, MF; Damborenea, SE; Naipauer, M; Sato, AM; Varela, R</t>
  </si>
  <si>
    <t>Gonzalez, P. D.; Tortello, M. F.; Damborenea, S. E.; Naipauer, M.; Sato, A. M.; Varela, R.</t>
  </si>
  <si>
    <t>Archaeocyaths from South America: review and a new record</t>
  </si>
  <si>
    <t>archaeocyaths; South America; Gondwana; Late Palaeozoic glaciations; Sierras Australes; Buenos Aires</t>
  </si>
  <si>
    <t>LATE PALEOZOIC GLACIATION; LIMESTONE BLOCKS; PARANA BASIN; GONDWANA; PAGANZO; SEQUENCES; ARGENTINA; MARGIN; FACIES</t>
  </si>
  <si>
    <t>In South America, autochthonous archaeocyathan faunas preserved in Early Cambrian limestones have not been found yet. Nevertheless, a few well-documented occurrences of these fossils in clasts contained in coarse-grained rocks of a wide age range have been discovered in recent years. Erratic limestone blocks from the Late CarboniferousEarly Permian Fitzroy Tillite Formation in the Falkland/Malvinas Islands yielded three archaeocyath taxa. Also, seven taxa were reported from archaeocyathan limestone clasts in a metaconglomerate of the Cambro-Ordovician El Jaguelito Formation in northern Patagonia. In addition, a new record from the Late CarboniferousEarly Permian Sauce Grande Formation diamictites in Sierras Australes, Buenos Aires Province, Argentina, is presented herein. Preservation of this scarce new material is poor, but at least three different taxa can be distinguished. The most likely source of all archaeocyathan limestone clasts found in southern South America is the Shackleton Limestone from the Transantarctic Mountains in East Antarctica. The new record from the Sauce Grande Formation and the inferred clast provenance reinforce the correlation between this unit, the Dwyka Tillite (South Africa) and the Fitzroy Tillite Formation (Falklands/Malvinas), suggesting a very wide distribution of these Antarctic occurrences during the Late CarboniferousEarly Permian Gondwana glaciation (Episode III). Thus, even though being allochthonous, archaeocyaths are emerging as a new key biological feature for Gondwana palaeogeographic reconstructions. Copyright (c) 2012 John Wiley &amp; Sons, Ltd.</t>
  </si>
  <si>
    <t>[Gonzalez, P. D.; Sato, A. M.; Varela, R.] Univ Nacl La Plata, CONICET, Ctr Invest Geol, La Plata, Buenos Aires, Argentina; [Tortello, M. F.; Damborenea, S. E.] Museo Ciencias Nat, CONICET, Div Paleozool Invertebrados, La Plata, Buenos Aires, Argentina; [Naipauer, M.] UBA, FCEN, Dept Ciencias Geol, Inst Estudios Andinos Don Pablo Groeber, Buenos Aires, DF, Argentina</t>
  </si>
  <si>
    <t>National University of La Plata; Consejo Nacional de Investigaciones Cientificas y Tecnicas (CONICET); Consejo Nacional de Investigaciones Cientificas y Tecnicas (CONICET); University of Buenos Aires</t>
  </si>
  <si>
    <t>González, PD (corresponding author), Univ Nacl La Plata, CONICET, Ctr Invest Geol, Calle 1 644,B 1900 TAC, La Plata, Buenos Aires, Argentina.</t>
  </si>
  <si>
    <t>gonzapab@cig.museo.unlp.edu.ar</t>
  </si>
  <si>
    <t>Damborenea, Susana/HTP-0846-2023</t>
  </si>
  <si>
    <t>Damborenea, Susana Ester/0000-0002-2302-9944</t>
  </si>
  <si>
    <t>[UNLP 11/N 528]; [CONICET PIP 0119]</t>
  </si>
  <si>
    <t>This is a contribution to the Special Issue and we thank Guillermo Albanesi for his kind invitation to publish our results in this volume. We are grateful to the reviewers, M. R. A. Thomson and O. Lopez-Gamundi, whose comments contributed to improve the manuscript. The final English version was greatly benefited by the kind assistance of both reviewers. This study was funded by projects UNLP 11/N 528 and CONICET PIP 0119, Argentina.</t>
  </si>
  <si>
    <t>MAR-JUN</t>
  </si>
  <si>
    <t>2-3</t>
  </si>
  <si>
    <t>10.1002/gj.2415</t>
  </si>
  <si>
    <t>100JA</t>
  </si>
  <si>
    <t>WOS:000315693600002</t>
  </si>
  <si>
    <t>Currey, LM; Williams, AJ; Mapstone, BD; Davies, CR; Carlos, G; Welch, DJ; Simpfendorfer, CA; Ballagh, AC; Penny, AL; Grandcourt, EM; Mapleston, A; Wiebkin, AS; Bean, K</t>
  </si>
  <si>
    <t>Currey, L. M.; Williams, A. J.; Mapstone, B. D.; Davies, C. R.; Carlos, G.; Welch, D. J.; Simpfendorfer, C. A.; Ballagh, A. C.; Penny, A. L.; Grandcourt, E. M.; Mapleston, A.; Wiebkin, A. S.; Bean, K.</t>
  </si>
  <si>
    <t>Comparative biology of tropical Lethrinus species (Lethrinidae): challenges for multi-species management</t>
  </si>
  <si>
    <t>JOURNAL OF FISH BIOLOGY</t>
  </si>
  <si>
    <t>exploitation; life history; reef fishes; reproductive biology; tropical fisheries</t>
  </si>
  <si>
    <t>RED-THROAT EMPEROR; CORAL-REEF FISH; GREAT-BARRIER-REEF; REPRODUCTIVE-BIOLOGY; LIFE-HISTORY; DEMOGRAPHIC CHARACTERISTICS; SEXUAL CHARACTERISTICS; FORSSKAL 1775; GROWTH; AGE</t>
  </si>
  <si>
    <t>Life-history characteristics of six tropical Lethrinus species sampled from the Great Barrier Reef World Heritage Area were compared. Two species groups were identified based on fork length (LF): large species with maximum LF &gt; 640 mm (longface emperor Lethrinus olivaceus, yellowlip emperor Lethrinus xanthochilus and spangled emperor Lethrinus nebulosus) and small species with maximum LF &lt; 480 mm (Pacific yellowtail emperor Lethrinus atkinsoni, pink ear emperor Lethrinus lentjan and ornate emperor Lethrinus ornatus). Lifespan was not correlated with LF. Early growth for all species was rapid and similar during the first few years of life, but coefficients of the von Bertalanffy growth function varied considerably among species. Growth also differed between sexes for L. atkinsoni. Reproductive characteristics varied among species, with peak periods of spawning occurring in November to December for L. atkinsoni, July to August for L. nebulous, September to October for L. olivaceus and a protracted season for L. lentjan, although fewer samples were available for the last two species. Sex-specific LF and age distributions and gonad histology of L. lentjan were suggestive of a functional protogynous reproductive pattern, as observed in other lethrinids. Gonad histology indicated non-functional protogynous hermaphroditism for L. atkinsoni and L. nebulosus. The diversity of life histories among these closely related species emphasizes the difficulty in devising single management strategies appropriate for multi-species fisheries and illustrates the importance of understanding species-specific life histories to infer responses to exploitation.</t>
  </si>
  <si>
    <t>[Currey, L. M.; Williams, A. J.; Welch, D. J.; Simpfendorfer, C. A.; Ballagh, A. C.; Penny, A. L.; Mapleston, A.; Bean, K.] James Cook Univ, Ctr Sustainable Trop Fisheries &amp; Aquaculture, Douglas, Qld 4811, Australia; [Currey, L. M.; Williams, A. J.; Welch, D. J.; Simpfendorfer, C. A.; Ballagh, A. C.; Penny, A. L.; Mapleston, A.; Bean, K.] James Cook Univ, Sch Earth &amp; Environm Sci, Douglas, Qld 4811, Australia; [Mapstone, B. D.; Davies, C. R.] CSIRO Marine &amp; Atmospher Res, Hobart, Tas 7001, Australia; [Carlos, G.] Inst Marine &amp; Antarctic Studies, Hobart, Tas 7053, Australia; [Grandcourt, E. M.] Environm Agcy Abu Dhabi, Marine, Biodivers Management Sect, Abu Dhabi, U Arab Emirates; [Wiebkin, A. S.] Dept Environm &amp; Nat Resources South Australia, Adelaide, SA 5001, Australia</t>
  </si>
  <si>
    <t>James Cook University; James Cook University; Commonwealth Scientific &amp; Industrial Research Organisation (CSIRO); University of Tasmania</t>
  </si>
  <si>
    <t>Currey, LM (corresponding author), James Cook Univ, Ctr Sustainable Trop Fisheries &amp; Aquaculture, Douglas, Qld 4811, Australia.</t>
  </si>
  <si>
    <t>leanne.currey@my.jcu.edu.au</t>
  </si>
  <si>
    <t>Simpfendorfer, Colin A/G-9681-2011; Williams, Ashley J/J-7565-2013; Williams, Ashley/JAX-9689-2023; Williams, Ashley/G-2017-2014; Williams, Ashley/ABA-5921-2020; Currey-Randall, Leanne/AAS-8975-2020; Davies, Campbell R/N-8086-2013; Ballagh, Aaron/E-4267-2010</t>
  </si>
  <si>
    <t>Williams, Ashley/0000-0002-5530-0073; Williams, Ashley/0000-0002-5530-0073; Currey-Randall, Leanne/0000-0002-3772-1288; Ballagh, Aaron/0000-0002-8040-7788</t>
  </si>
  <si>
    <t>CRC Reef Research Centre; Fisheries Research and Development Corporation; Great Barrier Reef Marine Park Authority; Queensland Department of Primary Industries and Fisheries; James Cook University; Australian Government's Marine and Tropical Sciences Research Facility</t>
  </si>
  <si>
    <t>CRC Reef Research Centre(Australian GovernmentDepartment of Industry, Innovation and ScienceCooperative Research Centres (CRC) Programme); Fisheries Research and Development Corporation; Great Barrier Reef Marine Park Authority; Queensland Department of Primary Industries and Fisheries; James Cook University; Australian Government's Marine and Tropical Sciences Research Facility(Australian Government)</t>
  </si>
  <si>
    <t>Funding for the ELF Experiment was provided by the CRC Reef Research Centre, the Fisheries Research and Development Corporation, the Great Barrier Reef Marine Park Authority, the Queensland Department of Primary Industries and Fisheries and James Cook University. Funding for analysis was provided by the Australian Government's Marine and Tropical Sciences Research Facility. The authors would like to thank the many commercial fishers who participated in the ELF Experiment, in particular R. Stewart, M. Petersen, T. Must, K. Holland and M. Bush. Map data was provided by the Commonwealth of Australia (Great Barrier Reef Marine Park Authority) 2010.</t>
  </si>
  <si>
    <t>0022-1112</t>
  </si>
  <si>
    <t>1095-8649</t>
  </si>
  <si>
    <t>J FISH BIOL</t>
  </si>
  <si>
    <t>J. Fish Biol.</t>
  </si>
  <si>
    <t>10.1111/jfb.3495</t>
  </si>
  <si>
    <t>104OR</t>
  </si>
  <si>
    <t>WOS:000316004400002</t>
  </si>
  <si>
    <t>Chankova, S; Mitrovska, Z; Miteva, D; Oleskina, YP; Yurina, NP</t>
  </si>
  <si>
    <t>Chankova, Stephka; Mitrovska, Zhana; Miteva, Daniela; Oleskina, Yulia P.; Yurina, Nadezhda P.</t>
  </si>
  <si>
    <t>Heat shock protein HSP70B as a marker for genotype resistance to environmental stress in Chlorella species from contrasting habitats</t>
  </si>
  <si>
    <t>Chlorella species; Temperature stress; HSP70B; Clonal assay; Western blotting</t>
  </si>
  <si>
    <t>CHLAMYDOMONAS-REINHARDTII; MOLECULAR CHAPERONES; ADAPTIVE RESPONSE; PISUM-SATIVUM; DNA-DAMAGE; TEMPERATURE; CHLOROPLAST; GROWTH; PLANTS; ROLES</t>
  </si>
  <si>
    <t>The cellular response of three Chlorella species that differ in their temperature preferences and tolerance - Chlorella vulgaris Antarctic, C vulgaris strain 8/1 - thermophilic, and Chlorella kesslery - mesophilic - is analysed. Interspecies variability is found for the sensitivity of the species, with respect to the constitutive and induced levels of HSP70B. Based on their sensitivity to heat, the species were ranked as follows: C vulgaris &gt; C vulgaris 8/1&gt;C kesslery. A higher constitutive level and the well-expressed overproduction of HSP70B estimated for C. vulgaris are most likely among the factors that allow it to survive in the extreme Antarctic environment. The overexpression of HSP70B could be characterised as a short-lived stress response as the most pronounced enhancement is measured at 2 h after the stress. We also show that HSP70B may be used as a marker of thermal stress in these organisms. Our results contribute to the hypothesis of the conserved functional properties of HSP70B as a mechanism of thermotolerance in plants. (C) 2012 Elsevier B.V. All rights reserved.</t>
  </si>
  <si>
    <t>[Chankova, Stephka; Mitrovska, Zhana; Miteva, Daniela] BAS, Inst Biodivers &amp; Ecosyst Res, Dept Ecosyst Res Ecol Risk Assessment &amp; Conservat, Sofia 1113, Bulgaria; [Oleskina, Yulia P.; Yurina, Nadezhda P.] RAS, AN Bach Inst Biochem, Lab Chloroplast Biochem, Moscow 119071, Russia</t>
  </si>
  <si>
    <t>Bulgarian Academy of Sciences; Russian Academy of Sciences; Research Center of Biotechnology RAS</t>
  </si>
  <si>
    <t>Chankova, S (corresponding author), BAS, Inst Biodivers &amp; Ecosyst Res, Dept Ecosyst Res Ecol Risk Assessment &amp; Conservat, Gagarin St 2, Sofia 1113, Bulgaria.</t>
  </si>
  <si>
    <t>Stephanie.Chankova@yahoo.com; NYurina@inbi.ras.ru</t>
  </si>
  <si>
    <t>Bulgarian Ministry of Education, Young and Science [D-002-317]; RAS; BAS; WETLANET, FP7 CSA - SUPPORT ACTION [229802]; Program MCB RAS</t>
  </si>
  <si>
    <t>Bulgarian Ministry of Education, Young and Science; RAS(Russian Academy of SciencesRegione Sardegna); BAS; WETLANET, FP7 CSA - SUPPORT ACTION; Program MCB RAS</t>
  </si>
  <si>
    <t>This work was funded under the following projects: D-002-317 Antarctic algae - model system for oxidative stress resistance, Bulgarian Ministry of Education, Young and Science; Molecular mechanisms of induced resistance in plants to oxidative stress, agreement between RAS and BAS; WETLANET, FP7 CSA - SUPPORT ACTION, contract No. 229802, 2008; and Program MCB RAS. We thank Prof. Michael Schroda (Albert-Ludwigs-Universitat Freiburg, Institut fur Biologie II, Germany) for providing the antiserum against HSP70B.</t>
  </si>
  <si>
    <t>10.1016/j.gene.2012.11.052</t>
  </si>
  <si>
    <t>095XE</t>
  </si>
  <si>
    <t>WOS:000315367500030</t>
  </si>
  <si>
    <t>Kottmann, J; Kihara, TC; Glatzel, T; Veit-Köhler, G</t>
  </si>
  <si>
    <t>Kottmann, Johanna; Kihara, Terue Cristina; Glatzel, Thomas; Veit-Koehler, Gritta</t>
  </si>
  <si>
    <t>A new species of Wellsopsyllus (Copepoda, Harpacticoida, Paramesochridae) from the deep Southern Ocean and remarks on its biogeography</t>
  </si>
  <si>
    <t>Meiofauna; Meiobenthic copepods; Species description; ANDEEP II; CROZEX; Systematics; Distribution range</t>
  </si>
  <si>
    <t>GENUS KLIOPSYLLUS KUNZ; BENTHIC COMMUNITIES; SIZE DISTRIBUTIONS; SEXUAL-DIMORPHISM; SEA BIODIVERSITY; ANGOLA BASIN; SP N.; DISPERSAL; MEIOFAUNA; CRUSTACEA</t>
  </si>
  <si>
    <t>The new deep-sea copepod species of the family Paramesochridae (Copepoda, Harpacticoida) presented here was collected during the scientific ANtarctic benthic DEEP-sea biodiversity cruise II (ANDEEP II) to the Weddell Abyssal Plain and western Weddell Sea and the CROZet natural iron bloom and EXport experiment (CROZEX cruise) to the Crozet Isles in the Indian Ocean. The new species has been allocated to the subgenus Wellsopsyllus within the genus Wellsopsyllus Kunz, 1981, based on the 1-segmented endopods and 3-segmented exopods of swimming legs 2-4. Furthermore, the new species shows a 1-segmented exopod of the antenna. Wellsopsyllus (W.) antarcticus sp. n. can be distinguished from its congeners by its small body size, the presence of two setae on the distal segment of the endopod of the first swimming leg, by the very small furcal rami, the extremely reduced endopods of second and third swimming legs, the reduced mandibular palp and maxillula, as well as by the size and armature of the fifth and sixth swimming legs in both sexes. Difficulties of the placement of the new species into a suitable genus show an insufficiency in the present family classification. In the future, a revision of the genus Wellsopsyllus is essential. With its presence in the western Weddell Sea and the Indian Ocean, the new species may have a wide distribution range. Furthermore, it is the first abyssal species of the genus Wellsopsyllus sampled outside of the Scotia Sea.</t>
  </si>
  <si>
    <t>[Kottmann, Johanna; Kihara, Terue Cristina; Veit-Koehler, Gritta] DZMB German Ctr Marine Biodivers Res, D-26382 Wilhelmshaven, Germany; [Kottmann, Johanna; Glatzel, Thomas] Carl von Ossietzky Univ Oldenburg, Dept Biol &amp; Environm Sci, D-26111 Oldenburg, Germany</t>
  </si>
  <si>
    <t>Carl von Ossietzky Universitat Oldenburg</t>
  </si>
  <si>
    <t>Veit-Köhler, G (corresponding author), DZMB German Ctr Marine Biodivers Res, Sudstrand 44, D-26382 Wilhelmshaven, Germany.</t>
  </si>
  <si>
    <t>gveit-koehler@senckenberg.de</t>
  </si>
  <si>
    <t>rios, oscar/JFK-7806-2023</t>
  </si>
  <si>
    <t>BIOMED CENTRAL LTD</t>
  </si>
  <si>
    <t>236 GRAYS INN RD, FLOOR 6, LONDON WC1X 8HL, ENGLAND</t>
  </si>
  <si>
    <t>10.1007/s10152-012-0302-7</t>
  </si>
  <si>
    <t>096ZS</t>
  </si>
  <si>
    <t>WOS:000315444300003</t>
  </si>
  <si>
    <t>Capellacci, S; Battocchi, C; Casabianca, S; Giovine, M; Bavestrello, G; Penna, A</t>
  </si>
  <si>
    <t>Capellacci, Samuela; Battocchi, Cecilia; Casabianca, Silvia; Giovine, Marco; Bavestrello, Giorgio; Penna, Antonella</t>
  </si>
  <si>
    <t>Bioavailability of different chemical forms of dissolved silica can affect marine diatom growth</t>
  </si>
  <si>
    <t>MARINE ECOLOGY-AN EVOLUTIONARY PERSPECTIVE</t>
  </si>
  <si>
    <t>Biogenic silica; crystalline silica; diatoms; growth; silica dissolution</t>
  </si>
  <si>
    <t>BIOGENIC SILICA; DISSOLUTION; OCEAN; SI; BACILLARIOPHYCEAE; EXPRESSION; MORPHOLOGY; SALINITY; KINETICS; SEAWATER</t>
  </si>
  <si>
    <t>In this study, we demonstrate that dissolved silica obtained from mineral (crystalline quartz), biogenic amorphous (diatomaceous earth) and artificial amorphous sources (Aerosil) influence the growth rate of two marine diatoms, Chaetoceros sp. and Skeletonema marinoi. Diatoms were reared in four different experimental conditions in artificial seawater containing either dissolved silica previously obtained through dissolution of the mineral crystalline quartz or two amorphous substrates, biogenic diatomaceous earth or artificial Aerosil silica. Sodium metasilicate was used as control. When the silica in the different media reached concentrations higher than 107m, particles were eliminated by filtration and the diatom cells were inoculated. Maximum cell density, growth and silica assimilation rates of both species in the presence of dissolved silica derived from crystalline quartz and metasilicate were higher than those obtained with the other silica sources. These results are discussed against the background of previous geochemical studies that have shown that silicawater interactions are strictly dependent on the silica polymorphs involved and on the ionic composition of the solution. Our results demonstrate that the soluble silicon compounds generated in seawater by crystalline sources are highly bioavailable compared with those generated by biogenic and amorphous materials. These findings are potentially of considerable ecological importance and may contribute to clarifying anomalous spatial and temporal distributions of siliceous organisms with respect to the presence of lithogenic or biogenic silica sources in marine environments.</t>
  </si>
  <si>
    <t>[Capellacci, Samuela; Battocchi, Cecilia; Casabianca, Silvia; Penna, Antonella] Univ Urbino, Dept Biomol Sci, Environm Biol Lab, I-61121 Pesaro, Italy; [Giovine, Marco; Bavestrello, Giorgio] Univ Genoa, Di STAV, Genoa, Italy</t>
  </si>
  <si>
    <t>University of Urbino; University of Genoa</t>
  </si>
  <si>
    <t>Penna, A (corresponding author), Univ Urbino, Dept Biomol Sci, Environm Biol Lab, Viale Trieste 296, I-61121 Pesaro, Italy.</t>
  </si>
  <si>
    <t>antonella.penna@uniurb.it</t>
  </si>
  <si>
    <t>Bavestrello, Giorgio/JXN-5230-2024</t>
  </si>
  <si>
    <t>GIOVINE, Marco/0000-0001-8085-0619; CASABIANCA, Silvia/0000-0003-2670-5423</t>
  </si>
  <si>
    <t>Programmi Ricerca and Programma Nazionale Antartide of Ministero Istruzione, Universita e Ricerca [PRIN2007R8AWYY, PNRA2009_101]</t>
  </si>
  <si>
    <t>Programmi Ricerca and Programma Nazionale Antartide of Ministero Istruzione, Universita e Ricerca</t>
  </si>
  <si>
    <t>This work was funded through grants PRIN2007R8AWYY 'Regulation of the mechanisms of biomineralization in marine organisms' to M. G. and PNRA2009_101 'Biosilicification processes in the Antarctic Sea: ecological and chemical-physical aspects' to A. P. and M. G., financed by Programmi Ricerca and Programma Nazionale Antartide of Ministero Istruzione, Universita e Ricerca, respectively. The authors are really grateful to Prof. Giulio Ottonello for the stimulating scientific discussion.</t>
  </si>
  <si>
    <t>0173-9565</t>
  </si>
  <si>
    <t>1439-0485</t>
  </si>
  <si>
    <t>MAR ECOL-EVOL PERSP</t>
  </si>
  <si>
    <t>Mar. Ecol.-Evol. Persp.</t>
  </si>
  <si>
    <t>10.1111/j.1439-0485.2012.00529.x</t>
  </si>
  <si>
    <t>096IM</t>
  </si>
  <si>
    <t>WOS:000315397400011</t>
  </si>
  <si>
    <t>Lee, J; Noh, EK; Choi, HS; Shin, SC; Park, H; Lee, H</t>
  </si>
  <si>
    <t>Lee, Jungeun; Noh, Eun Kyeung; Choi, Hyung-Seok; Shin, Seung Chul; Park, Hyun; Lee, Hyoungseok</t>
  </si>
  <si>
    <t>Transcriptome sequencing of the Antarctic vascular plant Deschampsia antarctica Desv. under abiotic stress</t>
  </si>
  <si>
    <t>PLANTA</t>
  </si>
  <si>
    <t>Deschampsia antarctica; Extremophile; Hairgrass; Pyrosequencing; Stress response</t>
  </si>
  <si>
    <t>PHOSPHOENOLPYRUVATE CARBOXYLASE; DROUGHT STRESS; ARABIDOPSIS; COLD; GENE; EXPRESSION; TOLERANCE; SALT; TOOL; ACCLIMATION</t>
  </si>
  <si>
    <t>Antarctic hairgrass (Deschampsia antarctica Desv.) is the only natural grass species in the maritime Antarctic. It has been studied as an extremophile that has successfully adapted to marginal land with the harshest environment for terrestrial plants. However, limited genetic research has focused on this species due to the lack of genomic resources. Here, we present the first de novo assembly of its transcriptome by massive parallel sequencing and its expression profile using D. antarctica grown under various stress conditions. Total sequence reads generated by pyrosequencing were assembled into 60,765 unigenes (28,177 contigs and 32,588 singletons). A total of 29,173 unique protein-coding genes were identified based on sequence similarities to known proteins. The combined results from all three stress conditions indicated differential expression of 3,110 genes. Quantitative reverse transcription polymerase chain reaction showed that several well-known stress-responsive genes encoding late embryogenesis abundant protein, dehydrin 1, and ice recrystallization inhibition protein were induced dramatically and that genes encoding U-box-domain-containing protein, electron transfer flavoprotein-ubiquinone, and F-box-containing protein were induced by abiotic stressors in a manner conserved with other plant species. We identified more than 2,000 simple sequence repeats that can be developed as functional molecular markers. This dataset is the most comprehensive transcriptome resource currently available for D. antarctica and is therefore expected to be an important foundation for future genetic studies of grasses and extremophiles.</t>
  </si>
  <si>
    <t>[Lee, Jungeun; Noh, Eun Kyeung; Shin, Seung Chul; Park, Hyun; Lee, Hyoungseok] Korea Polar Res Inst, Div Life Sci, Inchon 406840, South Korea; [Choi, Hyung-Seok] LGE Adv Res Inst, Bio&amp;Hlth Team, Future IT R&amp;D Lab, Seoul 137724, South Korea</t>
  </si>
  <si>
    <t>Korea Polar Research Institute (KOPRI); Korea Institute of Ocean Science &amp; Technology (KIOST)</t>
  </si>
  <si>
    <t>Lee, H (corresponding author), Korea Polar Res Inst, Div Life Sci, 12 Gaetbeol Ro, Inchon 406840, South Korea.</t>
  </si>
  <si>
    <t>soulaid@kopri.re.kr</t>
  </si>
  <si>
    <t>Lee, Hyoungseok/0000-0002-5831-6345; Park, Hyun/0000-0002-8055-2010</t>
  </si>
  <si>
    <t>Functional Genomics on Polar Organisms grant [PE12020]; Korea Polar Research Institute (KOPRI)</t>
  </si>
  <si>
    <t>Functional Genomics on Polar Organisms grant; Korea Polar Research Institute (KOPRI)</t>
  </si>
  <si>
    <t>This work was supported by Functional Genomics on Polar Organisms grant (PE12020) funded by Korea Polar Research Institute (KOPRI).</t>
  </si>
  <si>
    <t>0032-0935</t>
  </si>
  <si>
    <t>1432-2048</t>
  </si>
  <si>
    <t>Planta</t>
  </si>
  <si>
    <t>10.1007/s00425-012-1797-5</t>
  </si>
  <si>
    <t>096CZ</t>
  </si>
  <si>
    <t>WOS:000315382900014</t>
  </si>
  <si>
    <t>Wong, CMVL; Tam, HK; Ng, WM; Boo, SY; González, M</t>
  </si>
  <si>
    <t>Wong, Clemente Michael Vui Ling; Tam, Heng Keat; Ng, Wui Ming; Boo, Sook Yee; Gonzalez, Marcelo</t>
  </si>
  <si>
    <t>Characterisation of a cryptic plasmid from an Antarctic bacterium Pedobacter cryoconitis strain BG5</t>
  </si>
  <si>
    <t>PLASMID</t>
  </si>
  <si>
    <t>Pedobacter cryoconitis; Antarctica; King George Island; Toxin-antitoxin</t>
  </si>
  <si>
    <t>MICROBIAL GENE IDENTIFICATION; GRAM-NEGATIVE BACTERIA; ESCHERICHIA-COLI; MOLECULAR CHARACTERIZATION; REPLICATION PROTEIN; ENTRY EXCLUSION; PSEUDOMONAS; SYSTEMS; DNA; TRANSFORMATION</t>
  </si>
  <si>
    <t>A cryptic plasmid, pMWHK1 recovered from an Antarctic bacterium Pedobacter cryoconitis BG5 was sequenced and characterised. The plasmid is a circular 6206 bp molecule with eight putative open reading frames designated as orf1, orf2, orf3, orf4, orf5, orf6, orf7 and orf8. All the putative open reading frames of pMWHK1 are found to be actively transcribed. Proteins encoded by orf2 and orf4 are predicted to be responsible for the mobilization and replication of the plasmid respectively. orf4 shares 55% and 61% identities with the theta-type Rep proteins from two strains of Riemerella anatipestifer. This suggests that pMWHK1 could be a member of the theta-type replicating plasmid. The origin of replication is located within the AT-rich region upstream of orf4. orf5 and orf6 encode bacterial toxin-antitoxin proteins predicted to maintain plasmid stability. orf3 encodes an entry exclusion protein that is hypothetically involved in reducing the frequency of DNA transfer through conjugation. orf1, orf7 and orf8 encode proteins with unknown functions. Plasmid, pMWHK1 is stably maintained in P. cryoconitis BG5 at 20 degrees C. (C) 2012 Elsevier Inc. All rights reserved.</t>
  </si>
  <si>
    <t>[Wong, Clemente Michael Vui Ling; Tam, Heng Keat; Ng, Wui Ming; Boo, Sook Yee] Univ Malaysia Sabah, Biotechnol Res Inst, Kota Kinabalu 88400, Sabah, Malaysia; [Gonzalez, Marcelo] Inst Antartico Chileno, Punta Arenas, Chile</t>
  </si>
  <si>
    <t>Universiti Malaysia Sabah</t>
  </si>
  <si>
    <t>Wong, CMVL (corresponding author), Univ Malaysia Sabah, Biotechnol Res Inst, Jalan UMS, Kota Kinabalu 88400, Sabah, Malaysia.</t>
  </si>
  <si>
    <t>michaelw@ums.edu.my</t>
  </si>
  <si>
    <t>González, Marcelo/ABF-1450-2020; Wong, Clemente Michael Vui Ling/M-8372-2013</t>
  </si>
  <si>
    <t>Wong, Clemente Michael Vui Ling/0000-0003-3431-8896; Gonzalez, Marcelo/0000-0001-9986-9504; Tam, Heng-Keat/0000-0002-7894-1957</t>
  </si>
  <si>
    <t>Malaysian Antarctic Research Programme (MARP), Academy of Sciences Malaysia (ASM), Ministry of Science, Technology and Innovation (MOSTI), Malaysia; Instituto Antartico Chileno (INACH), Chile</t>
  </si>
  <si>
    <t>This work was funded by the Malaysian Antarctic Research Programme (MARP), Academy of Sciences Malaysia (ASM), Ministry of Science, Technology and Innovation (MOSTI), Malaysia and Instituto Antartico Chileno (INACH), Chile. The authors would like to thank personnel at the INACH especially Jose Retamales, Marcelo Leppe, Paulina Julio Rocamora, Veronica Vallejos, Cristian Rodrigo and Patricia Barraza for advices and logistic supports.</t>
  </si>
  <si>
    <t>0147-619X</t>
  </si>
  <si>
    <t>Plasmid</t>
  </si>
  <si>
    <t>10.1016/j.plasmid.2012.12.002</t>
  </si>
  <si>
    <t>Genetics &amp; Heredity; Microbiology</t>
  </si>
  <si>
    <t>097LF</t>
  </si>
  <si>
    <t>WOS:000315474900008</t>
  </si>
  <si>
    <t>Marion, GM; Murray, AE; Wagner, B; Fritsen, CH; Kenig, F; Doran, PT</t>
  </si>
  <si>
    <t>Marion, G. M.; Murray, A. E.; Wagner, B.; Fritsen, C. H.; Kenig, F.; Doran, P. T.</t>
  </si>
  <si>
    <t>Carbon Sequestration and Release from Antarctic Lakes: Lake Vida and West Lake Bonney (McMurdo Dry Valleys)</t>
  </si>
  <si>
    <t>AQUATIC GEOCHEMISTRY</t>
  </si>
  <si>
    <t>Gas hydrates; Sediment carbon dioxide; FREZCHEM simulation; Global warming</t>
  </si>
  <si>
    <t>TAYLOR VALLEY; GAS HYDRATE; ICE; GEOCHEMISTRY; TEMPERATURES; EQUILIBRIA; STABILITY; CHEMISTRY; SEAWATER; SYSTEM</t>
  </si>
  <si>
    <t>Perennial ice covers on many Antarctic lakes have resulted in high lake inorganic carbon contents. The objective of this paper was to evaluate and compare the brine and CO2 chemistries of Lake Vida (Victoria Valley) and West Lake Bonney (Taylor Valley), two lakes of the McMurdo Dry Valleys (East Antarctica), and their potential consequences during global warming. An existing geochemical model (FREZCHEM-15) was used to convert measured molarity into molality needed for the FREZCHEM model, and this model added a new algorithm that converts measured DIC into carbonate alkalinity needed for the FREZCHEM model. While quite extensive geochemical information exists for ice-covered Taylor Valley lakes, such as West Lake Bonney, only limited information exists for the recently sampled brine of &gt; 25 m ice-thick Lake Vida. Lake Vida brine had a model-calculated pCO(2) = 0.60 bars at the field pH (6.20); West Lake Bonney had a model-calculated pCO(2) = 5.23 bars at the field pH (5.46). Despite the high degree of atmospheric CO2 supersaturation in West Lake Bonney, it remains significantly undersaturated with the gas hydrate, CO2 center dot 6H(2)O, unless these gas hydrates are deep in the sediment layer or are metastable having formed under colder temperatures or greater pressures. Because of lower temperatures, Lake Vida could start forming CO2 center dot 6H(2)O at lower pCO(2) values than West Lake Bonney; but both lakes are significantly undersaturated with the gas hydrate, CO2 center dot 6H(2)O. For both lakes, simulation of global warming from current subzero temperatures (-13.4 A degrees C in Lake Vida and -4.7 A degrees C in West Lake Bonney) to 10 A degrees C has shown that a major loss of solution-phase carbon as CO2 gases and carbonate minerals occurred when the temperatures rose above 0 A degrees C and perennial ice covers would disappear. How important these Antarctic CO2 sources will be for future global warming remains to be seen. But a recent paper has shown that methane increased in atmospheric concentration due to deglaciation about 10,000 years ago. So, CO2 release from ice lakes might contribute to atmospheric gases in the future.</t>
  </si>
  <si>
    <t>[Marion, G. M.; Murray, A. E.; Fritsen, C. H.] Desert Res Inst, Reno, NV 89512 USA; [Wagner, B.] Univ Cologne, D-50674 Cologne, Germany; [Kenig, F.; Doran, P. T.] Univ Illinois, Chicago, IL 60607 USA</t>
  </si>
  <si>
    <t>Nevada System of Higher Education (NSHE); Desert Research Institute NSHE; University of Cologne; University of Illinois System; University of Illinois Chicago; University of Illinois Chicago Hospital</t>
  </si>
  <si>
    <t>Marion, GM (corresponding author), Desert Res Inst, Reno, NV 89512 USA.</t>
  </si>
  <si>
    <t>giles.marion@dri.edu</t>
  </si>
  <si>
    <t>Wagner, Bernd/J-4682-2012; Kenig, Fabien/A-4961-2008</t>
  </si>
  <si>
    <t>Wagner, Bernd/0000-0002-1369-7893; Kenig, Fabien/0000-0003-4868-5232</t>
  </si>
  <si>
    <t>NASA-ASTEP [NAG5-12889]; Directorate For Geosciences; Office of Polar Programs (OPP) [0739698] Funding Source: National Science Foundation</t>
  </si>
  <si>
    <t>NASA-ASTEP(National Aeronautics &amp; Space Administration (NASA)); Directorate For Geosciences; Office of Polar Programs (OPP)(National Science Foundation (NSF)NSF - Directorate for Geosciences (GEO))</t>
  </si>
  <si>
    <t>We thank J. Kyne and B. Bergeron of Ice Coring and Drilling Services (ICDS), S. Sherif and M. Badescu of NASA, N. Bramall of UCB, and P. Glenday for field assistance. We thank C. Davis (DRI), M. Dieser (UM), and J. R. Henricksen (UGA) for laboratory assistance. R. Edwards, M. Potosnak, and C. S. Riesenfeld of DRI provided geochemical and programming skills. We thank Lisa Wable for developing Fig. 1. This research was supported by NASA-ASTEP NAG5-12889, and logistical support was provided by the National Science Foundation's Office of Polar Programs through a cooperative agreement with NASA.</t>
  </si>
  <si>
    <t>1380-6165</t>
  </si>
  <si>
    <t>1573-1421</t>
  </si>
  <si>
    <t>AQUAT GEOCHEM</t>
  </si>
  <si>
    <t>Aquat. Geochem.</t>
  </si>
  <si>
    <t>10.1007/s10498-012-9184-1</t>
  </si>
  <si>
    <t>095KN</t>
  </si>
  <si>
    <t>WOS:000315333400003</t>
  </si>
  <si>
    <t>He, X; Sun, LG; Xie, ZQ; Huang, W; Long, NY; Li, Z; Xing, GX</t>
  </si>
  <si>
    <t>He, Xin; Sun, Liguang; Xie, Zhouqing; Huang, Wen; Long, Nanye; Li, Zheng; Xing, Guangxi</t>
  </si>
  <si>
    <t>Sea ice in the Arctic Ocean: Role of shielding and consumption of methane</t>
  </si>
  <si>
    <t>ATMOSPHERIC ENVIRONMENT</t>
  </si>
  <si>
    <t>Methane; Central Arctic Ocean; Sea ice; Under-ice water</t>
  </si>
  <si>
    <t>NITROUS-OXIDE; SURFACE-WATER; SHELF; EMISSIONS; EAST; MICROORGANISMS; ENVIRONMENT; EXCHANGE; SNOWPACK; FLUXES</t>
  </si>
  <si>
    <t>Sources and sinks of methane, one of the most important greenhouse gases, have attracted intensive attention due to its role in global warming. We show that sea ice in the Arctic Ocean regulates methane level through two mechanisms, shielding of methane emission from the ocean, and consumption of methane. Using a static chamber technique, we estimated that the methane flux from under-ice water was 0.56 mg(CH4) m(-2) d(-1) on average in central Arctic Ocean, relatively higher than that in other oceans, indicating considerable methane storage in this region under sea ice. Average methane flux on under-ice water was higher than that above sea ice, which suggests that sea ice could limit methane emission. In addition, negative fluxes on sea ice suggest that there are methane consuming processes, which are possibly associated with both photochemical and biochemical oxidation. Our results provide a general understanding about how sea ice in Arctic affects regional and global methane balance. (C) 2012 Elsevier Ltd. All rights reserved.</t>
  </si>
  <si>
    <t>[He, Xin; Sun, Liguang; Xie, Zhouqing; Huang, Wen; Long, Nanye; Li, Zheng] Univ Sci &amp; Technol China, Inst Polar Environm, Hefei 230026, Peoples R China; [Xing, Guangxi] Chinese Acad Sci, Inst Soil Sci, Nanjing 210008, Jiangsu, Peoples R China</t>
  </si>
  <si>
    <t>Chinese Academy of Sciences; University of Science &amp; Technology of China, CAS; Chinese Academy of Sciences; Nanjing Institute of Soil Science, CAS</t>
  </si>
  <si>
    <t>Sun, LG (corresponding author), Univ Sci &amp; Technol China, Inst Polar Environm, Hefei 230026, Peoples R China.</t>
  </si>
  <si>
    <t>slg@ustc.edu.cn; zqxie@ustc.edu.cn</t>
  </si>
  <si>
    <t>xie, zhouqing/P-9661-2019; He, Xin/I-4240-2012; huang, wen/GXW-0661-2022</t>
  </si>
  <si>
    <t>Natural Science Foundation of China (NSFC) [40730107, 41025020]; Major State Basic Research Development Program of China (973 Program) [2010CB428902]</t>
  </si>
  <si>
    <t>Natural Science Foundation of China (NSFC)(National Natural Science Foundation of China (NSFC)); Major State Basic Research Development Program of China (973 Program)(National Basic Research Program of China)</t>
  </si>
  <si>
    <t>This study was supported by the Natural Science Foundation of China (NSFC) (40730107), the Major State Basic Research Development Program of China (973 Program) (No. 2010CB428902) and NSFC project (41025020). Field work was supported by China Arctic and Antarctic Administration and the Fourth China Arctic Research Expedition.</t>
  </si>
  <si>
    <t>1352-2310</t>
  </si>
  <si>
    <t>1873-2844</t>
  </si>
  <si>
    <t>ATMOS ENVIRON</t>
  </si>
  <si>
    <t>Atmos. Environ.</t>
  </si>
  <si>
    <t>10.1016/j.atmosenv.2012.10.029</t>
  </si>
  <si>
    <t>093EA</t>
  </si>
  <si>
    <t>WOS:000315173300002</t>
  </si>
  <si>
    <t>Carneiro, APB; Jiménez, JE; Vergara, PM; White, TH</t>
  </si>
  <si>
    <t>Carneiro, Ana Paula B.; Jimenez, Jaime E.; Vergara, Pablo M.; White, Thomas H., Jr.</t>
  </si>
  <si>
    <t>Nest-site selection by Slender-billed Parakeets in a Chilean agricultural-forest mosaic</t>
  </si>
  <si>
    <t>Enicognathus leptorhynchus; forest fragmentation; habitat use; Psittacidae; scattered trees; secondary cavity nesters; spatial scales</t>
  </si>
  <si>
    <t>VULNERABLE SUPERB PARROT; ENICOGNATHUS-LEPTORHYNCHUS; PADDOCK TREES; BIRDS; HABITAT; LANDSCAPE; FRAGMENTATION; CONSERVATION; ABUNDANCE; CAVITIES</t>
  </si>
  <si>
    <t>Species in the family Psittacidae may be particularly vulnerable to anthropogenic habitat transformations that reduce availability of suitable breeding sites at different spatial scales. In southern Chile, loss of native forest cover due to agricultural conversion may impact populations of Slender-billed Parakeets (Enicognathus leptorhynchus), endemic secondary cavity-nesting psittacids. Our objective was to assess nest-site selection by Slender-billed Parakeets in an agricultural-forest mosaic of southern Chile at two spatial scales: nest trees and the habitat surrounding those trees. During the 20082009 breeding seasons, we identified nest sites (N= 31) by observing parakeet behavior and using information provided by local residents. Most (29/31) nests were in mature Nothofagus obliqua trees. By comparing trees used for nesting with randomly selected, unused trees, we found that the probability of a tree being selected as a nest site was positively related to the number of cavity entrances, less dead crown, and more basal injuries (e.g., fire scars). At the nesting-habitat scale, nest site selection was positively associated with the extent of basal injuries and number of cavity entrances in trees within 50 m of nest trees. These variables are likely important because they allow nesting parakeets to minimize cavity search times in potential nesting areas, thereby reducing energetic demands and potential exposure to predators. Slender-billed Parakeets may thus use a hierarchical process to select nest sites; after a habitat patch is chosen, parakeets may then inspect individual trees in search of a suitable nest site. Effective strategies to ensure persistence of Slender-billed Parakeets in agricultural-forest mosaics should include preservation of both individual and groups of scattered mature trees. RESUMEN Especies de la familia Psittacidae pueden ser particularmente vulnerables a transformaciones antropogenicas del habitat, lo cual reduce la disponibilidad de lugares adecuados para reproducirse a diferentes escalas espaciales. En el sur de Chile, la perdida de cobertura boscosa debido a la conversion agricola puede afectar las poblaciones de Enicognathus leptorhynchus, un psittacido endemico que anida en cavidades existentes (anidador secundario en cavidades). Nuestro objetivo fue evaluar la seleccion de lugares de anidacion por Enicognathus leptorhynchus en un mosaico de agricultura y bosque en el sur de Chile en dos escalas espaciales: arboles para anidar y el habitat que rodea ha estos arboles. Durante la temporada reproductiva del 20082009, identificamos lugares de anidacion (N= 31) mediante la observacion del comportamiento del perico e informacion proporcionada por los residentes locales. La mayoria de los nidos (29/31) se localizaron en arboles maduros de Nothofagus obliqua. Mediante la comparacion de arboles usados para anidar con arboles seleccionados de manera aleatoria, encontramos que la probabilidad de que un arbol sea seleccionado como un lugar de anidacion se relaciono positivamente con el numero de entradas a la cavidad, menor numero de copas muertas, y mas heridas basales (e.g., cicatrices por fuegos). A la escala de anidacion de habita, la seleccion de lugares de anidacion se asocio positivamente con el grado de heridas basales y numero de entradas a la cavidad en arboles localizados a menos de 50 m del arbol donde estaba el nido. Estas variables probablemente son importantes porque permiten que los pericos que estan anidando minimicen el tiempo de busqueda de cavidades en potenciales areas de anidacion, de este modo reduciendo las demandas energeticas y la exposicion potencial a depredadores. El perico (E. leptorhynchus) puede asi usar un procesos jerarquico de seleccion de lugares de anidacion; despues que un parche de habitat es elegido, los pericos pueden entonces inspeccionar arboles de manera individual en busqueda de lugares adecuados para anidar. Estrategias efectivas para asegurar la persistencia del perico (E. leptorhynchus) en mosaicos de agricultura y bosque deberian incluir la preservacion tanto de individuos como de grupos de arboles maduros dispersos.</t>
  </si>
  <si>
    <t>[Carneiro, Ana Paula B.] Univ Los Lagos, Lab Vida Silvestre, Osorno, Chile; [Jimenez, Jaime E.] Univ N Texas, Sub Antarctic Biocultural Conservat Program, Dept Biol Sci, Denton, TX 76207 USA; [Jimenez, Jaime E.] Univ N Texas, Dept Philosophy &amp; Relig Studies, Denton, TX 76207 USA; [Jimenez, Jaime E.] Univ Magallanes, Puerto Williams, Chile; [Vergara, Pablo M.] Univ Santiago Chile, Dept Gest Agr, Santiago, Chile; [White, Thomas H., Jr.] US Fish &amp; Wildlife Serv, Puerto Rican Parrot Recovery Program, Rio Grande, PR 00745 USA</t>
  </si>
  <si>
    <t>Universidad de Los Lagos; University of North Texas System; University of North Texas Denton; University of North Texas System; University of North Texas Denton; Universidad de Magallanes; Universidad de Santiago de Chile; United States Department of the Interior; US Fish &amp; Wildlife Service</t>
  </si>
  <si>
    <t>White, TH (corresponding author), US Fish &amp; Wildlife Serv, Puerto Rican Parrot Recovery Program, Box 1600, Rio Grande, PR 00745 USA.</t>
  </si>
  <si>
    <t>thomas_white@fws.gov</t>
  </si>
  <si>
    <t>Vergara, Pablo M/F-2519-2010; Carneiro, Ana Paula/IQT-6077-2023; Jimenez, Jaime E./AAO-7531-2020</t>
  </si>
  <si>
    <t>Vergara, Pablo M/0000-0002-0024-1678; , Ana/0000-0003-0573-7549</t>
  </si>
  <si>
    <t>Laboratorio de Vida Silvestre at Universidad de Los Lagos; United States Fish and Wildlife Service-Puerto Rican Parrot Recovery Program; Parrots International, Amigos de las Aves-USA Parrot Conservation Fund; International Conure Association; GEF SIRAP; FONDECYT [11080085]</t>
  </si>
  <si>
    <t>Laboratorio de Vida Silvestre at Universidad de Los Lagos; United States Fish and Wildlife Service-Puerto Rican Parrot Recovery Program; Parrots International, Amigos de las Aves-USA Parrot Conservation Fund; International Conure Association; GEF SIRAP; FONDECYT(Comision Nacional de Investigacion Cientifica y Tecnologica (CONICYT)CONICYT FONDECYT)</t>
  </si>
  <si>
    <t>This study was supported by the Laboratorio de Vida Silvestre at Universidad de Los Lagos, the United States Fish and Wildlife Service-Puerto Rican Parrot Recovery Program, Parrots International, Amigos de las Aves-USA Parrot Conservation Fund, International Conure Association, GEF SIRAP, FONDECYT 11080085, and Tony Pittman. G. Ritchison and three anonymous reviewers provided comments that helped improve the manuscript. We thank all the landowners who allowed us to access parakeet nests on their property and the several volunteers that helped us to monitor nests. Chile's Forest Service provided digital vegetation maps.</t>
  </si>
  <si>
    <t>RESILIENCE ALLIANCE</t>
  </si>
  <si>
    <t>WOLFVILLE</t>
  </si>
  <si>
    <t>ACADIA UNIV, BIOLOGY DEPT, WOLFVILLE, NS B0P 1X0, CANADA</t>
  </si>
  <si>
    <t>10.1111/jofo.12001</t>
  </si>
  <si>
    <t>095IX</t>
  </si>
  <si>
    <t>WOS:000315329000002</t>
  </si>
  <si>
    <t>Song, WZ; Lin, XZ; Che, S</t>
  </si>
  <si>
    <t>Song, Weizhi; Lin, Xuezheng; Che, Shuai</t>
  </si>
  <si>
    <t>Identification of Regulatory Sequences and Expression Analysis of OmpR Gene Under Different Stress Conditions in the Antarctic Bacterium Psychrobacter sp G</t>
  </si>
  <si>
    <t>CURRENT MICROBIOLOGY</t>
  </si>
  <si>
    <t>DNA-BINDING DOMAIN; ESCHERICHIA-COLI; PHOSPHORYLATION SITE; POSITIVE REGULATOR; CRYSTAL-STRUCTURE; RECOGNITION; ACTIVATION; PROTEINS; LOCATION; FAMILY</t>
  </si>
  <si>
    <t>An OmpR gene, named OmpR503, was cloned from the Antarctic psychrotrophic bacterium Psychrobacter sp. G according to its genomic draft. The deduced amino acid sequences of OmpR503 were highly conserved with other known protein members of OmpR family. qRT-PCR analysis showed that the expression of OmpR503 gene was significantly enhanced by high salinity (90, 120). The expression of OmpR503 gene was also significantly increased at low temperature (0, 10 A degrees C), whereas depressed at high temperature (30 A degrees C). When the strain was subjected to combined stress (0 A degrees C with a salinity of 90), the expression of OmpR503 gene was increased significantly, which was up to 3.0-fold. In Antarctica, freezing tolerance of psychrotrophic bacteria is often accompanied by tolerance to osmotic stress caused by a lack of free water, thus the cold inducibility of OmpR503 gene might help the strain adapt to the harsh environment more efficiently.</t>
  </si>
  <si>
    <t>[Song, Weizhi; Lin, Xuezheng; Che, Shuai] SOA, Inst Oceanog 1, Key Lab Marine Bioact Subst, Qingdao 266061, Peoples R China</t>
  </si>
  <si>
    <t>Lin, XZ (corresponding author), SOA, Inst Oceanog 1, Key Lab Marine Bioact Subst, Xianxialing Rd 6, Qingdao 266061, Peoples R China.</t>
  </si>
  <si>
    <t>wythe1987@163.com; linxz@fio.org.cn</t>
  </si>
  <si>
    <t>Song, Weizhi/0000-0001-5890-5361</t>
  </si>
  <si>
    <t>National Natural Science Foundation of China [41176174]</t>
  </si>
  <si>
    <t>This study was financially supported by the National Natural Science Foundation of China (41176174).</t>
  </si>
  <si>
    <t>0343-8651</t>
  </si>
  <si>
    <t>1432-0991</t>
  </si>
  <si>
    <t>CURR MICROBIOL</t>
  </si>
  <si>
    <t>Curr. Microbiol.</t>
  </si>
  <si>
    <t>10.1007/s00284-012-0266-5</t>
  </si>
  <si>
    <t>079PF</t>
  </si>
  <si>
    <t>WOS:000314182400008</t>
  </si>
  <si>
    <t>Lo Giudice, A; Casella, P; Bruni, V; Michaud, L</t>
  </si>
  <si>
    <t>Lo Giudice, Angelina; Casella, Patrizia; Bruni, Vivia; Michaud, Luigi</t>
  </si>
  <si>
    <t>Response of bacterial isolates from Antarctic shallow sediments towards heavy metals, antibiotics and polychlorinated biphenyls</t>
  </si>
  <si>
    <t>ECOTOXICOLOGY</t>
  </si>
  <si>
    <t>Heavy metal tolerance; Antibiotic resistance; PCB oxidation</t>
  </si>
  <si>
    <t>TERRA-NOVA BAY; ROSS SEA; PSYCHROTROPHIC BACTERIA; MARINE-BACTERIA; TRACE-ELEMENTS; VICTORIA LAND; POLYCHLOROBIPHENYLS; ENVIRONMENT; RESISTANCE; SAMPLES</t>
  </si>
  <si>
    <t>The response of bacterial isolates from Antarctic sediments to polychlorinated biphenyls (Aroclor 1242 mixture), heavy metal salts (cadmium, copper, mercury and zinc) and antibiotics (ampicillin, chloramphenicol, kanamycin and streptomycin) was investigated. Overall, the ability to growth in the presence of Aroclor 1242 as a sole carbon source was observed for 22 isolates that mainly belonged to Psychrobacter spp. Tolerance to the heavy metals assayed in this study was in the order of Cd &gt; Cu &gt; Zn &gt; Hg and appeared to be strictly related to the metal concentrations, as determined during previous chemical surveys in the same area. With regards to antibiotic assays, the response of the isolates to the tested antibiotics ranged from complete resistance to total susceptibility. In particular, resistances to ampicillin and chloramphenicol were very pronounced in the majority of isolates. Our isolates differently responded to the presence of toxic compounds primarily based on their phylogenetic affiliation and secondarily at strain level. Moreover, the high incidence of resistance either to metal or antibiotics, in addition to the capability to grow on PCBs, confirm that bacteria are able to cope and/or adapt to the occurrence pollutants even in low human-impacted environments.</t>
  </si>
  <si>
    <t>[Lo Giudice, Angelina; Casella, Patrizia; Bruni, Vivia; Michaud, Luigi] Univ Messina, Dept Biol &amp; Environm Sci, I-98166 Messina, Italy</t>
  </si>
  <si>
    <t>University of Messina</t>
  </si>
  <si>
    <t>Lo Giudice, A (corresponding author), Univ Messina, Dept Biol &amp; Environm Sci, Viale Ferdinando Stagno Alcontres 31, I-98166 Messina, Italy.</t>
  </si>
  <si>
    <t>alogiudice@unime.it</t>
  </si>
  <si>
    <t>Casella, Patrizia/AAV-6384-2020</t>
  </si>
  <si>
    <t>Casella, Patrizia/0000-0001-7683-4317</t>
  </si>
  <si>
    <t>PNRA (Programma Nazionale di Ricerche in Antartide), Italian Ministry of Education and Research [PNRA 2004/1.6]; MNA (Museo Nazionale dell'Antartide)</t>
  </si>
  <si>
    <t>PNRA (Programma Nazionale di Ricerche in Antartide), Italian Ministry of Education and Research; MNA (Museo Nazionale dell'Antartide)</t>
  </si>
  <si>
    <t>This research was supported by grants from PNRA (Programma Nazionale di Ricerche in Antartide), Italian Ministry of Education and Research (Research Project PNRA 2004/1.6), and from MNA (Museo Nazionale dell'Antartide).</t>
  </si>
  <si>
    <t>0963-9292</t>
  </si>
  <si>
    <t>1573-3017</t>
  </si>
  <si>
    <t>Ecotoxicology</t>
  </si>
  <si>
    <t>10.1007/s10646-012-1020-2</t>
  </si>
  <si>
    <t>Ecology; Environmental Sciences; Toxicology</t>
  </si>
  <si>
    <t>Environmental Sciences &amp; Ecology; Toxicology</t>
  </si>
  <si>
    <t>089GF</t>
  </si>
  <si>
    <t>WOS:000314898100004</t>
  </si>
  <si>
    <t>Lever, JH; Delaney, AJ; Ray, LE; Trautmann, E; Barna, LA; Burzynski, AM</t>
  </si>
  <si>
    <t>Lever, J. H.; Delaney, A. J.; Ray, L. E.; Trautmann, E.; Barna, L. A.; Burzynski, A. M.</t>
  </si>
  <si>
    <t>Autonomous GPR Surveys using the Polar Rover Yeti</t>
  </si>
  <si>
    <t>JOURNAL OF FIELD ROBOTICS</t>
  </si>
  <si>
    <t>COOL-ROBOT</t>
  </si>
  <si>
    <t>The National Science Foundation operates stations on the ice sheets of Antarctica and Greenland to investigate Earth's climate history, life in extreme environments, and the evolution of the cosmos. Understandably, logistics costs predominate budgets due to the remote locations and harsh environments involved. Currently, manual ground-penetrating radar (GPR) surveys must preceed vehicle travel across polar ice sheets to detect subsurface crevasses or other voids. This exposes the crew to the risks of undetected hazards. We have developed an autonomous rover, Yeti, specifically to conduct GPR surveys across polar ice sheets. It is a simple four-wheel-drive, battery-powered vehicle that executes autonomous surveys via GPS waypoint following. We describe here three recent Yeti deployments, two in Antarctica and one in Greenland. Our key objective was to demonstrate the operational value of a rover to locate subsurface hazards. Yeti operated reliably at 30 degrees C, and it has has good oversnow mobility and adequate GPS accuracy for waypoint-following and hazard georeferencing. It has acquired data on hundreds of crevasse encounters to improve our understanding of heavily crevassed traverse routes and to develop automated crevasse-detection algorithms. Importantly, it helped to locate a previously undetected buried building at the South Pole. Yeti can improve safety by decoupling survey personnel from the consequences of undetected hazards. It also enables higher-quality systematic surveys to improve hazard-detection probabilities, increase assessment confidence, and build datasets to understand the evolution of these regions. Yeti has demonstrated that autonomous vehicles have great potential to improve the safety and efficiency of polar logistics. (c) 2012 Wiley Periodicals, Inc.</t>
  </si>
  <si>
    <t>[Lever, J. H.; Delaney, A. J.; Barna, L. A.; Burzynski, A. M.] USA, Cold Reg Res &amp; Engn Lab, Hanover, NH 03755 USA; [Ray, L. E.] Dartmouth Coll, Thayer Sch Engn, Hanover, NH 03755 USA; [Trautmann, E.] Stanford Univ, Neurosci Program, Stanford, CA 94305 USA</t>
  </si>
  <si>
    <t>United States Department of Defense; United States Army; U.S. Army Corps of Engineers; U.S. Army Engineer Research &amp; Development Center (ERDC); Cold Regions Research &amp; Engineering Laboratory (CRREL); Dartmouth College; Stanford University</t>
  </si>
  <si>
    <t>Lever, JH (corresponding author), USA, Cold Reg Res &amp; Engn Lab, 72 Lyme Rd, Hanover, NH 03755 USA.</t>
  </si>
  <si>
    <t>james.lever@us.army.mil; laura.e.ray@dartmouth.edu</t>
  </si>
  <si>
    <t>Ray, Laura/0000-0001-7769-2373</t>
  </si>
  <si>
    <t>NASA's Jet Propulsion Laboratory [RSA 1310519]; NSF-OPP divisions of Antarctic Infrastructure and Logistics and Arctic Research Support and Logistics</t>
  </si>
  <si>
    <t>NASA's Jet Propulsion Laboratory; NSF-OPP divisions of Antarctic Infrastructure and Logistics and Arctic Research Support and Logistics</t>
  </si>
  <si>
    <t>Field deployments were sponsored by NSF-OPP divisions of Antarctic Infrastructure and Logistics and Arctic Research Support and Logistics, and the authors sincerely thank George Blaisdell and Pat Haggerty for their commitments to advancing autonomous GPR surveys. These deployments would not have been possible without the help of field personnel, including Paul Thur and Terry Billings (SPoT), Jay Burnside, Geoff Phillips, and Jake MacArthur (GrIT), and Martin Lewis and Andy Martinez (Old Pole). We also thank CRREL's Steve Arcone and Zoe Courville for advice, the loan of GPR equipment, and manual GPR support, and Doug Punt for tireless troubleshooting and upgrades to Yeti's electronics. Funding to build Yeti was provided by NASA's Jet Propulsion Laboratory through RSA 1310519 and supported in part by an appointment to the Postgraduate Research Participation Program administered by the Oak Ridge Institute for Science and Education through an interagency agreement between the U.S. Department of Energy and CRREL.</t>
  </si>
  <si>
    <t>1556-4959</t>
  </si>
  <si>
    <t>1556-4967</t>
  </si>
  <si>
    <t>J FIELD ROBOT</t>
  </si>
  <si>
    <t>J. Field Robot.</t>
  </si>
  <si>
    <t>10.1002/rob.21445</t>
  </si>
  <si>
    <t>Robotics</t>
  </si>
  <si>
    <t>087JM</t>
  </si>
  <si>
    <t>WOS:000314757600002</t>
  </si>
  <si>
    <t>Sleadd, IM; Buckley, BA</t>
  </si>
  <si>
    <t>Sleadd, Isaac M.; Buckley, Bradley A.</t>
  </si>
  <si>
    <t>The CCAAT/enhancer-binding protein δ (C/EBP-δ) transcription factor is heat inducible in the cold-adapted antarctic fish Trematomus bernacchii</t>
  </si>
  <si>
    <t>Antarctic fishes; Heat stress; Cell-cycle arrest; Apoptosis</t>
  </si>
  <si>
    <t>GENE-EXPRESSION; NOTOTHENIOID FISHES; CDNA MICROARRAY; STRESS; ADAPTATION; FAMILY; MUSCLE; TEMPERATURE; GLACIATION; EVOLUTION</t>
  </si>
  <si>
    <t>Notothenioids dominate the Antarctic ichthyofauna, which for millions of years has evolved in a thermally stable environment near the freezing point of seawater. These species are extreme stenotherms and at least some have lost the ability to up-regulate heat shock proteins during exposure to thermal stress. A recent cDNA microarray study revealed the capacity to mount a broad-scale genomic response to heat in the common notothenioid Trematomus bernacchii. Two of the heat-sensitive genes identified were of the CCAAT/enhancer-binding protein (C/EBP) family of transcription factors. One of these, C/EBP-delta, mediates inflammatory and pro-apoptotic processes, though it is best known for functioning as a brake on cell division. Because apoptosis and cell-cycle arrest are two understudied facets of the cellular stress response, we used western blotting to examine C/EBP-delta expression in T. bernacchii under normal and heat-stressed conditions. A highly tissue-specific pattern of constitutive levels of C/EBP-delta was detected in field-acclimated individuals. Highest levels were found in white muscle followed by spleen, brain, and gill. C/EBP-delta was not detected in heart or liver. Individuals acclimated for 1 month at 4.0 A degrees C possessed more C/EBP-delta in their white muscle compared with field-acclimated fish. Acute heat stress of 2.0 or 4.0 A degrees C caused a transient increase in white muscle C/EBP-delta after 6 h when compared with controls (-1.0 +/- A 0.5 A degrees C). This up-regulation appears to be reversible upon return to non-stressful conditions. We posit that in unstressed T. bernacchii, C/EBP-delta performs housekeeping functions and that it mediates inflammation, apoptosis, and/or cell-cycle arrest in response to sub-lethal heat stress.</t>
  </si>
  <si>
    <t>[Sleadd, Isaac M.; Buckley, Bradley A.] Portland State Univ, Dept Biol, Ctr Life Extreme Environm, Portland, OR 97201 USA</t>
  </si>
  <si>
    <t>Portland State University</t>
  </si>
  <si>
    <t>Buckley, BA (corresponding author), Portland State Univ, Dept Biol, Ctr Life Extreme Environm, Portland, OR 97201 USA.</t>
  </si>
  <si>
    <t>bbuckley@pdx.edu</t>
  </si>
  <si>
    <t>NSF [ANT-0944743]; Portland State University</t>
  </si>
  <si>
    <t>NSF(National Science Foundation (NSF)); Portland State University</t>
  </si>
  <si>
    <t>This research was supported by NSF grant ANT-0944743 to B. A. B. and a Scholarly and Creative Activity grant award from Portland State University to I. M. S. The authors are grateful to the staff of the Crary Laboratory at McMurdo Station for their assistance and to the members of B-308-M (A. L. Kelley, A.J. Barden) for help with field collections and laboratory experiments.</t>
  </si>
  <si>
    <t>10.1007/s00300-012-1262-8</t>
  </si>
  <si>
    <t>088RB</t>
  </si>
  <si>
    <t>WOS:000314852300003</t>
  </si>
  <si>
    <t>Berríos, G; Cabrera, G; Gidekel, M; Gutiérrez-Moraga, A</t>
  </si>
  <si>
    <t>Berrios, Graciela; Cabrera, Gustavo; Gidekel, Manuel; Gutierrez-Moraga, Ana</t>
  </si>
  <si>
    <t>Characterization of a novel antarctic plant growth-promoting bacterial strain and its interaction with antarctic hair grass (Deschampsia antarctica Desv)</t>
  </si>
  <si>
    <t>Deschampsia antarctica Desv; Pseudomonas; Psychrotolerant; Phosphate solubilizing bacteria; Biochemical characterization</t>
  </si>
  <si>
    <t>PHOSPHATE SOLUBILIZING BACTERIA; ACID PRODUCTION; SP-NOV.; INCUBATION-TEMPERATURE; TRICALCIUM PHOSPHATE; SOIL-MICROORGANISMS; INORGANIC-PHOSPHATE; PSEUDOMONAS; SURFACE; EXOPOLYSACCHARIDES</t>
  </si>
  <si>
    <t>Deschampsia antarctica is the only hair grass that has been able to successfully colonize the Antarctic continent. However, there is little research on the role of microorganisms associated with the rhizosphere that may participate in its growth and development. The objective of this research was to characterize a psychrotolerant bacterial strain isolated from the rhizosphere of D. antarctica. Biochemical and molecular studies were performed to characterize this bacterium. It was determined that this strain secretes a neutral polysaccharide that presents different compositions at different temperatures (4 and 20 A degrees C). Based on biochemical and phylogenetic analyses, the Antarctic rhizobacterium could be a new species of Pseudomonas. To determine their ability to solubilize different sources of inorganic phosphate, qualitative and quantitative analyses were conducted to determine P released at 4 A degrees C. The Antarctic strain of Pseudomonas sp. was able to solubilize all sources of phosphates, and 34.2 mg P/L was released from rock phosphate. Growth physiological parameters were evaluated for seedlings of D. antarctica inoculated with the rhizobacteria. It was found that the bacterial inoculation promoted plant root development. SEM analysis of the roots showed that the bacterium is mainly located in the root hairs of D. antarctica.</t>
  </si>
  <si>
    <t>[Berrios, Graciela; Gutierrez-Moraga, Ana] Univ La Frontera, Lab Fisiol &amp; Biol Mol Vegetal, Dept Agr Prod, Fac Ciencias Agr &amp; Forestales, Temuco, Chile; [Berrios, Graciela; Gidekel, Manuel] Univ La Frontera, Ctr Plant Soil Interact &amp; Nat Resources, Sci &amp; Technol Bioresource Nucleus, Temuco, Chile; [Cabrera, Gustavo] Insumos Organ &amp; Nat Agr &amp; Jardineria IONA, Santiago, Chile; [Gidekel, Manuel] Univ La Frontera, Temuco, Chile</t>
  </si>
  <si>
    <t>Universidad de La Frontera; Universidad de La Frontera; Universidad de La Frontera</t>
  </si>
  <si>
    <t>Gutiérrez-Moraga, A (corresponding author), Univ La Frontera, Lab Fisiol &amp; Biol Mol Vegetal, Dept Agr Prod, Fac Ciencias Agr &amp; Forestales, Casilla 54-D, Temuco, Chile.</t>
  </si>
  <si>
    <t>hgutier@ufro.cl</t>
  </si>
  <si>
    <t>Cabrera-Barjas, Gustavo/A-6578-2009; Cabrera, Gustavo/ABD-3960-2020</t>
  </si>
  <si>
    <t>Cabrera-Barjas, Gustavo/0000-0002-1850-0244; Cabrera, Gustavo/0000-0002-1850-0244; Gidekel, Manuel/0000-0002-6770-4630</t>
  </si>
  <si>
    <t>INACH [0301]; UXMAL S.A.</t>
  </si>
  <si>
    <t>INACH; UXMAL S.A.</t>
  </si>
  <si>
    <t>The authors thank Ramon Rossello Mora for his assistance with phylogenetic analyses. The authors thank Charles Guy for his help in the translation and proofreading of the manuscript. Monica Ramirez and Yamile Bernardo are thanked for their assistance with HPLC Analyses. The authors thank INACH 0301 Grants; UXMAL S.A.: Doctorate Fellowship CONICYT Graciela Berrios</t>
  </si>
  <si>
    <t>10.1007/s00300-012-1264-6</t>
  </si>
  <si>
    <t>WOS:000314852300005</t>
  </si>
  <si>
    <t>Boo, SY; Wong, CMVL; Rodrigues, KF; Najimudin, N; Murad, AMA; Mahadi, NM</t>
  </si>
  <si>
    <t>Boo, Sook Yee; Wong, Clemente Michael Vui Ling; Rodrigues, Kenneth Francis; Najimudin, Nazalan; Murad, Abdul Munir Abdul; Mahadi, Nor Muhammad</t>
  </si>
  <si>
    <t>Thermal stress responses in Antarctic yeast, Glaciozyma antarctica PI12, characterized by real-time quantitative PCR</t>
  </si>
  <si>
    <t>Antarctic yeast; Glaciozyma antarctica PI12; Heat shock; Cold shock; Real-time quantitative PCR</t>
  </si>
  <si>
    <t>HEAT-SHOCK RESPONSE; OXIDATIVE STRESS; VICTORIA LAND; COLD-SHOCK; EXPRESSION; PROTEIN; TREHALOSE; GENE; ACCLIMATION; TEMPERATURE</t>
  </si>
  <si>
    <t>Living organisms have some common and unique strategies to response to thermal stress. However, the amount of data on thermal stress response of certain organism is still lacking, especially psychrophilic yeast from the extreme habitat. Therefore, it is not known whether psychrophilic yeast shares the common responses of other organisms when exposed to thermal stresses. In this work, the cold shock and heat shock responses in Antarctic psychrophilic yeast Glaciozyma antarctica PI12 which had an optimal growth temperature of 12 A degrees C were determined. The expression levels of 14 thermal stress-related genes were measured using real-time quantitative PCR (qPCR) when the yeast cells were exposed to cold shock (0 A degrees C), mild cold shock (5 A degrees C), and heat shock (22 A degrees C) conditions. The expression profiles of the 14 genes at these three temperatures varied indicating that these genes had their specific roles to ensure the survival of the yeast. Under cold shock condition, the afp4 and fad genes were over-expressed possibly as a way for the G. antarctica PI12 to avoid ice crystallization in the cell and to maintain the membrane fluidity. Under the heat shock condition, hsp70 was significantly up-regulated possibly to ensure the proteins fold properly. Among the six oxidative stress-related genes, MnSOD and prx were up-regulated under cold shock and heat shock, respectively, possibly to reduce the negative effects caused by oxidative stress. Interestingly, it was found that the trehalase gene, nth1 that plays a role in degrading excess trehalose, was down-regulated under the heat shock condition possibly as an alternative way to accumulate trehalose in the cells to protecting them from being damaged.</t>
  </si>
  <si>
    <t>[Boo, Sook Yee; Wong, Clemente Michael Vui Ling; Rodrigues, Kenneth Francis] Univ Malaysia Sabah, Biotechnol Res Inst, Jalan UMS, Kota Kinabalu, Saga, Malaysia; [Boo, Sook Yee; Wong, Clemente Michael Vui Ling; Rodrigues, Kenneth Francis] Univ Malaysia Sabah, Biotechnol Res Inst, Jalan UMS, Kota Kinabalu 88400, Sabah, Malaysia; [Najimudin, Nazalan] Univ Sains Malaysia, Sch Biol Sci, George Town 11800, Malaysia; [Murad, Abdul Munir Abdul] Univ Kebangsaan Malaysia, Fac Sci &amp; Technol, Sch Biosci &amp; Biotechnol, Ukm Bangi 43600, Selangor, Malaysia; [Mahadi, Nor Muhammad] Univ Kebangsaan Malaysia, Malaysia Genome Inst, UKM MTDC Smart Technol Ctr, Ukm Bangi 43600, Selangor, Malaysia</t>
  </si>
  <si>
    <t>Universiti Malaysia Sabah; Universiti Malaysia Sabah; Universiti Sains Malaysia; Universiti Kebangsaan Malaysia; Universiti Kebangsaan Malaysia</t>
  </si>
  <si>
    <t>RODRIGUES, KENNETH F/E-6973-2010; Najimudin, Nazalan/B-2952-2011; Wong, Clemente Michael Vui Ling/M-8372-2013; Murad, Abdul/CAG-9324-2022; Abdul Murad, Abdul Munir/L-8575-2017</t>
  </si>
  <si>
    <t>Wong, Clemente Michael Vui Ling/0000-0003-3431-8896; Abdul Murad, Abdul Munir/0000-0001-6402-7198</t>
  </si>
  <si>
    <t>Malaysian Ministry of Science, Technology and Innovation under the Genomics and Molecular Biology Initiatives of the Malaysian Genome Institute [08-05-MGI-GMB001]</t>
  </si>
  <si>
    <t>Malaysian Ministry of Science, Technology and Innovation under the Genomics and Molecular Biology Initiatives of the Malaysian Genome Institute</t>
  </si>
  <si>
    <t>This work was supported by Malaysian Ministry of Science, Technology and Innovation under the Genomics and Molecular Biology Initiatives of the Malaysian Genome Institute (Project No. 08-05-MGI-GMB001). We would also like to acknowledge the contributions of the Malaysian Antarctic Research Programme (MARP) of the Academy of Sciences Malaysia and the Australian Antarctic Division. We would like to thank Miss Ong Wan Jing for her contribution in the growth studies.</t>
  </si>
  <si>
    <t>10.1007/s00300-012-1268-2</t>
  </si>
  <si>
    <t>WOS:000314852300008</t>
  </si>
  <si>
    <t>Dinamarca, J; Sandoval-Alvarez, A; Gidekel, M; Gutiérrez-Moraga, A</t>
  </si>
  <si>
    <t>Dinamarca, Jorge; Sandoval-Alvarez, Alejandra; Gidekel, Manuel; Gutierrez-Moraga, Ana</t>
  </si>
  <si>
    <t>Differentially expressed genes induced by cold and UV-B in Deschampsia antarctica Desv.</t>
  </si>
  <si>
    <t>Induced genes; Suppression subtractive hybridization; Cold and UV-B tolerance; Antarctica</t>
  </si>
  <si>
    <t>SUPPRESSION SUBTRACTIVE HYBRIDIZATION; STRESS RESPONSES; FREEZING TOLERANCE; PROTEOMIC ANALYSIS; DNA-DAMAGE; RADIATION; ACCLIMATION; PLANTS; SEQUENCE; LIGHT</t>
  </si>
  <si>
    <t>Antarctica is one of the most extreme environments on Earth. Deschampsia antarctica Desv. is the only monocot vascular plant that colonizes the Antarctic Peninsula. The survival of this species in this harsh environment suggests that this plant possesses genes associated with cold and UV tolerance. Using suppression subtractive hybridization, we identified a total of 112 differentially expressed genes under cold and UV irradiance conditions. Northern blot analysis and real-time RT-PCR confirmed expression differences among several genes. Using similarity search analysis, we identified a number of genes that have not been previously reported. The results showed that cold and UV radiation mainly induce the expression of genes related to transcription, energy and defense response. Interestingly, part of the isolated genes corresponds to unknown or hypothetical proteins. This set of tolerance-related genes could be relevant to uncover the mechanisms by which this extremophile survives in its environment and contribute to the development of biotechnology in Antarctic species.</t>
  </si>
  <si>
    <t>[Dinamarca, Jorge] Univ La Frontera, Lab Fisiol &amp; Biol Mol Vegetal, Fac Ciencias Agr &amp; Forestales, Temuco, Chile; [Sandoval-Alvarez, Alejandra; Gutierrez-Moraga, Ana] Univ La Frontera, Lab Fisiol &amp; Biol Mol Vegetal, Dept Agr Prod, Fac Ciencias Agr &amp; Forestales, Temuco, Chile; [Sandoval-Alvarez, Alejandra; Gutierrez-Moraga, Ana] Univ La Frontera, Ctr Plant Soil Interact &amp; Nat Resources Biotechno, Sci &amp; Technol Bioresource Nucleus, Temuco, Chile; [Gidekel, Manuel] Univ La Frontera, Temuco, Chile</t>
  </si>
  <si>
    <t>Universidad de La Frontera; Universidad de La Frontera; Universidad de La Frontera; Universidad de La Frontera</t>
  </si>
  <si>
    <t>dinamarca, jorge/T-7065-2017</t>
  </si>
  <si>
    <t>Gidekel, Manuel/0000-0002-6770-4630</t>
  </si>
  <si>
    <t>Fondo de Fomento al Desarrollo Cientifico y Tecnologico (FONDEF project) [D03I-1079]; Antarctic Chilean Institute (INACH project) [01-03-Part II]; INNOVA BIOBIO project [004-B1-283 L1]; Consorcio de Tecnologia e Innovacion para la Salud [PBCT CTE-06]; Programa Bicentenario-Banco Mundial, CONICYT, Chile PBCT [CTE-06]</t>
  </si>
  <si>
    <t>Fondo de Fomento al Desarrollo Cientifico y Tecnologico (FONDEF project)(Comision Nacional de Investigacion Cientifica y Tecnologica (CONICYT)CONICYT FONDEF); Antarctic Chilean Institute (INACH project); INNOVA BIOBIO project; Consorcio de Tecnologia e Innovacion para la Salud; Programa Bicentenario-Banco Mundial, CONICYT, Chile PBCT(Comision Nacional de Investigacion Cientifica y Tecnologica (CONICYT)CONICYT PIA/PBCT)</t>
  </si>
  <si>
    <t>The authors thank Leon Bravo for his helpful discussions and critical reading of the manuscript. The authors thank Charles Guy for his help in the translation and proofreading of the manuscript. This work was supported by Fondo de Fomento al Desarrollo Cientifico y Tecnologico (FONDEF project D03I-1079), the Antarctic Chilean Institute (INACH project 01-03-Part II), INNOVA BIOBIO project 04-B1-283 L1, Consorcio de Tecnologia e Innovacion para la Salud (PBCT CTE-06). JD was also supported by the Programa Bicentenario-Banco Mundial, CONICYT, Chile PBCT CTE-06.</t>
  </si>
  <si>
    <t>10.1007/s00300-012-1271-7</t>
  </si>
  <si>
    <t>WOS:000314852300010</t>
  </si>
  <si>
    <t>Pautler, BG; Dubnick, A; Sharp, MJ; Simpson, AJ; Simpson, MJ</t>
  </si>
  <si>
    <t>Pautler, Brent G.; Dubnick, Ashley; Sharp, Martin J.; Simpson, Andre J.; Simpson, Myrna J.</t>
  </si>
  <si>
    <t>Comparison of cryoconite organic matter composition from Arctic and Antarctic glaciers at the molecular-level</t>
  </si>
  <si>
    <t>NUCLEAR-MAGNETIC-RESONANCE; MICROBIAL ACTIVITY; PHENOLIC CONSTITUENTS; COMMUNITY STRUCTURE; OXIDATION-PRODUCTS; LIGNIN OXIDATION; HUMIC SUBSTANCES; LIPID BIOMARKER; LITTER QUALITY; PLANT-TISSUES</t>
  </si>
  <si>
    <t>Glacier surfaces are reservoirs that contain organic and inorganic debris referred to as cryoconite. Solar heating of this material results in the formation of water-filled depressions that are colonized by a variety of microbes and are hypothesized to play a role in carbon cycling in glacier ecosystems. Recent studies on cryoconite deposits have focused on their contribution to carbon fluxes to determine whether they are a net source or sink for atmospheric CO2. To better understand carbon cycling in these unique ecosystems, the molecular constituents of cryoconite organic matter (COM) require further elucidation. COM samples from four glaciers were analyzed by targeted extraction of plant-and microbial-derived biomarkers in conjunction with non-targeted NMR experiments to determine the COM composition and potential sources. Several molecular proxies were applied to assess COM degradation and microbial activity using samples from Greenland, the Canadian Arctic, and Antarctica. COM from Canadian (John Evans glacier) and Greenlandic (Leverett glacier) locations was more chemically heterogeneous than that from the Antarctic likely due to inputs from higher plants, mosses and Sphagnum as suggested by the solvent-extractable alkyl lipids and sterols and the detection of lignin-and Sphagnum-derived phenols after cupric oxide chemolysis. Solid-state C-13 nuclear magnetic resonance (NMR) experiments highlighted the bulk chemical functional groups of COM allowing for a general assessment of its degradation stage from the alkyl/O-alkyl proxy whereas solution-state H-1 NMR highlighted both microbial and plant contributions to base-soluble extracts from these COM samples. The dominance of H-1 NMR signals from microbial protein/peptides in base-soluble extracts of COM from Antarctica (Joyce glacier and Garwood glacier), phospholipid fatty acid (PLFA) biomarker detection and the absence of plant-derived biomarkers in both the solvent and cupric oxide extracts suggests that this COM is dominated by microbial-derived material. These results indicate that COM carbon composition is dependent on the local glacier environment which may have a profound impact on carbon cycling and sequestration on glacier surfaces. (C) 2012 Elsevier Ltd. All rights reserved.</t>
  </si>
  <si>
    <t>[Pautler, Brent G.; Simpson, Andre J.; Simpson, Myrna J.] Univ Toronto, Environm NMR Ctr, Toronto, ON M1C 1A4, Canada; [Pautler, Brent G.; Simpson, Andre J.; Simpson, Myrna J.] Univ Toronto, Dept Chem, Toronto, ON M1C 1A4, Canada; [Dubnick, Ashley; Sharp, Martin J.] Univ Alberta, Dept Earth &amp; Atmospher Sci, Edmonton, AB T6G 2E3, Canada</t>
  </si>
  <si>
    <t>University of Toronto; University of Toronto; University of Alberta</t>
  </si>
  <si>
    <t>Simpson, MJ (corresponding author), Univ Toronto, Environm NMR Ctr, 1265 Mil Trail, Toronto, ON M1C 1A4, Canada.</t>
  </si>
  <si>
    <t>myrna.simpson@utoronto.ca</t>
  </si>
  <si>
    <t>Simpson, Myrna/0000-0002-8084-411X</t>
  </si>
  <si>
    <t>Natural Science and Engineering Research Council (NSERC) of Canada; NSERC; Environment Canada from the Science Horizons; Antarctic New Zealand; NERC</t>
  </si>
  <si>
    <t>Natural Science and Engineering Research Council (NSERC) of Canada(Natural Sciences and Engineering Research Council of Canada (NSERC)); NSERC(Natural Sciences and Engineering Research Council of Canada (NSERC)); Environment Canada from the Science Horizons; Antarctic New Zealand; NERC(UK Research &amp; Innovation (UKRI)Natural Environment Research Council (NERC))</t>
  </si>
  <si>
    <t>David M. Wolfe is thanked for the assistance with biomarker extractions. M.J. Simpson thanks the Natural Science and Engineering Research Council (NSERC) of Canada for support via a Discovery Grant. B. G. Pautler thanks NSERC for a Canada Graduate Scholarship along with Dr. O. Pisani and Dr. J.W.H. Weijers for helpful comments and discussions. M.J. Sharp acknowledges support from NSERC in the form of Discovery and RTI grants and an Undergraduate Summer Research Award for A. Dubnick and Environment Canada for support from the Science Horizons. Prof. Sean Fitzsimons and Prof. Jemma Wadham are thanked for fieldwork assistance which was funded by Antarctic New Zealand for S. Fitzsimons and NERC for J. Wadham. We also thank Maya Bhatia for assistance with transporting some of the samples.</t>
  </si>
  <si>
    <t>10.1016/j.gca.2012.11.029</t>
  </si>
  <si>
    <t>086DV</t>
  </si>
  <si>
    <t>WOS:000314664500001</t>
  </si>
  <si>
    <t>Pickering, MD; Keely, BJ</t>
  </si>
  <si>
    <t>Pickering, Matthew D.; Keely, Brendan J.</t>
  </si>
  <si>
    <t>Origins of enigmatic C-3 methyl and C-3 H porphyrins in ancient sediments revealed from formation of pyrophaeophorbide d in simulation experiments</t>
  </si>
  <si>
    <t>TEMPERATURE AIR OXIDATION; COOXIDATION TOCO REACTION; MULHOUSE BASIN; ORGANIC-MATTER; CHLOROPHYLL DERIVATIVES; CHL-A; OXYGEN; OIL; NICKEL; DISTRIBUTIONS</t>
  </si>
  <si>
    <t>The reaction of methyl pyrophaeophorbide a with hydrogen sulfide and oxygen under mild conditions (low temperature, moderate pH), which resemble those in certain natural environments, leads to its near quantitative conversion into methyl pyrophaeophorbide d (82-89%). The transformation, via oxidative cleavage of the C-3 vinyl substituent of pyrophaeophorbide a to afford an aldehyde at C-3, results from co-oxidation of the vinyl group and hydrogen sulfide by molecular oxygen. The co-oxidation transformation pathway operating on vinyl substituted chlorophyll derivatives can explain the origins of C-3 methyl and C-3 H porphyrins in ancient sediments and oils, structures for which the origins were previously unresolved. Evaluation of previous reports of C-3 methyl and C-3 H porphyrins in ancient sediments and oils reveals that their distributions are consistent with insights provided from analysis of the reaction mechanisms revealed by the laboratory studies. Thus, the sedimentary distributions reveal key features of the depositional settings, in particular the presence of a deep or a shallow chemocline. The oxidative cleavage of the C-3 vinyl group also provides insight into the biosynthesis of chlorophyll d by the cyanobacterium Acaryochloris marina, and offers a mild alternative to classical methods for the synthetic manipulation of the vinyl substituents of tetrapyrroles. (C) 2012 Elsevier Ltd. All rights reserved.</t>
  </si>
  <si>
    <t>[Pickering, Matthew D.; Keely, Brendan J.] Univ York, Dept Chem, York YO10 5DD, N Yorkshire, England</t>
  </si>
  <si>
    <t>University of York - UK</t>
  </si>
  <si>
    <t>Keely, BJ (corresponding author), Univ York, Dept Chem, York YO10 5DD, N Yorkshire, England.</t>
  </si>
  <si>
    <t>brendan.keely@york.ac.uk</t>
  </si>
  <si>
    <t>Pickering, Matthew D/0000-0002-6234-2108; Keely, Brendan John/0000-0002-8560-1862</t>
  </si>
  <si>
    <t>University of York; British Antarctic Survey</t>
  </si>
  <si>
    <t>The research was funded by the University of York and British Antarctic Survey. We are grateful to T. Dransfield for providing the TOF MS data and C.J. Boreham for kindly providing additional detail on his research to aid our discussions. Three anonymous reviewers are thanked for their helpful comments and suggestions.</t>
  </si>
  <si>
    <t>10.1016/j.gca.2012.11.021</t>
  </si>
  <si>
    <t>WOS:000314664500008</t>
  </si>
  <si>
    <t>Haward, M; Davidson, J; Lockwood, M; Hockings, M; Kriwoken, L; Allchin, R</t>
  </si>
  <si>
    <t>Haward, Marcus; Davidson, Julie; Lockwood, Michael; Hockings, Marc; Kriwoken, Lorne; Allchin, Robyn</t>
  </si>
  <si>
    <t>Climate change, scenarios and marine biodiversity conservation</t>
  </si>
  <si>
    <t>Scenarios; Marine biodiversity; Climate change</t>
  </si>
  <si>
    <t>TOOL</t>
  </si>
  <si>
    <t>This paper explores the utility of qualitative scenario approaches to examine the potential impacts of climate change on marine biodiversity conservation on the east coast of Australia. This region is large and diverse, with considerable variation in marine biodiversity and, concomitantly, considerable diversity in the likely impacts from climate change. The results reinforce a number of key points. Engaging with stakeholders in scenario planning provides not only a focus to discuss the future in a disciplined way, but also provides ongoing reference points for contemporary decision making and planning. The paper illustrates how qualitative scenario planning provides opportunities to address the challenges of marine biodiversity conservation in a changing environment. (C) 2012 Elsevier Ltd. All rights reserved.</t>
  </si>
  <si>
    <t>[Haward, Marcus] Univ Tasmania, Inst Marine &amp; Antarctic Studies, MAFC, Hobart, Tas 7001, Australia; [Davidson, Julie; Lockwood, Michael; Kriwoken, Lorne; Allchin, Robyn] Univ Tasmania, Sch Geog &amp; Environm Studies, Hobart, Tas 7001, Australia; [Hockings, Marc] Univ Queensland, Sch Geog Planning &amp; Environm Management, Brisbane, Qld 4072, Australia</t>
  </si>
  <si>
    <t>University of Tasmania; University of Tasmania; University of Queensland</t>
  </si>
  <si>
    <t>Haward, M (corresponding author), Univ Tasmania, Inst Marine &amp; Antarctic Studies, MAFC, Private Bag 129, Hobart, Tas 7001, Australia.</t>
  </si>
  <si>
    <t>Marcus.Haward@utas.edu.au; julie.Davidson@utas.edu.au; Michael.Lockwood@utas.edu.au; m.hockings@uq.edu.au; L.K.Kriwoken@utas.edu.au; Robyn.Allchin@utas.edu.au</t>
  </si>
  <si>
    <t>Lockwood, Michael/C-2377-2014; Haward, Marcus/G-3369-2014; Hockings, Marc/A-1283-2007</t>
  </si>
  <si>
    <t>Lockwood, Michael/0000-0002-1385-5118; Haward, Marcus/0000-0003-4775-0864; Hockings, Marc/0000-0003-4419-8963</t>
  </si>
  <si>
    <t>10.1016/j.marpol.2012.07.004</t>
  </si>
  <si>
    <t>073UW</t>
  </si>
  <si>
    <t>WOS:000313769600049</t>
  </si>
  <si>
    <t>Pérez-Cruz, C; Carrión, O; Delgado, L; Martinez, G; López-Iglesias, C; Mercade, E</t>
  </si>
  <si>
    <t>Perez-Cruz, Carla; Carrion, Ornella; Delgado, Lidia; Martinez, Gemma; Lopez-Iglesias, Carmen; Mercade, Elena</t>
  </si>
  <si>
    <t>New Type of Outer Membrane Vesicle Produced by the Gram-Negative Bacterium Shewanella vesiculosa M7T: Implications for DNA Content</t>
  </si>
  <si>
    <t>APPLIED AND ENVIRONMENTAL MICROBIOLOGY</t>
  </si>
  <si>
    <t>ESCHERICHIA-COLI; PSEUDOMONAS-AERUGINOSA; VIRULENCE GENES; MECHANISM; BIOGENESIS; DELIVERY; EXPORT; TOXIN</t>
  </si>
  <si>
    <t>Outer membrane vesicles (OMVs) from Gram-negative bacteria are known to be involved in lateral DNA transfer, but the presence of DNA in these vesicles has remained difficult to explain. An ultrastructural study of the Antarctic psychrotolerant bacterium Shewanella vesiculosa M7(T) has revealed that this Gram-negative bacterium naturally releases conventional one-bilayer OMVs through a process in which the outer membrane is exfoliated and only the periplasm is entrapped, together with a more complex type of OMV, previously undescribed, which on formation drag along inner membrane and cytoplasmic content and can therefore also entrap DNA. These vesicles, with a double-bilayer structure and containing electron-dense material, were visualized by transmission electron microscopy (TEM) after high-pressure freezing and freeze-substitution (HPF-FS), and their DNA content was fluorometrically quantified as 1.8 +/- 0.24 ng DNA/mu g OMV protein. The new double-bilayer OMVs were estimated by cryo-TEM to represent 0.1% of total vesicles. The presence of DNA inside the vesicles was confirmed by gold DNA immunolabeling with a specific monoclonal IgM against double-stranded DNA. In addition, a proteomic study of purified membrane vesicles confirmed the presence of plasma membrane and cytoplasmic proteins in OMVs from this strain. Our data demonstrate the existence of a previously unobserved type of double-bilayer OMV in the Gram-negative bacterium Shewanella vesiculosa M7T that can incorporate DNA, for which we propose the name outer-inner membrane vesicle (O-IMV).</t>
  </si>
  <si>
    <t>[Perez-Cruz, Carla; Carrion, Ornella; Delgado, Lidia; Mercade, Elena] Univ Barcelona, Fac Farm, Microbiol Lab, E-08028 Barcelona, Spain; [Martinez, Gemma; Lopez-Iglesias, Carmen] Univ Barcelona, Ctr Cientif, Barcelona, Spain; [Martinez, Gemma; Lopez-Iglesias, Carmen] Univ Barcelona, Ctr Tecnol, Barcelona, Spain</t>
  </si>
  <si>
    <t>University of Barcelona; University of Barcelona; University of Barcelona</t>
  </si>
  <si>
    <t>Mercade, E (corresponding author), Univ Barcelona, Fac Farm, Microbiol Lab, E-08028 Barcelona, Spain.</t>
  </si>
  <si>
    <t>mmercade@ub.edu</t>
  </si>
  <si>
    <t>DELGADO, LIDIA/H-7939-2015; Carrion, Ornella/AAS-5142-2021; Perez-Cruz, Carla/AAB-3540-2020; Mercade, Elena/L-5218-2014</t>
  </si>
  <si>
    <t>Carrion, Ornella/0000-0002-9959-7905; Mercade, Elena/0000-0001-7828-2210; PEREZ CRUZ, CARLA/0000-0003-2796-5315</t>
  </si>
  <si>
    <t>Government of Spain (CICYT) [CTQ 2010-21183-C02-01/PPQ]; Autonomous Government of Catalonia [2009SGR1212]; University of Barcelona [FFAR2012.3]; [BES-2011-044048]</t>
  </si>
  <si>
    <t>Government of Spain (CICYT)(Consejo Interinstitucional de Ciencia y Tecnologia (CICYT)); Autonomous Government of Catalonia(Generalitat de Catalunya); University of Barcelona;</t>
  </si>
  <si>
    <t>This study was supported by the Government of Spain (CICYT project CTQ 2010-21183-C02-01/PPQ) and by the Autonomous Government of Catalonia (grant 2009SGR1212). Carla Perez-Cruz is the recipient of fellowship FFAR2012.3 from the University of Barcelona. Ornella Carrion is the recipient of fellowship BES-2011-044048.</t>
  </si>
  <si>
    <t>0099-2240</t>
  </si>
  <si>
    <t>1098-5336</t>
  </si>
  <si>
    <t>APPL ENVIRON MICROB</t>
  </si>
  <si>
    <t>Appl. Environ. Microbiol.</t>
  </si>
  <si>
    <t>10.1128/AEM.03657-12</t>
  </si>
  <si>
    <t>097DP</t>
  </si>
  <si>
    <t>WOS:000315454500014</t>
  </si>
  <si>
    <t>Fijn, RC; Hiemstra, D; Phillips, RA; van der Winden, J</t>
  </si>
  <si>
    <t>Fijn, Ruben C.; Hiemstra, Derick; Phillips, Richard A.; van der Winden, Jan</t>
  </si>
  <si>
    <t>Arctic Terns Sterna paradisaea from The Netherlands migrate record distances across three oceans to Wilkes Land, East Antarctica</t>
  </si>
  <si>
    <t>ARDEA</t>
  </si>
  <si>
    <t>Antarctica; Indian Ocean; Australian Antarctic Sector; longest bird migration distance; distance; migration strategies; geolocation; at-sea hotspots; stopover sites</t>
  </si>
  <si>
    <t>TRANS-EQUATORIAL MIGRATION; WINTERING AREAS; PELAGIC SEABIRD; PRYDZ BAY; ALBATROSSES; TRACKING; BIRDS; INSIGHTS; REVEALS; SKUAS</t>
  </si>
  <si>
    <t>Arctic Terns Sterna paradisaea have an exceptionally long-distance migration, annually travelling back and forth between the Arctic and the Antarctic. Birds from Greenland, Iceland and the USA were recently found to spend most of the non-breeding period in the Weddell Sea, a small part of the large Antarctic range of Arctic Terns. Based on ring recoveries and sightings of West European Arctic Terns in the Indian Ocean and Australian waters, we expected that terns from The Netherlands (the southern limit of the breeding range) inhabit different Antarctic regions during the non-breeding season to their conspecifics from Greenland. To find out, geolocators were deployed on seven Arctic Terns captured on the nest in 2011 in The Netherlands. All birds were recaptured in 2012 and five devices yielded information on migration routes. The tracked terns spent on average 273 +/- 7 days away from The Netherlands, and visited known staging areas in the North Atlantic and the Benguela Current, on both the outward and return journey. Similar tracks were observed in the terns from Greenland. However, hereafter the terns from The Netherlands moved to a previously unknown staging area in the central Indian Ocean, between 20-40 degrees N and 65-100 degrees E, and spent most of the non-breeding season in the Southern Ocean between 35-150 degrees E. One bird migrated as far as New Zealand. Eventually, all five birds spent the austral summer in Wilkes Land, Antarctica, before flying back to the breeding colonies with a small detour to the same North Atlantic staging area they Visited on their southward migration. The total travel distance in the course of the non-breeding period was similar to 90,000 +/- 2000 km, which substantially exceeds previous estimates for this species. Our study revealed new offshore staging areas and a yet unknown route through three different oceans, the longest bird migration described thus far.</t>
  </si>
  <si>
    <t>[Fijn, Ruben C.; van der Winden, Jan] Bureau Waardenburg, Consultants Ecol &amp; Environm, NL-4100 AJ Culemborg, Netherlands; [Phillips, Richard A.] British Antarctic Survey, Nat Environm Res Council, Cambridge CB3 0ET, Cambs, England</t>
  </si>
  <si>
    <t>Fijn, RC (corresponding author), Bureau Waardenburg, Consultants Ecol &amp; Environm, POB 365, NL-4100 AJ Culemborg, Netherlands.</t>
  </si>
  <si>
    <t>r.c.fijn@buwa.nl</t>
  </si>
  <si>
    <t>Fijn, Ruben/0000-0002-6233-2954</t>
  </si>
  <si>
    <t>Vogelbescherming Netherlands; Natural Environment Research Council [bas0100025] Funding Source: researchfish; NERC [bas0100025] Funding Source: UKRI</t>
  </si>
  <si>
    <t>Vogelbescherming Netherlands; Natural Environment Research Council(UK Research &amp; Innovation (UKRI)Natural Environment Research Council (NERC)); NERC(UK Research &amp; Innovation (UKRI)Natural Environment Research Council (NERC))</t>
  </si>
  <si>
    <t>This project was started by a group of Dutch volunteers studying several species of terns throughout The Netherlands. We like to thank all volunteers who contributed during fieldwork. We thank Vogelbescherming Netherlands for financial support to analyse data, and Bureau Waardenburg for use of their IT infrastructure and GIS department. Peter van Horssen is thanked for providing GIS support, maps and distance calculations. Carsten Egevang and Martin Poot are thanked for participation in methodological discussions. Theunis Piersma, Eldar Rakhimberdiev, Mark Collier, Yvonne Verkuil, Kees Camphuysen, and one anonymous referee commented on earlier drafts of this paper.</t>
  </si>
  <si>
    <t>NEDERLANDSE ORNITHOLOGISCHE UNIE</t>
  </si>
  <si>
    <t>ZEIST</t>
  </si>
  <si>
    <t>C/O PAUL STARMANS, OUDE ARNHEMSEWEG 261, 3705 BD ZEIST, NETHERLANDS</t>
  </si>
  <si>
    <t>0373-2266</t>
  </si>
  <si>
    <t>2213-1175</t>
  </si>
  <si>
    <t>Ardea</t>
  </si>
  <si>
    <t>SPR</t>
  </si>
  <si>
    <t>10.5253/078.101.0102</t>
  </si>
  <si>
    <t>170ZN</t>
  </si>
  <si>
    <t>WOS:000320894100002</t>
  </si>
  <si>
    <t>Bi, DH; Marsland, SJ; Uotila, P; O'Farrell, S; Fiedler, R; Sullivan, A; Griffies, SM; Zhou, XB; Hirst, AC</t>
  </si>
  <si>
    <t>Bi, Daohua; Marsland, Simon J.; Uotila, Petteri; O'Farrell, Siobhan; Fiedler, Russell; Sullivan, Arnold; Griffies, Stephen M.; Zhou, Xiaobing; Hirst, Anthony C.</t>
  </si>
  <si>
    <t>ACCESS-OM: the ocean and sea-ice core of the ACCESS coupled model</t>
  </si>
  <si>
    <t>CLIMATE SIMULATIONS; CIRCULATION MODELS; HYDROGRAPHIC DATA; NUMERICAL-MODEL; TRANSPORT; WATER; REPRESENTATION; TOPOGRAPHY; PARAMETERIZATION; ATLANTIC</t>
  </si>
  <si>
    <t>The Australian Community Climate and Earth System Simulator Ocean Model (ACCESS-OM), a global coupled ocean and sea-ice model, has been developed at the Centre for Australian Weather and Climate Research1. It is aimed to serve the Australian climate sciences community, including the Bureau of Meteorology, CSIRO2 and Australian universities, for ocean climate research. ACCESS-OM comprises the NOAA/GFDL(3) Modular Ocean Model version 4p1; the LANL(4) Seaice Model version 4.1, a data atmospheric model; and the CERFACS5 OASIS3.25 coupler, which constrains data exchange between the sub-models. ACCESS-OM has been functioning as the ocean and sea-ice coupling core of the ACCESS coupled model, one of the Australian models participating in the Coupled Model Inter-comparison Project phase 5. This paper describes the ACCESS-OM sub-models, coupler, coupling strategy and framework. A selection of key metrics from an ACCESS-OM benchmark simulation, which has run for 500 years using the Coordinated Ocean-ice Reference Experiments normal year forcing, is presented and compared with observations to evaluate the model performance. It shows ACCESS-OM simulates the global ocean and sea-ice climate generally comparably to the results from other ocean sea-ice models of the same class (Griffies et al. 2009). For example, the global ocean volume-averaged temperature undergoes minor evolution. The maximum transport of North Atlantic overturning circulation is 18.5 Sv and the Antarctic Circumpolar Current transport through Drake Passage is 150 Sv, both in fair agreement with the observations; and the sea-ice coverage has reasonable distribution and annual cycle. Measured against other ocean sea-ice models and observations, ACCESS-OM is an appropriate tool for Australia's future ocean climate modelling efforts.</t>
  </si>
  <si>
    <t>[Bi, Daohua; Marsland, Simon J.; Uotila, Petteri; O'Farrell, Siobhan; Sullivan, Arnold; Hirst, Anthony C.] CAWCR CSIRO Marine &amp; Atmospher Res, Aspendale, Vic, Australia; [Fiedler, Russell] CAWCR CSIRO Marine &amp; Atmospher Res, Hobart, Tas, Australia; [Griffies, Stephen M.] NOAA Geophys Fluid Dynam Lab, Princeton, NJ USA; [Zhou, Xiaobing] CAWCR Bur Meteorol, Melbourne, Australia</t>
  </si>
  <si>
    <t>Commonwealth Scientific &amp; Industrial Research Organisation (CSIRO); Commonwealth Scientific &amp; Industrial Research Organisation (CSIRO); National Oceanic Atmospheric Admin (NOAA) - USA</t>
  </si>
  <si>
    <t>dave.bi@csiro.au</t>
  </si>
  <si>
    <t>Uotila, Petteri/A-1703-2012; Sullivan, Arnold/V-7057-2019; Griffies, Stephen Matthew/N-9144-2019; Bi, Daohua/O-4508-2015; Marsland, Simon J/A-1453-2012; Hirst, Anthony/N-1041-2014</t>
  </si>
  <si>
    <t>Uotila, Petteri/0000-0002-2939-7561; Sullivan, Arnold/0000-0002-5712-6195; Griffies, Stephen Matthew/0000-0002-3711-236X; Marsland, Simon J/0000-0002-5664-5276;</t>
  </si>
  <si>
    <t>Department of Climate Change and Energy Efficiency; Bureau of Meteorology and CSIRO; NCI National Facility at the ANU</t>
  </si>
  <si>
    <t>This work has been undertaken as part of the Australian Climate Change Science Program, funded jointly by the Department of Climate Change and Energy Efficiency, the Bureau of Meteorology and CSIRO. This work was supported by the NCI National Facility at the ANU.</t>
  </si>
  <si>
    <t>10.22499/2.6301.014</t>
  </si>
  <si>
    <t>WOS:000321822100014</t>
  </si>
  <si>
    <t>Bourassa, MA; Gille, ST; Bitz, C; Carlson, D; Cerovecki, I; Clayson, CA; Cronin, MF; Drennan, WM; Fairall, CW; Hoffman, RN; Magnusdottir, G; Pinker, RT; Renfrew, IA; Serreze, M; Speer, K; Talley, LD; Wick, GA</t>
  </si>
  <si>
    <t>Bourassa, Mark A.; Gille, Sarah T.; Bitz, Cecilia; Carlson, David; Cerovecki, Ivana; Clayson, Carol Anne; Cronin, Meghan F.; Drennan, Will M.; Fairall, Chris W.; Hoffman, Ross N.; Magnusdottir, Gudrun; Pinker, Rachel T.; Renfrew, Ian A.; Serreze, Mark; Speer, Kevin; Talley, Lynne D.; Wick, Gary A.</t>
  </si>
  <si>
    <t>HIGH-LATITUDE OCEAN AND SEA ICE SURFACE FLUXES: CHALLENGES FOR CLIMATE RESEARCH</t>
  </si>
  <si>
    <t>INFRARED SATELLITE RADIANCES; ESTIMATING ATMOSPHERIC CO2; DATA ASSIMILATION SYSTEM; TURBULENT HEAT FLUXES; RADIATIVE FLUXES; SOUTHERN-OCEAN; PROBABILITY-DISTRIBUTION; SAMPLING ERRORS; WIND STRESS; BULK PARAMETERIZATION</t>
  </si>
  <si>
    <t>Polar regions have great sensitivity to climate forcing; however, understanding of the physical processes coupling the atmosphere and ocean in these regions is relatively poor. Improving our knowledge of high-latitute surface fluxes will require close collaboration among meteorologists, oceanographers, ice physicists, and climatologists, and between observationalists and modelers, as well as new combinations of in situ measurements and satellite remote sensing. This article describes the deficiencies in our current state of knowledge about air-sea surface fluxes in high latitutes, the sensitivity of various high-latitude processes to changes in surface fluxes, and the scientific requirements for surface fluxes at high latitutdes. We inventory the reasons, both logistical and physical, why existing flux products do not meet these requirements. Capturing an annual cycle in fluxes requires that instruments function through long periods of cold polar darkness, often far from support services, in situations subject to icing and extreme wave conditions. Furthermore, frequent cloud cover at high latitudes restricts the avilability of surface and atmospheric data from visible and infrared (IR) wavelength satellite sensors. Recommendations are made for improving high-latitude fluxes, including 1) acquiring more in situ observations, 2) developing improved satellite-flux-observing capabilities, 3) making observations and flux products more accessible, and 4) encouraging flux intercomparisons.</t>
  </si>
  <si>
    <t>[Bourassa, Mark A.; Clayson, Carol Anne; Speer, Kevin] Florida State Univ, Tallahassee, FL 32306 USA; [Gille, Sarah T.; Cerovecki, Ivana; Talley, Lynne D.] Univ Calif San Diego, La Jolla, CA 92093 USA; [Bitz, Cecilia] Univ Washington, Seattle, WA 98195 USA; [Carlson, David] British Antarctic Survey, Cambridge CB3 0ET, England; [Cronin, Meghan F.] NOAA, Pacific Marine Environm Lab, Seattle, WA 98115 USA; [Drennan, Will M.] Univ Miami, Miami, FL USA; [Fairall, Chris W.; Wick, Gary A.] NOAA, Earth Syst Res Lab, Boulder, CO USA; [Hoffman, Ross N.] Atmospher &amp; Environm Res Inc, Lexington, MA USA; [Magnusdottir, Gudrun] Univ Calif Irvine, Irvine, CA USA; [Pinker, Rachel T.] Univ Maryland, College Pk, MD 20742 USA; [Renfrew, Ian A.] Univ E Anglia, Norwich NR4 7TJ, Norfolk, England; [Serreze, Mark] Univ Colorado, Boulder, CO 80309 USA</t>
  </si>
  <si>
    <t>State University System of Florida; Florida State University; University of California System; University of California San Diego; University of Washington; University of Washington Seattle; UK Research &amp; Innovation (UKRI); Natural Environment Research Council (NERC); NERC British Antarctic Survey; National Oceanic Atmospheric Admin (NOAA) - USA; University of Miami; National Oceanic Atmospheric Admin (NOAA) - USA; Atmospheric &amp; Environmental Research; University of California System; University of California Irvine; University System of Maryland; University of Maryland College Park; University of East Anglia; University of Colorado System; University of Colorado Boulder</t>
  </si>
  <si>
    <t>Gille, ST (corresponding author), Univ Calif San Diego, Scripps Inst Oceanog, 9500 Gilman Dr,Mail Code 0230, La Jolla, CA 92093 USA.</t>
  </si>
  <si>
    <t>sgille@ucsd.edu</t>
  </si>
  <si>
    <t>Cronin, Meghan F./M-3155-2018; Gille, Sarah T./B-3171-2012; Bitz, Cecilia M/S-8423-2016; Renfrew, Ian A/E-4057-2010; Keyes, Dennis/AAZ-9285-2021; Hoffman, Ross/E-9052-2018; Clayson, Carol Anne/M-6579-2019; Pinker, Rachel T/F-6565-2010; Bourassa, Mark/Z-2428-2019; fairall, christopher/G-5970-2019</t>
  </si>
  <si>
    <t>Cronin, Meghan F./0000-0002-4703-8132; Hoffman, Ross/0000-0002-4962-9438; fairall, christopher/0000-0003-4073-7413; Renfrew, Ian/0000-0001-9379-8215; Talley, Lynne/0000-0003-1574-729X; Bitz, Cecilia/0000-0002-9477-7499; Pinker, Rachel/0000-0003-4249-4427; Drennan, William/0000-0003-1708-4311; Gille, Sarah/0000-0001-9144-4368</t>
  </si>
  <si>
    <t>U.S. CLIVAR; Directorate For Geosciences; Office of Polar Programs (OPP) [0909313] Funding Source: National Science Foundation; Division Of Ocean Sciences; Directorate For Geosciences [0850869, 0850350] Funding Source: National Science Foundation; Natural Environment Research Council [bas010011] Funding Source: researchfish; NERC [bas010011] Funding Source: UKRI</t>
  </si>
  <si>
    <t>U.S. CLIVAR; Directorate For Geosciences; Office of Polar Programs (OPP)(National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</si>
  <si>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U.S. CLIVAR provided logistical support and funding for the High Latitude Surface Flux Working Group. We thank the anonymous reviewers who contributed substantially to the final quality of the paper through their careful and thoughtful reviews, and we thank the BAMS editors for their patience and help with this project. We also thank Ed Andreas, Shenfu Dong, Paul Hughes, Ryan Maue, and E. Paul Oberlander for their contributions. GEWEX version 3.0 and International Satellite Cloud Climatology Project (ISCCP) data used in Fig. 7 were downloaded from the Langley Research Center (LaRC) Atmospheric Science Data Center (http://eosweb.larc.nasa.gov/). The CERES 2.50 data were downloaded from the Radiative Flux Assessment site (http://eosweb.larc.nasa.gov /GEWEX-RFA/) and have the file name CERES-SR-BAVG-Terra-GEO-MOD_Ed02d_SFC-MAP-MONLST-GLOB-ASWDN_2000039999_RFA01. U.S. CLIVAR and NASA supported the Surface Fluxes: Challenges for High Latitudes workshop.</t>
  </si>
  <si>
    <t>10.1175/BAMS-D-11-00244.1</t>
  </si>
  <si>
    <t>122OO</t>
  </si>
  <si>
    <t>Bronze, Green Published, Green Accepted</t>
  </si>
  <si>
    <t>WOS:000317327600010</t>
  </si>
  <si>
    <t>Li, C; von Storch, JS; Marotzke, J</t>
  </si>
  <si>
    <t>Li, Chao; von Storch, Jin-Song; Marotzke, Jochem</t>
  </si>
  <si>
    <t>Deep-ocean heat uptake and equilibrium climate response</t>
  </si>
  <si>
    <t>Deep-ocean heat uptake; Equilibrium climate response; Climate sensitivity</t>
  </si>
  <si>
    <t>SEA-LEVEL; THERMOHALINE CIRCULATION; THERMAL-EXPANSION; CO2 CONCENTRATION; GLOBAL OCEAN; SENSITIVITY; MODEL; ATMOSPHERE; ICE; TRANSPORTS</t>
  </si>
  <si>
    <t>We integrate the coupled climate model ECHAM5/MPIOM to equilibrium under atmospheric CO2 quadrupling. The equilibrium global-mean surface-temperature change is 10.8 K. The surface equilibrates within about 1,200 years, the deep ocean within 5,000 years. The impact of the deep ocean on the equilibrium surface-temperature response is illustrated by the difference between ECHAM5/MPIOM and ECHAM5 coupled with slab ocean model (ECHAM5/SOM). The equilibrium global-mean surface temperature response is 11.1 K in ECHAM5/SOM and is thus 0.3 K higher than in ECHAM5/MPIOM. ECHAM5/MPIOM shows less warming over the northern-hemisphere mid and high latitudes, but larger warming over the tropical ocean and especially over the southern-hemisphere high latitudes. ECHAM5/MPIOM shows similar polar amplification in both the Arctic and the Antarctic, in contrast to ECHAM5/SOM, which shows stronger polar amplification in the northern hemisphere. The southern polar warming in ECHAM5/MPIOM is greatly delayed by Antarctic deep-ocean warming due to convective and isopycnal mixing. The equilibrium ocean temperature warming under CO2 quadrupling is around 8.0 K and is near-uniform with depth. The global-mean steric sea-level rise is 5.8 m in equilibrium; of this, 2.3 m are due to the deep-ocean warming after the surface temperature has almost equilibrated. This result suggests that the surface temperature change is a poor predictor for steric sea-level change in the long term. The effective climate response method described in Gregory et al. (2004) is evaluated with our simulation, which shows that their method to estimate the equilibrium climate response is accurate to within 10 %.</t>
  </si>
  <si>
    <t>[Li, Chao; von Storch, Jin-Song; Marotzke, Jochem] Max Planck Inst Meteorol, D-20146 Hamburg, Germany; [Li, Chao] Int Max Planck Res Sch Earth Syst Modeling, Hamburg, Germany</t>
  </si>
  <si>
    <t>Li, Chao/L-1915-2015; Li, Chao/M-8501-2013</t>
  </si>
  <si>
    <t>Li, Chao/0000-0003-2556-0891; Li, Chao/0000-0003-2012-0854</t>
  </si>
  <si>
    <t>10.1007/s00382-012-1350-z</t>
  </si>
  <si>
    <t>096YE</t>
  </si>
  <si>
    <t>WOS:000315440100002</t>
  </si>
  <si>
    <t>Schmidt-Roach, S; Lundgren, P; Miller, KJ; Gerlach, G; Noreen, AME; Andreakis, N</t>
  </si>
  <si>
    <t>Schmidt-Roach, S.; Lundgren, P.; Miller, K. J.; Gerlach, G.; Noreen, A. M. E.; Andreakis, N.</t>
  </si>
  <si>
    <t>Assessing hidden species diversity in the coral Pocillopora damicornis from Eastern Australia</t>
  </si>
  <si>
    <t>CORAL REEFS</t>
  </si>
  <si>
    <t>Speciation; Cryptic; Ecomorphs; Phylogeny; GBR; Reproduction</t>
  </si>
  <si>
    <t>GREAT-BARRIER-REEF; PHENOTYPIC PLASTICITY; ASEXUAL REPRODUCTION; GENUS POCILLOPORA; LUNAR PERIODICITY; GENETIC-STRUCTURE; MITOCHONDRIAL; SCLERACTINIA; POPULATIONS; VERRUCOSA</t>
  </si>
  <si>
    <t>The incredible range of morphological plasticity present in scleractinian corals has confused the taxonomy of the group, prompting the introduction of ecomorphs to explain the observed correlation between local environmental conditions and phenotypic variation. Pocillopora damicornis (Linnaeus, 1758) represents one of the best known examples of eco-phenotypic variation in scleractinian corals with a variety of forms and reproductive strategies reported across its global distribution range. Here, we reconstruct genealogical relationships of P. damicornis colonies collected from thirteen locations along the East Australian coast to examine the relationship between genetic and phenotypic diversity in this species. Haplotype networks computed from two mitochondrial DNA regions (CR, ORF) indicate that the range of morphotypes observed within this taxon fall into at least five genetically distinct mitochondrial lineages. Nuclear (HSP70, ITS2) haplowebs on the other hand recover sharp genetic discontinuities among three of the morphological groups. We conclude that P. damicornis from Eastern Australia constitutes a cryptic species complex. The misinterpretation of taxonomical units within P. damicornis may well explain its perceived variation in the ecology, biology and life history across its range.</t>
  </si>
  <si>
    <t>[Schmidt-Roach, S.; Miller, K. J.] Univ Tasmania, Inst Marine &amp; Antarctic Studies, Hobar, Tas 7001, Australia; [Schmidt-Roach, S.; Lundgren, P.; Noreen, A. M. E.; Andreakis, N.] Australian Inst Marine Sci, Townsville, Qld 4810, Australia; [Lundgren, P.] Great Barrier Reef Marine Pk Author, Townsville, Qld 4810, Australia; [Gerlach, G.] Carl von Ossietzky Univ Oldenburg, Fak 5, Inst Biol, D-26111 Oldenburg, Germany</t>
  </si>
  <si>
    <t>University of Tasmania; Australian Institute of Marine Science; Carl von Ossietzky Universitat Oldenburg</t>
  </si>
  <si>
    <t>Schmidt-Roach, S (corresponding author), Australian Inst Marine Sci, PMB 3, Townsville, Qld 4810, Australia.</t>
  </si>
  <si>
    <t>s.schmidt-roach@aims.gov.au</t>
  </si>
  <si>
    <t>Schmidt-Roach, Sebastian/N-7129-2013; Miller, Karen/V-4098-2019; Miller, Karen/A-7902-2011; Gerlach, Gabriele/K-5919-2012; Andreakis, Nikos/A-4010-2010</t>
  </si>
  <si>
    <t>Lundgren, Petra/0000-0002-1270-2005; Andreakis, Nikos/0000-0001-7120-4279; Gerlach, Gabriele/0000-0001-5246-944X</t>
  </si>
  <si>
    <t>Commonwealth Environment Research Facilities (CERF) programme, an Australian Government; Winifred Violet Scott Estate Trust; Endeavour International Postgraduate Research Scholarship (EIPRS); CERF Marine Biodiversity Hub scholarship; German Academic Exchange Service (DAAD)</t>
  </si>
  <si>
    <t>Commonwealth Environment Research Facilities (CERF) programme, an Australian Government; Winifred Violet Scott Estate Trust; Endeavour International Postgraduate Research Scholarship (EIPRS)(Australian Government); CERF Marine Biodiversity Hub scholarship; German Academic Exchange Service (DAAD)(Deutscher Akademischer Austausch Dienst (DAAD))</t>
  </si>
  <si>
    <t>The authors would like to thank C. C. Wallace, P. Muir and J. E. N. Veron for constructive criticism and advice and M. J. H. van Oppen for comments on the manuscript and for contributing some of the mitochondrial sequences used in the final analyses. We also thank L. Peplow, D. Abrego and J. Doyle for technical advice and support, and G. Torda and A. Baird for field assistance and N. Vogel for laboratory assistance. This work has been funded through the Commonwealth Environment Research Facilities (CERF) programme, an Australian Government initiative supporting world class, public good research. The CERF Marine Biodiversity Hub is a collaborative partnership between the University of Tasmania, CSIRO Wealth from Oceans Flagship, Geoscience Australia, Australian Institute of Marine Science and Museum Victoria. Additionally, this study was kindly supported by a research award from the Winifred Violet Scott Estate Trust. S.S-R is also supported by an Endeavour International Postgraduate Research Scholarship (EIPRS), CERF Marine Biodiversity Hub scholarship and a scholarship from the German Academic Exchange Service (DAAD). This paper represents the first part of the Ph.D. thesis of S.S-R.</t>
  </si>
  <si>
    <t>0722-4028</t>
  </si>
  <si>
    <t>1432-0975</t>
  </si>
  <si>
    <t>Coral Reefs</t>
  </si>
  <si>
    <t>10.1007/s00338-012-0959-z</t>
  </si>
  <si>
    <t>104TQ</t>
  </si>
  <si>
    <t>WOS:000316018600021</t>
  </si>
  <si>
    <t>Kvíderová, J; Hájek, J; Worland, RM</t>
  </si>
  <si>
    <t>Kviderova, Jana; Hajek, Josef; Worland, Roger M.</t>
  </si>
  <si>
    <t>THE ICE NUCLEATION ACTIVITY OF EXTREMOPHILIC ALGAE</t>
  </si>
  <si>
    <t>CRYOLETTERS</t>
  </si>
  <si>
    <t>ice nucleation; lichen symbiotic algae; snow algae; supercooling point</t>
  </si>
  <si>
    <t>FREEZE TOLERANCE; BINDING PROTEINS; LICHENS; PHOTOSYNTHESIS; SUBSTANCES</t>
  </si>
  <si>
    <t>Differences in the level of cold acclimation and cryoprotection estimated as ice nucleation activity in snow algae (Chlamydomonas cf. nivalis and Chloromonas nivalis), lichen symbiotic algae (Trebouxia asymmetrica, Trebouxia erici and Trebouxia glomerata), and a mesophilic strain (Chlamydomonas reinhardti) were evaluated. Ice nucleation activity was measured using the freezing droplet method. Measurements were performed using suspensions of cells of A(750) (absorbance at 750 nm) similar to 1, 0.1, 0.01 and 0.001 dilutions for each strain. The algae had lower ice nucleation activity, with the exception of Chloromonas nivalis contaminated by bacteria. The supercooling points of the snow algae were higher than those of lichen photobionts. The supercooling points of both, mesophilic and snow Chlamydomonas strains were similar. The lower freezing temperatures of the lichen algae may reflect either the more extreme and more variable environmental conditions of the original localities or the different cellular structure of the strains examined.</t>
  </si>
  <si>
    <t>[Kviderova, Jana] Acad Sci Czech Republ, Inst Bot, CZ-37982 Trebon, Czech Republic; [Hajek, Josef] Masaryk Univ, Inst Expt Biol, Dept Plant Physiol, Lab Photosynthet Proc, Brno 61137, Czech Republic; [Worland, Roger M.] British Antarctic Survey, Cambridge CB3 0ET, England</t>
  </si>
  <si>
    <t>Czech Academy of Sciences; Institute of Botany of the Czech Academy of Sciences; Masaryk University Brno; UK Research &amp; Innovation (UKRI); Natural Environment Research Council (NERC); NERC British Antarctic Survey</t>
  </si>
  <si>
    <t>Kvíderová, J (corresponding author), Acad Sci Czech Republ, Inst Bot, Dukelska 135, CZ-37982 Trebon, Czech Republic.</t>
  </si>
  <si>
    <t>kviderova@butbn.cas.cz; jhajek@sci.muni.cz; mrwo@bas.ac.uk</t>
  </si>
  <si>
    <t>Hájek, Josef/F-4694-2019; Kviderova, Jana/B-1295-2009</t>
  </si>
  <si>
    <t>Hájek, Josef/0000-0002-2679-1707; Kviderova, Jana/0000-0002-5700-477X</t>
  </si>
  <si>
    <t>GA AS CR [KJB 601630808, KJB600050708]; CAREX (7FP EU); Czech Ministry of Education (MSMT) [LM2010009]; European Social Fund [CZ.1.07/2.2.00/28.0190]; government budget of the Czech Republic; long-term research development [RVO 67985939]; Masaryk University; Natural Environment Research Council [bas0100025] Funding Source: researchfish</t>
  </si>
  <si>
    <t>GA AS CR(Grant Agency of the Czech Republic); CAREX (7FP EU)(European Union (EU)); Czech Ministry of Education (MSMT)(Ministry of Education, Youth &amp; Sports - Czech Republic); European Social Fund(European Social Fund (ESF)); government budget of the Czech Republic; long-term research development; Masaryk University; Natural Environment Research Council(UK Research &amp; Innovation (UKRI)Natural Environment Research Council (NERC))</t>
  </si>
  <si>
    <t>The work was supported from projects GA AS CR Nos. KJB 601630808 and KJB600050708, CAREX (7FP EU), by the grant of Czech Ministry of Education (MSMT) LM2010009 CzechPolar-Ceske polarni stanice: Stavba a operacni naklady (CzechPolar - Czech polar stations: Construction and logistic expenses), project Vytvoreni pracovniho tymu a pedagogickych podminek pro vykuku a vzdelavani v oblasti polarni ekologie a zivota v extremnim prostredi (Establishing of working team and conditions for education in the field of polar ecology and life in extreme environments) reg. no. CZ.1.07/2.2.00/28.0190 funded by the European Social Fund and from the government budget of the Czech Republic, and as a long-term research development project no. RVO 67985939 and the Masaryk University. Dr., Linda Nedbalova (Charles University, Prague, Czech Republic) and Prof. Martin Backor (Safarik University, Kosice, Slovakia) are kindly acknowledged for providing the samples of Chlamydomonas cf. nivalis (Nedbalova), Trebouxia erici and T. glomerata (Backor). We would like to thank prof. Milos Bartak and Dr. Josef Elster for valuable advice.</t>
  </si>
  <si>
    <t>CRYO LETTERS</t>
  </si>
  <si>
    <t>C/O ROYAL VETERINARY COLLEGE, ROYAL COLLEGE ST, LONDON NW1 0TU, ENGLAND</t>
  </si>
  <si>
    <t>0143-2044</t>
  </si>
  <si>
    <t>1742-0644</t>
  </si>
  <si>
    <t>CryoLetters</t>
  </si>
  <si>
    <t>AJ5JJ</t>
  </si>
  <si>
    <t>WOS:000337718200004</t>
  </si>
  <si>
    <t>Bostock, HC; Sutton, PJ; Williams, MJM; Opdyke, BN</t>
  </si>
  <si>
    <t>Bostock, Helen C.; Sutton, Phil J.; Williams, Michael J. M.; Opdyke, Bradley N.</t>
  </si>
  <si>
    <t>Reviewing the circulation and mixing of Antarctic Intermediate Water in the South Pacific using evidence from geochemical tracers and Argo float trajectories</t>
  </si>
  <si>
    <t>Antarctic Intermediate Waters; South Pacific; World Ocean Circulation Experiment (WOCE); Geochemistry; Circulation; Argo</t>
  </si>
  <si>
    <t>TOTAL GEOSTROPHIC CIRCULATION; WESTERN EQUATORIAL PACIFIC; HYDROGRAPHIC SECTION; MODE WATER; OCEAN; VARIABILITY; DEEP; RADIOCARBON; TRANSPORT; CLIMATE</t>
  </si>
  <si>
    <t>Evidence from physical and geochemical tracers measured during the World Ocean Circulation Experiment (WOCE) shows that there are four sub-types of Antarctic Intermediate Water (AAIW) in the South Pacific. The main formation region of AAIW is the southeast Pacific, where fresh, cold, high oxygen, low nutrient, intermediate waters are created. This AAIW is transported north and mixes with Equatorial Pacific Intermediate Waters (EqPIW), themselves a combination of AAIW and nutrient rich, old North Pacific deep waters. 'Tasman' AAIW found in the Coral and Tasman Seas is more saline and warmer than the main subtropical gyre, and appears to have formed from mixing of AAIW with thermocline waters in the Tasman Gyre. Tasman AAIW leaks out of the Tasman basin to the north of New Zealand and along Chatham Rise, and also in the South Tasman Sea via the Tasman Leakage. Another source of relatively fresh, high oxygen, low nutrient, young AAIW comes directly from the Southern Ocean, flowing into the southwest and central South Pacific Basin, west of the East Pacific Rise. This 'Southern Ocean' (SO) AAIW is most likely a mixture of AAIW formed locally at the Subantarctic Front (SAF), and AAIW formed along the SAF in the southeast Pacific or Indian oceans and transported by the Antarctic Circumpolar Current (ACC). Interpreting physical and geochemical tracers, combined with velocity estimates from Argo floats, and previous research, has allowed us to refine the detailed circulation pattern of AAIW in the South Pacific, especially in the topographically complex southwest Pacific. (c) 2012 Elsevier Ltd. All rights reserved.</t>
  </si>
  <si>
    <t>[Bostock, Helen C.; Sutton, Phil J.; Williams, Michael J. M.] Natl Inst Water &amp; Atmospher Res, Wellington 6022, New Zealand; [Opdyke, Bradley N.] Australian Natl Univ, Res Sch Earth Sci, Canberra, ACT 0200, Australia</t>
  </si>
  <si>
    <t>National Institute of Water &amp; Atmospheric Research (NIWA) - New Zealand; Australian National University</t>
  </si>
  <si>
    <t>Bostock, HC (corresponding author), Natl Inst Water &amp; Atmospher Res, Wellington 6022, New Zealand.</t>
  </si>
  <si>
    <t>Bostock, Helen/A-6834-2013; Williams, Michael/H-9674-2014</t>
  </si>
  <si>
    <t>Bostock, Helen/0000-0002-8903-8958; Sutton, Phil/0000-0003-2936-0918</t>
  </si>
  <si>
    <t>Australian Postgraduate Award; New Zealand Foundation for Science and Technology; Ministry of Science and Innovation</t>
  </si>
  <si>
    <t>Australian Postgraduate Award(Australian Government); New Zealand Foundation for Science and Technology(New Zealand Foundation for Research, Science and Technology); Ministry of Science and Innovation(Spanish Government)</t>
  </si>
  <si>
    <t>The authors would like to acknowledge all the voyages leaders, participants and crew involved in the World Ocean Circulation Experiment South Pacific voyages that were used in this study. Also to all the proponents and voyages that have deployed Argo floats. The Argo data were collected and made freely available by the International Argo Program and the national programs that contribute to it. (http://www.argo.ucsd.edu, http://argo.jcommops.org). The Argo Program is part of the Global Ocean Observing System. This work was supported by an Australian Postgraduate Award to HCB and funding from the New Zealand Foundation for Science and Technology and Ministry of Science and Innovation. This manuscript was significantly improved by constructive advice from three anonymous reviewers.</t>
  </si>
  <si>
    <t>10.1016/j.dsr.2012.11.007</t>
  </si>
  <si>
    <t>105SE</t>
  </si>
  <si>
    <t>WOS:000316092000007</t>
  </si>
  <si>
    <t>Linse, K; Jackson, JA; Fitzcharles, E; Sands, CJ; Buckeridge, JS</t>
  </si>
  <si>
    <t>Linse, Katrin; Jackson, Jennifer A.; Fitzcharles, Elaine; Sands, Chester J.; Buckeridge, John S.</t>
  </si>
  <si>
    <t>Phylogenetic position of Antarctic Scalpelliformes (Crustacea: Cirripedia: Thoracica)</t>
  </si>
  <si>
    <t>Cirripedia; Scalpellidae; Barcoding; 28S; 18S; CO1; Scotia Sea</t>
  </si>
  <si>
    <t>DEEP-SEA; NEW-ZEALAND; BARNACLES CRUSTACEA; CRYPTIC SPECIATION; MARINE FAUNAS; BIODIVERSITY; BIOGEOGRAPHY; INFERENCE; ISOPODA; ORIGIN</t>
  </si>
  <si>
    <t>The phylogenetic relationships of seven Antarctic barnacle species, one verrucomorph and six scalpelliforms from the Scotia, Weddell and Ross seas were investigated using DNA sequences from two nuclear genes (18 S and 28 S) and one mitochondrial gene (COI), with a combined total length of 3,151 base pairs. Analyses of these new sequences, together with those of previously published ibliform, lepadiform, scalpelliform, balanomorph and verrucomorph species, confirm that the Scalpelliformes are not monophyletic. Bayesian and maximum likelihood analyses consistently recovered a monophyletic group which comprised Ornatoscalpellum stroemii (Sars) and the Southern Ocean scalpellomorphs; Arcoscalpellum sp. from the Weddell Sea, Arcoscalpellum africanum from Elephant Island, A. bouveti from Bouvet Island, the circum-Antarctic Litoscalpellum discoveryi, Litoscalpellum sp. from Shag Rocks and Scalpellum sp. from the Falkland Trough. We also used multiple fossil constraints in a relaxed clock Bayesian framework to estimate divergence times for the 18 S+28 S phylogeny. Our results indicate a mid Cretaceous divergence for the Weddell Sea Arcoscalpellum sp, followed by a late Cretaceous divergence from the North Atlantic O. stroemii. Subsequent to this, the Antarctic scalpellomorphs began to radiate at the Cretaceous-Tertiary boundary. Monophyly within the scalpellid genera Arcoscalpellum, Litoscalpellum and Scalpellum was strongly rejected by all loci. Our results show incongruence between taxonomy and molecular systematics and highlight the need for more species to be sequenced as well as taxonomic revisions to resolve uncertainties in the phylogenetic relationships of the stalked barnacles. Crown Copyright (c) 2012 Published by Elsevier Ltd. All rights reserved.</t>
  </si>
  <si>
    <t>[Linse, Katrin; Jackson, Jennifer A.; Fitzcharles, Elaine; Sands, Chester J.] British Antarctic Survey, Nat Environm Res Council, Cambridge CB3 0ET, England; [Buckeridge, John S.] RMIT Univ, Melbourne, Vic 3001, Australia</t>
  </si>
  <si>
    <t>UK Research &amp; Innovation (UKRI); Natural Environment Research Council (NERC); NERC British Antarctic Survey; Royal Melbourne Institute of Technology (RMIT)</t>
  </si>
  <si>
    <t>Linse, K (corresponding author), British Antarctic Survey, Nat Environm Res Council, Madingley Rd, Cambridge CB3 0ET, England.</t>
  </si>
  <si>
    <t>kl@bas.ac.uk</t>
  </si>
  <si>
    <t>Jackson, Jennifer A/E-7997-2013</t>
  </si>
  <si>
    <t>Jackson, Jennifer/0000-0003-4158-1924; Linse, Katrin/0000-0003-3477-3047; Sands, Chester/0000-0003-1028-0328</t>
  </si>
  <si>
    <t>NERC, ANDEEP; SCAR 'EBA' programme; NZ Ministry of Fisheries; Natural Environment Research Council [bas0100026] Funding Source: researchfish; NERC [bas0100026] Funding Source: UKRI</t>
  </si>
  <si>
    <t>NERC, ANDEEP(UK Research &amp; Innovation (UKRI)Natural Environment Research Council (NERC)); SCAR 'EBA' programme; NZ Ministry of Fisheries; Natural Environment Research Council(UK Research &amp; Innovation (UKRI)Natural Environment Research Council (NERC)); NERC(UK Research &amp; Innovation (UKRI)Natural Environment Research Council (NERC))</t>
  </si>
  <si>
    <t>We are grateful to the cruise leaders, captains, officers and crews of RRS James Clarke Ross (JR 144 - BIOPEARL) and of PFS Polarstern (ANT XIX-4, ANT XXII-3) who enabled us to collect the samples for this study. Pete Bucktrout kindly photographed the Antarctic species. We thank A.-N. Lorz (NIWA) for the loan of the Ross Sea specimens which were collected during TAN0402, a biodiversity survey of the western Ross Sea and Balleny Islands undertaken by NIWA and financed by the NZ Ministry of Fisheries. We are grateful to A. Gooday, M. Perez-Losada and two unknown reviewers for their comments improving this publication. This paper is a contribution to British Antarctic Survey core project 'EVOLHIST' with financial support from NERC, ANDEEP publication no xx and linked with the SCAR 'EBA' programme.</t>
  </si>
  <si>
    <t>10.1016/j.dsr.2012.11.006</t>
  </si>
  <si>
    <t>WOS:000316092000008</t>
  </si>
  <si>
    <t>Siegert, M; Bradwell, T</t>
  </si>
  <si>
    <t>Siegert, Martin; Bradwell, Tom</t>
  </si>
  <si>
    <t>Antarctic Earth Sciences: Preface</t>
  </si>
  <si>
    <t>[Siegert, Martin] Univ Bristol, Sch Geog Sci, Bristol BS8 1SS, Avon, England; [Bradwell, Tom] British Geol Survey, Edinburgh EH9 3LA, Midlothian, Scotland</t>
  </si>
  <si>
    <t>University of Bristol; UK Research &amp; Innovation (UKRI); Natural Environment Research Council (NERC); NERC British Geological Survey</t>
  </si>
  <si>
    <t>Siegert, M (corresponding author), Univ Bristol, Sch Geog Sci, Bristol BS8 1SS, Avon, England.</t>
  </si>
  <si>
    <t>Siegert, Martin J/A-3826-2008; Siegert, Martin/M-9939-2019</t>
  </si>
  <si>
    <t>Siegert, Martin J/0000-0002-0090-4806; Siegert, Martin/0000-0002-0090-4806; Bradwell, Tom/0000-0003-0947-3309</t>
  </si>
  <si>
    <t>Natural Environment Research Council [bgs05002] Funding Source: researchfish; NERC [bgs05002] Funding Source: UKRI</t>
  </si>
  <si>
    <t>10.1017/S1755691013000121</t>
  </si>
  <si>
    <t>WOS:000330364900001</t>
  </si>
  <si>
    <t>Storey, BC; Vaughan, APM; Riley, TR</t>
  </si>
  <si>
    <t>Storey, Bryan C.; Vaughan, Alan P. M.; Riley, Teal R.</t>
  </si>
  <si>
    <t>The links between large igneous provinces, continental break-up and environmental change: evidence reviewed from Antarctica</t>
  </si>
  <si>
    <t>climate change; Earth System; Gondwana break-up; mafic magma; supercontinent</t>
  </si>
  <si>
    <t>DRONNING MAUD LAND; MARIE-BYRD-LAND; JURASSIC MASS EXTINCTION; FERRAR MAGMATIC PROVINCE; LONG-DISTANCE TRANSPORT; MANTLE-PLUME ACTIVITY; ROSS SEA REGION; FLOOD BASALTS; WEST-ANTARCTICA; NEW-ZEALAND</t>
  </si>
  <si>
    <t>Earth history is punctuated by events during which large volumes of predominantly mafic magmas were generated and emplaced by processes that are generally accepted as being, unrelated to 'normal' sea-floor spreading and subduction processes. These events form large igneous provinces (LIPs) which are best preserved in the Mesozoic and Cenozoic where they occur as continental and ocean basin flood basalts, giant radiating dyke swarms, volcanic rifted margins, oceanic plateaus, submarine ridges, and seamount chains. The Mesozoic history of Antarctica is no exception in that a number of different igneous provinces were emplaced during the initial break-up and continued disintegration of Gondwana, leading to the isolation of Antarctica in a polar position. The link between the emplacement of the igneous rocks and continental break-up processes remains controversial. The environmental impact of large igneous province formation on the Earth System is equally debated. Large igneous province eruptions are coeval with, and may drive environmental and climatic effects including global warming, oceanic anoxia and/or increased oceanic fertilisation, calcification crises, mass extinction and release of gas hydrates. This review explores the links between the emplacement of large igneous provinces in Antarctica, the isolation of Antarctica from other Gondwana continents, and possibly related environmental and climatic changes during the Mesozoic and Cenozoic.</t>
  </si>
  <si>
    <t>[Storey, Bryan C.] Univ Canterbury, Christchurch 1, New Zealand; [Vaughan, Alan P. M.; Riley, Teal R.] British Antarctic Survey, Cambridge CB3 0ET, England</t>
  </si>
  <si>
    <t>University of Canterbury; UK Research &amp; Innovation (UKRI); Natural Environment Research Council (NERC); NERC British Antarctic Survey</t>
  </si>
  <si>
    <t>Storey, BC (corresponding author), Univ Canterbury, Gateway Antarct,Private Bag 4800, Christchurch 1, New Zealand.</t>
  </si>
  <si>
    <t>Vaughan, Alan PM/B-7829-2010</t>
  </si>
  <si>
    <t>Riley, Teal/0000-0002-3333-5021</t>
  </si>
  <si>
    <t>NERC [bas0100026, bas010020] Funding Source: UKRI; Natural Environment Research Council [bas010020, bas0100026] Funding Source: researchfish</t>
  </si>
  <si>
    <t>10.1017/S175569101300011X</t>
  </si>
  <si>
    <t>WOS:000330364900003</t>
  </si>
  <si>
    <t>Wadham, JL; De'ath, R; Monteiro, FM; Tranter, M; Ridgwell, A; Raiswell, R; Tulaczyk, S</t>
  </si>
  <si>
    <t>Wadham, J. L.; De'ath, R.; Monteiro, F. M.; Tranter, M.; Ridgwell, A.; Raiswell, R.; Tulaczyk, S.</t>
  </si>
  <si>
    <t>The potential role of the Antarctic Ice Sheet in global biogeochemical cycles</t>
  </si>
  <si>
    <t>biogeochemistry; ice sheets; subglacial processes</t>
  </si>
  <si>
    <t>DISSOLVED ORGANIC-CARBON; MELTING GLACIERS FUELS; PINE ISLAND BAY; SOUTHERN-OCEAN; LAKE VOSTOK; ROSS SEA; PHYTOPLANKTON BLOOMS; SUSPENDED-SEDIMENT; SPATIAL-DISTRIBUTION; SULFATE REDUCTION</t>
  </si>
  <si>
    <t>Once thought to be devoid of life, the Antarctic Ice Sheet is now known to be a dynamic reservoir of organic carbon and metabolically active microbial cells. At the ice-bed interface, subglacial lake and sedimentary environments support low diversity microbial populations, adapted to perennial cold, anoxia and lack of light. The dynamic exchange of water between these shallow environments conveys meltwaters and associated sediments into the coastal ocean. This, together with the release of iceberg-rafted debris to more distal coastal environments, could be important for sustaining primary productivity in the iron-limited Southern Ocean, via the release of associated nutrients and bioavailable iron. We estimate the magnitude and review the wider impacts of the potential export of nutrients (N, P, C, Si and bioavailable Fe) dissolved and associated with suspended sediments in Antarctic runoff and entombed in iceberg rafted debris. Located beneath subglacial lakes and the subglacial till complex are deep sedimentary basins up to 14 km thick, located largely around the Antarctic periphery. These sedimentary basins are largely hydrologically decoupled from shallower lake and till environments by the presence of highly consolidated sediments which limit the penetration of glacial meltwaters to depth. They provide extensive habitats for sustained microbial activity over Ma timescales, and are likely to be a focal point for the anaerobic cycling of organic carbon and other elements in the deep sub-surface. Organic carbon buried in these basins during ice sheet formation is thought to be microbially cycled to methane gas, and the methane largely stored as hydrate within sediments, stabilised by the high pressure/low temperature conditions. We conclude that the export of nutrients and biogenic gases from deep and shallow subglacial Antarctic environments designates Antarctica as a potentially important component of the Earth's carbon cycle, and highlight the importance of evaluating these potential impacts further via global and regional-scale biogeochemical modelling.</t>
  </si>
  <si>
    <t>[Wadham, J. L.; De'ath, R.; Monteiro, F. M.; Tranter, M.; Ridgwell, A.] Univ Bristol, Sch Geog Sci, Bristol BS8 1SS, Avon, England; [Raiswell, R.] Univ Leeds, Sch Earth &amp; Environm, Leeds LS2 9JT, W Yorkshire, England; [Tulaczyk, S.] Univ Calif Santa Cruz, Dept Earth &amp; Planetary Sci, Santa Cruz, CA 95064 USA</t>
  </si>
  <si>
    <t>University of Bristol; University of Leeds; University of California System; University of California Santa Cruz</t>
  </si>
  <si>
    <t>Wadham, JL (corresponding author), Univ Bristol, Sch Geog Sci, Bristol BS8 1SS, Avon, England.</t>
  </si>
  <si>
    <t>Ridgwell, Andy/AAD-9487-2021; Wadham, Jemma L/G-3138-2014; Tranter, Martyn/E-3722-2010; Monteiro, Fanny/B-8591-2011; Tulaczyk, Slawek/O-7375-2018</t>
  </si>
  <si>
    <t>Ridgwell, Andy/0000-0003-2333-0128; Tranter, Martyn/0000-0003-2071-3094; Monteiro, Fanny/0000-0002-8790-0188; Tulaczyk, Slawek/0000-0002-9711-4332</t>
  </si>
  <si>
    <t>Natural Environment Research Council [NE/J019062/1, NE/E004016/1] Funding Source: researchfish; Directorate For Geosciences; Office of Polar Programs (OPP) [0839142] Funding Source: National Science Foundation; NERC [NE/J019062/1, NE/E004016/1] Funding Source: UKRI</t>
  </si>
  <si>
    <t>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t>
  </si>
  <si>
    <t>10.1017/S1755691013000108</t>
  </si>
  <si>
    <t>WOS:000330364900005</t>
  </si>
  <si>
    <t>Cherel, Y; Jaeger, A; Alderman, R; Jaquemet, S; Richard, P; Wanless, RM; Phillips, RA; Thompson, DR</t>
  </si>
  <si>
    <t>Cherel, Yves; Jaeger, Audrey; Alderman, Rachael; Jaquemet, Sebastien; Richard, Pierre; Wanless, Ross M.; Phillips, Richard A.; Thompson, David R.</t>
  </si>
  <si>
    <t>A comprehensive isotopic investigation of habitat preferences in nonbreeding albatrosses from the Southern Ocean</t>
  </si>
  <si>
    <t>ECOGRAPHY</t>
  </si>
  <si>
    <t>AT-SEA DISTRIBUTION; WANDERING ALBATROSSES; POPULATION-DYNAMICS; LONGLINE FISHERIES; DIOMEDEA-EXULANS; STABLE-ISOTOPES; D-CHRYSOSTOMA; SATELLITE TRACKING; ACTIVITY PATTERNS; FORAGING AREAS</t>
  </si>
  <si>
    <t>Albatrosses are among the world's most endangered seabirds. Threats during the nonbreeding period have major impacts on their population dynamics, but for most species, detailed information on distribution and ecology remains essentially unknown. We used stable isotope values (13C and 15N) in feathers to infer and compare the moulting (nonbreeding) habitats of 35 populations that include all the 20 species and subspecies (444 individuals) of albatrosses breeding within the Southern Ocean and in fringing subtropical waters. Isotopic values together with a review of available information show that the 20 albatrosses can be categorized into three groups depending on their favoured moulting grounds: 12 (60%) taxa forage primarily in warm neritic waters, six (30%) in northern oceanic waters and two (10%) in oceanic waters of the Southern Ocean. Stable isotopes indicate that habitat preferences during the nonbreeding period vary much less among different breeding populations in some species (wandering, Salvin's, grey-headed and light-mantled sooty albatrosses), than others (black-browed, Indian yellow-nosed and sooty albatrosses). The major finding of our isotopic investigation is that the great majority of albatrosses spend the nonbreeding period outside the Southern Ocean, with only three species (and in the sooty albatross, just one of the breeding populations) favouring oceanic subantarctic waters at that time. Hence, the study highlights the overwhelming importance of subtropical waters for albatrosses, where the birds are known to interact with human activities and are more likely to be negatively affected by the diverse range of fisheries operating in both neritic and oceanic waters.</t>
  </si>
  <si>
    <t>[Cherel, Yves; Jaeger, Audrey] UPR CNRS 1934, Ctr Etud Biol Chize, FR-79360 Villiers En Bois, France; [Alderman, Rachael] Dept Primary Ind Pk Water &amp; Environm, Hobart, Tas 7001, Australia; [Jaquemet, Sebastien] Rhodes Univ, Dept Zool &amp; Entomol, So Ocean Grp, ZA-6140 Grahamstown, South Africa; [Richard, Pierre] Univ La Rochelle, UMR CNRS 7266, Lab Littoral Environm &amp; Soc, FR-17000 La Rochelle, France; [Wanless, Ross M.] Univ Cape Town, Percy Fitzpatrick Inst African Ornithol, DST NRF Ctr Excellence, ZA-7701 Rondebosch, South Africa; [Wanless, Ross M.] BirdLife South Africa, Seabird Div, ZA-8012 Cape Town, South Africa; [Phillips, Richard A.] British Antarctic Survey, Nat Environm Res Council, Cambridge CB3 0ET, England; [Thompson, David R.] Natl Inst Water &amp; Atmospher Res Ltd, Wellington 6021, New Zealand</t>
  </si>
  <si>
    <t>Rhodes University; La Rochelle Universite; National Research Foundation - South Africa; University of Cape Town; UK Research &amp; Innovation (UKRI); Natural Environment Research Council (NERC); NERC British Antarctic Survey; National Institute of Water &amp; Atmospheric Research (NIWA) - New Zealand</t>
  </si>
  <si>
    <t>Cherel, Y (corresponding author), UPR CNRS 1934, Ctr Etud Biol Chize, BP 14, FR-79360 Villiers En Bois, France.</t>
  </si>
  <si>
    <t>cherel@cebc.cnrs.fr</t>
  </si>
  <si>
    <t>Jaeger, Audrey/HMD-6340-2023; Richard, Pierre/N-6482-2014</t>
  </si>
  <si>
    <t>Jaeger, Audrey/0000-0002-5649-0315; Richard, Pierre/0000-0002-0393-9967</t>
  </si>
  <si>
    <t>Inst. Polaire Francais Paul Emile Victor (IPEV) [109]; Terres Australes et Antarctiques Francaises (TAAF); British Antarctic Survey; National Research Fundation; Natural Environment Research Council [bas0100025] Funding Source: researchfish; NERC [bas0100025] Funding Source: UKRI</t>
  </si>
  <si>
    <t>Inst. Polaire Francais Paul Emile Victor (IPEV); Terres Australes et Antarctiques Francaises (TAAF); British Antarctic Survey; National Research Fundation; Natural Environment Research Council(UK Research &amp; Innovation (UKRI)Natural Environment Research Council (NERC)); NERC(UK Research &amp; Innovation (UKRI)Natural Environment Research Council (NERC))</t>
  </si>
  <si>
    <t>The authors thank all those colleagues who helped with collecting albatross feathers at the different breeding sites, and G. Guillou for running stable isotope samples. The present work was partly supported financially and logistically by the Inst. Polaire Francais Paul Emile Victor (IPEV, programme no. 109, H. Weimerskirch), the Terres Australes et Antarctiques Francaises (TAAF), and the British Antarctic Survey. This paper represents a contribution to the Ecosystems programme of the British Antarctic Survey. SJ benefited from the National Research Fundation financial support and from the South African National Antarctic Program logistical support.</t>
  </si>
  <si>
    <t>0906-7590</t>
  </si>
  <si>
    <t>1600-0587</t>
  </si>
  <si>
    <t>Ecography</t>
  </si>
  <si>
    <t>10.1111/j.1600-0587.2012.07466.x</t>
  </si>
  <si>
    <t>110TK</t>
  </si>
  <si>
    <t>WOS:000316468800005</t>
  </si>
  <si>
    <t>Nielsen, UN; Wall, DH</t>
  </si>
  <si>
    <t>Nielsen, Uffe N.; Wall, Diana H.</t>
  </si>
  <si>
    <t>The future of soil invertebrate communities in polar regions: different climate change responses in the Arctic and Antarctic?</t>
  </si>
  <si>
    <t>Antarctic; Arctic; belowground; climate change; polar regions; precipitation; soil fauna; warming</t>
  </si>
  <si>
    <t>EXPERIMENTAL TEMPERATURE ELEVATION; TERRESTRIAL INVERTEBRATES; EXPERIMENTAL MANIPULATION; CARBON EXCHANGE; CO2 FLUXES; TUNDRA; MICROARTHROPOD; TERM; DIVERSITY; BIODIVERSITY</t>
  </si>
  <si>
    <t>The polar regions are experiencing rapid climate change with implications for terrestrial ecosystems. Here, despite limited knowledge, we make some early predictions on soil invertebrate community responses to predicted twenty-first century climate change. Geographic and environmental differences suggest that climate change responses will differ between the Arctic and Antarctic. We predict significant, but different, belowground community changes in both regions. This change will be driven mainly by vegetation type changes in the Arctic, while communities in Antarctica will respond to climate amelioration directly and indirectly through changes in microbial community composition and activity, and the development of, and/or changes in, plant communities. Climate amelioration is likely to allow a greater influx of non-native species into both the Arctic and Antarctic promoting landscape scale biodiversity change. Non-native competitive species could, however, have negative effects on local biodiversity particularly in the Arctic where the communities are already species rich. Species ranges will shift in both areas as the climate changes potentially posing a problem for endemic species in the Arctic where options for northward migration are limited. Greater soil biotic activity may move the Arctic towards a trajectory of being a substantial carbon source, while Antarctica could become a carbon sink.</t>
  </si>
  <si>
    <t>[Nielsen, Uffe N.; Wall, Diana H.] Colorado State Univ, Nat Resource Ecol Lab, Ft Collins, CO 80523 USA; [Nielsen, Uffe N.; Wall, Diana H.] Colorado State Univ, Dept Biol, Ft Collins, CO 80523 USA; [Nielsen, Uffe N.] Univ Western Sydney, Hawkesbury Inst Environment, Penrith, NSW 2751, Australia; [Nielsen, Uffe N.] Univ Western Sydney, Sch Sci &amp; Hlth, Penrith, NSW 2751, Australia</t>
  </si>
  <si>
    <t>Colorado State University; Colorado State University; Western Sydney University; Western Sydney University</t>
  </si>
  <si>
    <t>Nielsen, UN (corresponding author), Colorado State Univ, Nat Resource Ecol Lab, Ft Collins, CO 80523 USA.</t>
  </si>
  <si>
    <t>u.nielsen@uws.edu.au</t>
  </si>
  <si>
    <t>Wall, Diana H/F-5491-2011</t>
  </si>
  <si>
    <t>Nielsen, Uffe N/0000-0003-2400-7453</t>
  </si>
  <si>
    <t>US National Science Foundation [OPP 0423595, 1115245]</t>
  </si>
  <si>
    <t>The US National Science Foundation (OPP 0423595 and 1115245) supported this work which is a contribution to the McMurdo LTER. We thank the editor and the three anonymous reviewers for their helpful comments.</t>
  </si>
  <si>
    <t>10.1111/ele.12058</t>
  </si>
  <si>
    <t>088VS</t>
  </si>
  <si>
    <t>WOS:000314865900016</t>
  </si>
  <si>
    <t>Lohrer, AM; Cummings, VJ; Thrush, SF</t>
  </si>
  <si>
    <t>Lohrer, Andrew M.; Cummings, Vonda J.; Thrush, Simon F.</t>
  </si>
  <si>
    <t>Altered Sea Ice Thickness and Permanence Affects Benthic Ecosystem Functioning in Coastal Antarctica</t>
  </si>
  <si>
    <t>ECOSYSTEMS</t>
  </si>
  <si>
    <t>coastal Antarctic marine benthos; under-ice algal detritus; sediment oxygen demand; nutrient flux; Ophionotus victoriae</t>
  </si>
  <si>
    <t>FJORD YOUNG SOUND; ROSS-SEA; MARINE SEDIMENT; NE GREENLAND; NORTHEAST GREENLAND; WATER CHEMISTRY; SOUTHERN-OCEAN; MCMURDO SOUND; CAPE EVANS; PORE WATER</t>
  </si>
  <si>
    <t>Antarctic sea ice and the cold waters surrounding the continent are key elements of the global climate system, influencing heat redistribution, oceanic circulation and the absorption of carbon dioxide from the atmosphere. However, the Southern Ocean is predicted to warm by 1-6A degrees C over the next century, altering sea ice extent, thickness and permanence. To better understand the connections between coastal sea ice conditions and the functioning of Antarctica's unique marine benthic ecosystems, we performed manipulative experiments on the seafloor at two southwestern Ross Sea sites with contrasting sea ice conditions. Benthic systems at both study sites were net heterotrophic during the study period (early November), with primary production most likely limited by light availability rather than nutrients. There was five times more fresh algal detrital material in benthic sediments at the site with the thinner, snow-free, annually formed sea ice, relative to the site with thicker, multiyear sea ice. This elevated quantity and quality of algal detrital matter corresponded with a significantly greater rate of sediment oxygen utilization by the benthos and an altered pathway of nitrogen regeneration (tighter coupling between nitrification and denitrification). Large benthic animals (brittle stars, Ophionotus victoriae) enhanced the efflux of dissolved inorganic nutrients from the sediment to the water column and played a greater role in nutrient regeneration at the site with more food. Although changes in sea ice characteristics in the Western Ross Sea are difficult to predict at present, large benthic organisms can be expected to have an expanded role in mediating the effects of elevated coastal productivity and detritus supply on ecosystem dynamics in this part of Antarctica.</t>
  </si>
  <si>
    <t>[Lohrer, Andrew M.; Thrush, Simon F.] Natl Inst Water &amp; Atmospher Res, Hamilton 3251, New Zealand; [Cummings, Vonda J.] Natl Inst Water &amp; Atmospher Res, Wellington 6021, New Zealand</t>
  </si>
  <si>
    <t>National Institute of Water &amp; Atmospheric Research (NIWA) - New Zealand; National Institute of Water &amp; Atmospheric Research (NIWA) - New Zealand</t>
  </si>
  <si>
    <t>Lohrer, AM (corresponding author), Natl Inst Water &amp; Atmospher Res, POB 11115, Hamilton 3251, New Zealand.</t>
  </si>
  <si>
    <t>drew.lohrer@niwa.co.nz</t>
  </si>
  <si>
    <t>Thrush, Simon/0000-0002-4005-3882; Cummings, Vonda/0000-0003-1076-3995</t>
  </si>
  <si>
    <t>New Zealand Ministry of Fisheries' BioRoss portfolio; NIWA</t>
  </si>
  <si>
    <t>This study was funded by the New Zealand Ministry of Fisheries' BioRoss portfolio, and NIWA. We thank Antarctica New Zealand, Scott Base staff and Latitudinal Gradient Project affiliates for excellent logistical support. Many at NIWA contributed to sample collection and analysis; special thanks to all K082 divers. We thank Paul Dayton, Rich Aronson and an anonymous reviewer for helpful suggestions on an earlier draft of the paper.</t>
  </si>
  <si>
    <t>1432-9840</t>
  </si>
  <si>
    <t>Ecosystems</t>
  </si>
  <si>
    <t>10.1007/s10021-012-9610-7</t>
  </si>
  <si>
    <t>098WQ</t>
  </si>
  <si>
    <t>WOS:000315580200004</t>
  </si>
  <si>
    <t>Vero, S; Garmendia, G; Gonzalez, MB; Bentancur, O; Wisniewski, M</t>
  </si>
  <si>
    <t>Vero, Silvana; Garmendia, Gabriela; Belen Gonzalez, M.; Bentancur, Oscar; Wisniewski, Michael</t>
  </si>
  <si>
    <t>Evaluation of yeasts obtained from Antarctic soil samples as biocontrol agents for the management of postharvest diseases of apple (Malusxdomestica)</t>
  </si>
  <si>
    <t>FEMS YEAST RESEARCH</t>
  </si>
  <si>
    <t>biocontrol; Antarctic yeasts; postharvest</t>
  </si>
  <si>
    <t>BOTRYTIS-CINEREA; BLUE MOLD; RESISTANCE; PATHOGENS; ASSAY</t>
  </si>
  <si>
    <t>Psychrotrophic yeasts were isolated from Antarctic soils, selected based on their ability to grow in apple juice at low temperatures, and were evaluated as potential biocontrol agents for the management of postharvest diseases of apple during cold storage. Among the species recovered, an isolate of Leucosporidium scottii, designated At17, was identified as a good biocontrol agent for blue and gray mold of two apple cultivars. The selected isolate produced soluble and volatile antifungal substances that were inhibitory to apple pathogens. Siderophore production was also demonstrated, but it did not appear to play a role in pathogen inhibition. The selected yeast had the capacity to form a biofilm when grown in apple juice, which is considered an important attribute of postharvest antagonists to successfully colonize wounds and intact fruit surfaces. At17 was resistant to commonly used postharvest fungicides, so application of a combination of low-dose fungicide along with the biocontrol agent could be used as an integrated management practice.</t>
  </si>
  <si>
    <t>[Vero, Silvana; Garmendia, Gabriela; Belen Gonzalez, M.] UdelaR, Fac Quim, Catedra Microbiol, Dept Biociencias, Montevideo 11800, Uruguay; [Bentancur, Oscar] UdelaR, Fac Agron, Dept Biometria Estadist &amp; Computac, Montevideo 11800, Uruguay; [Wisniewski, Michael] USDA ARS, Kearneysville, WV USA</t>
  </si>
  <si>
    <t>Universidad de la Republica, Uruguay; Universidad de la Republica, Uruguay; United States Department of Agriculture (USDA)</t>
  </si>
  <si>
    <t>Vero, S (corresponding author), UdelaR, Fac Quim, Catedra Microbiol, Dept Biociencias, Gral Flores 2124, Montevideo 11800, Uruguay.</t>
  </si>
  <si>
    <t>svero@fq.edu.uy</t>
  </si>
  <si>
    <t>Vero, Silvana/AAF-1887-2019</t>
  </si>
  <si>
    <t>Vero, Silvana/0000-0002-8934-6379; Gonzalez, Mercedes/0000-0002-0808-0610; Wisniewski, Michael/0000-0002-7481-5590</t>
  </si>
  <si>
    <t>Instituto Antartico Uruguayo (IAU)</t>
  </si>
  <si>
    <t>We are very grateful to Instituto Antartico Uruguayo (IAU) who supported this work. We also want to thank Dr Silvia Batista for providing Antarctic soil samples.</t>
  </si>
  <si>
    <t>1567-1356</t>
  </si>
  <si>
    <t>1567-1364</t>
  </si>
  <si>
    <t>FEMS YEAST RES</t>
  </si>
  <si>
    <t>FEMS Yeast Res.</t>
  </si>
  <si>
    <t>10.1111/1567-1364.12021</t>
  </si>
  <si>
    <t>Biotechnology &amp; Applied Microbiology; Microbiology; Mycology</t>
  </si>
  <si>
    <t>089ND</t>
  </si>
  <si>
    <t>WOS:000314916400005</t>
  </si>
  <si>
    <t>Otero, XL; Fernández, S; Hernandez, MAD; Nizoli, EC; Quesada, A</t>
  </si>
  <si>
    <t>Otero, X. L.; Fernandez, S.; de Pablo Hernandez, M. A.; Nizoli, E. C.; Quesada, A.</t>
  </si>
  <si>
    <t>Plant communities as a key factor in biogeochemical processes involving micronutrients (Fe, Mn, Co, and Cu) in Antarctic soils (Byers Peninsula, maritime Antarctica)</t>
  </si>
  <si>
    <t>GEODERMA</t>
  </si>
  <si>
    <t>Antarctic soils; Weathering; Soil properties; Biolimiting nutrients</t>
  </si>
  <si>
    <t>SEQUENTIAL EXTRACTION PROCEDURE; LIMITS PHYTOPLANKTON GROWTH; SOUTH-SHETLAND-ISLANDS; SODIUM PYROPHOSPHATE; PEDOGENIC ZONATION; LIVINGSTON-ISLAND; IRON; SEDIMENT; CYCLE; DYNAMICS</t>
  </si>
  <si>
    <t>The main objective of this study was to establish the effects of plants and microorganisms on soil formation and the geochemical mobility of certain micronutrients in soils from Byers Peninsula (Antarctica). For this purpose, 14 sampling sites were selected to cover the existing range of lithological and geomorphological variability in the area. Soils were sampled at the surface (0-5 cm) and subsurface (from 5 cm to 30 cm or until contact with the bedrock or permafrost). Soil samples were physicochemically characterized by analysis of pH, electrical conductivity, size particle distribution, total organic carbon, total nitrogen and dissolved organic carbon. Sequential extraction of Fe and Mn and of micronutrients (Co, Cu) was also carried out. The analytical results revealed significant differences between sites in relation to plant cover. The total organic carbon was 1.5 times higher, the total nitrogen was 1.6 times higher, the dissolved organic carbon was more than 3.6 times higher and the pH(KCl) (pH in 0.1 M KCl) was lower in the sites colonized by plants (mainly mosses) than in the sites without any plant cover. The sequential extraction of biolimiting nutrients (Fe, Mn, Co, and Cu) also revealed significant differences in the fractions in relation to the presence of plants. Specifically, the most labile and mobile fractions (amorphous Fe oxyhydroxides, easily reducible Mn, and metals soluble in sodium pyrophosphate) were present at higher concentrations in the sites colonized by vegetation than in the sites without plants. The latter aspect may be of particular importance within the context of global climate change, as increased temperatures will favour expansion of vegetation and the flow of biolimiting nutrients towards oceans and lakes, which may have direct effects on primary productivity. (c) 2012 Elsevier B.V. All rights reserved.</t>
  </si>
  <si>
    <t>[Otero, X. L.] Univ Santiago de Compostela, Fac Biol, Dept Edafol &amp; Quim Agr, Santiago De Compostela 15785, Spain; [Fernandez, S.] Univ Oviedo, Dept Geol, Mieres 33600, Spain; [de Pablo Hernandez, M. A.] Univ Alcala, Dept Geol, Madrid 28871, Spain; [Nizoli, E. C.] Univ Estadual Campinas, Inst Geociencias, BR-13083970 Campinas, SP, Brazil; [Quesada, A.] Univ Autonoma Madrid, Dept Biol, E-28049 Madrid, Spain</t>
  </si>
  <si>
    <t>Universidade de Santiago de Compostela; University of Oviedo; Universidad de Alcala; Universidade Estadual de Campinas; Autonomous University of Madrid</t>
  </si>
  <si>
    <t>Otero, XL (corresponding author), Univ Santiago de Compostela, Fac Biol, Dept Edafol &amp; Quim Agr, Santiago De Compostela 15785, Spain.</t>
  </si>
  <si>
    <t>xl.otero@usc.es</t>
  </si>
  <si>
    <t>Otero, Xosé Luis/AAF-2151-2020; Fernandez, Susana/IUQ-3116-2023; OTERO, XOSE LUIS/C-7958-2012; De Pablo, Miguel Ángel/J-6442-2014; Nizoli, Erico/IWU-8438-2023; Fernandez, Susana/K-7969-2014; Quesada, Antonio/L-2430-2013</t>
  </si>
  <si>
    <t>Otero, Xosé Luis/0000-0001-5447-1842; De Pablo, Miguel Ángel/0000-0002-4496-2741; Fernandez, Susana/0000-0001-8267-0371; Quesada, Antonio/0000-0002-8913-5993</t>
  </si>
  <si>
    <t>Spanish Ministry of Science and Innovation [CTM2008-03677-E, POL2006-06635]</t>
  </si>
  <si>
    <t>The present study was financed by the Spanish Ministry of Science and Innovation (IPY 2007-2009, CTM2008-03677-E and POL2006-06635). We thank Maria Santiso and Carmen Perez for laboratory assistance. We also thank two anonymous reviewers whose suggestions helped improved the original version of the manuscript.</t>
  </si>
  <si>
    <t>0016-7061</t>
  </si>
  <si>
    <t>1872-6259</t>
  </si>
  <si>
    <t>Geoderma</t>
  </si>
  <si>
    <t>10.1016/j.geoderma.2012.11.018</t>
  </si>
  <si>
    <t>Soil Science</t>
  </si>
  <si>
    <t>108PF</t>
  </si>
  <si>
    <t>WOS:000316307200015</t>
  </si>
  <si>
    <t>Kamenev, EN; Maslov, VA; Semenov, VS; Kurinin, RG; Mikhailov, VM; Alekseev, NL; Kamenev, IA; Semenov, SV</t>
  </si>
  <si>
    <t>Kamenev, E. N.; Maslov, V. A.; Semenov, V. S.; Kurinin, R. G.; Mikhailov, V. M.; Alekseev, N. L.; Kamenev, I. A.; Semenov, S. V.</t>
  </si>
  <si>
    <t>Structure and metamorphism of the Antarctic Shield</t>
  </si>
  <si>
    <t>GEOTECTONICS</t>
  </si>
  <si>
    <t>PRINCE-CHARLES MOUNTAINS; HIGH-GRADE METAMORPHISM; U-PB GEOCHRONOLOGY; T-T PATH; EAST ANTARCTICA; NAPIER COMPLEX; VESTFOLD HILLS; RAYNER COMPLEX; ENDERBY LAND; RAUER GROUP</t>
  </si>
  <si>
    <t>The information on the composition, structure, P-T conditions of metamorphic facies, evolution, and time of the metamorphic events in the largest Precambrian tectonic provinces of the Antarctic Crystalline Shield gained over more than a half-century is summarized in this paper. The joining up of the ortho- and paracrystalline rocks into complexes and groups according to their geographic position, composition, age, and the character of their metamorphism allowed us to consider the main features of the structure and evolution of the provinces including (1) the near-latitudinal polycyclic Late Precambrian-Early Paleozoic Wegener-Mawson Mobile Belt, extended for more than 4000 km, which started to evolve in the Mesoproterozoic and stabilized only at the end of Cambrian; (2) the Early Precambrian relict crystalline protocratonic blocks adjoining this mobile belt; their history is traced from the Eoarchean; and (3) the near-latitudinal Late Precambrian-Early Paleozoic aulacogen in the southern protocratonic block. The P-T conditions of the metamorphism from the pyroxene-granulite subfacies in the protocratonic blocks to the greenschist facies in aulacogen, as well as the age of the magmatic and metamorphic events in all the tectonic provinces of the shield, are characterized. This made it possible to consider the metamorphic history and conditions of the continental crust's formation in Antarctica, where the oldest crystalline rocks are dated to the Eoarchean (4060-3850 Ma) and the youngest rocks are similar to 500 Ma old.</t>
  </si>
  <si>
    <t>[Kamenev, E. N.; Maslov, V. A.; Kurinin, R. G.; Mikhailov, V. M.] All Russia Sci Res Inst Geol &amp; Mineral Resource O, St Petersburg 190121, Russia; [Semenov, V. S.; Semenov, S. V.] Russian Acad Sci, Inst Precambrian Geol &amp; Geochronol, St Petersburg 199034, Russia; [Alekseev, N. L.; Kamenev, I. A.] Polar Marine Geosurvey Expedit, Lomonosov 188512, Leningrad Oblas, Russia</t>
  </si>
  <si>
    <t>Russian Academy of Sciences; Institute of Precambrian Geology &amp; Geochronology of the Russian Academy of Sciences</t>
  </si>
  <si>
    <t>Kamenev, EN (corresponding author), All Russia Sci Res Inst Geol &amp; Mineral Resource O, Pr Angliiskii 1, St Petersburg 190121, Russia.</t>
  </si>
  <si>
    <t>massev@gmail.com</t>
  </si>
  <si>
    <t>Semenov, Vladimir S/A-5530-2013</t>
  </si>
  <si>
    <t>Russian Foundation for Basic Research [11-05-00940]</t>
  </si>
  <si>
    <t>This study was supported by the Russian Foundation for Basic Research, project no. 11-05-00940.</t>
  </si>
  <si>
    <t>0016-8521</t>
  </si>
  <si>
    <t>1556-1976</t>
  </si>
  <si>
    <t>GEOTECTONICS+</t>
  </si>
  <si>
    <t>Geotectonics</t>
  </si>
  <si>
    <t>10.1134/S0016852113020027</t>
  </si>
  <si>
    <t>122IE</t>
  </si>
  <si>
    <t>WOS:000317311000005</t>
  </si>
  <si>
    <t>Use and abuse of alcohol and other drugs during the heroic age of Antarctic exploration</t>
  </si>
  <si>
    <t>HISTORY OF PSYCHIATRY</t>
  </si>
  <si>
    <t>Alcohol; alcoholism; Antarctic; drug abuse; exploration</t>
  </si>
  <si>
    <t>During the heroic age of Antarctic exploration, there was much discussion on the role of alcohol. The explorers expected to be able to consume alcohol, and the expeditions were supported by companies producing alcoholic beverages that used the Antarctic connection in their advertising. On the other side, it was said (incorrectly) than Fridjof Nansen, perhaps the most famous of the Arctic explorers, had taken no alcohol and this was used in the arguments against alcohol by the temperance movement. In general, alcohol consumption was low but it was felt that alcohol played an important role in maintaining the psychological welfare of the participants. A number of them had alcohol problems, and participation in an expedition was thought to be of benefit in that it would remove the temptation to consume alcohol. However, there were episodes of drunkenness on the ships and in the Antarctic. Cocaine was taken as one of a number of tonics but only one explorer is thought to have abused drugs, though another is said to have done so.</t>
  </si>
  <si>
    <t>[Guly, H. R.] Derriford Hosp, Plymouth PL6 8DH, Devon, England</t>
  </si>
  <si>
    <t>Derriford Hospital</t>
  </si>
  <si>
    <t>0957-154X</t>
  </si>
  <si>
    <t>1740-2360</t>
  </si>
  <si>
    <t>HIST PSYCHIATR</t>
  </si>
  <si>
    <t>Hist. Psychiatr.</t>
  </si>
  <si>
    <t>10.1177/0957154X12450139</t>
  </si>
  <si>
    <t>History Of Social Sciences; Psychiatry</t>
  </si>
  <si>
    <t>Social Sciences - Other Topics; Psychiatry</t>
  </si>
  <si>
    <t>118WM</t>
  </si>
  <si>
    <t>WOS:000317057100007</t>
  </si>
  <si>
    <t>Hodgson, DA; Bentley, MJ</t>
  </si>
  <si>
    <t>Hodgson, Dominic A.; Bentley, Michael J.</t>
  </si>
  <si>
    <t>Lake highstands in the Pensacola Mountains and Shackleton Range 4300-2250 cal. yr BP: Evidence of a warm climate anomaly in the interior of Antarctica</t>
  </si>
  <si>
    <t>Antarctic; climate change; glacier melt; Holocene; lake water levels; palaeohydrology; Polar South; Shackleton Range; Transantarctic Mountains; warm climate anomaly</t>
  </si>
  <si>
    <t>MCMURDO DRY VALLEYS; TAYLOR VALLEY; TRANSANTARCTIC MOUNTAINS; FRYXELL; DIVERSITY; UNTERSEE; DRIFT</t>
  </si>
  <si>
    <t>We surveyed and dated the former shorelines of one lake in the Shackleton Range and two lakes in the Pensacola Mountains, situated inland of the Weddell Sea embayment Antarctica between 80 and 85 S. These are amongst the highest latitude lakes in the Antarctic and are located in areas where there is little or no Holocene climate and hydrological information. Surveys of the lake shorelines show that past water levels have been up to 15.7, 17.7 and 69.5 m higher than present in the three study lakes. AMS radiocarbon dating of lake-derived macrofossils showed that there was a sustained period of higher water levels from approximately 4300 and until sometime after 2250 cal. yr BP. This is interpreted as being the result of an increased number of meltwater events and/or degree-days above freezing, relative to the present. The closest comparable ice cores from the Dominion Range in the Transantarctic Mountains (85 degrees S, 166 degrees E) and the Plateau Remote ice core on the continental East Antarctic Ice Sheet (84 degrees S, 43 degrees E) also provide some evidence of a warmer period beginning at c. 4000-3500 yr BP and ending after 2000-1500 yr BP, as does a synthesis of oxygen isotope data from five Antarctic ice cores. This suggests that the well-documented mid-to late-Holocene warm period, measured in many lake and marine sediments around the coast of Antarctica, extended into these regions of the continental interior.</t>
  </si>
  <si>
    <t>[Hodgson, Dominic A.] British Antarctic Survey, Cambridge CB3 0ET, England; [Bentley, Michael J.] Univ Durham, Durham DH1 3HP, England</t>
  </si>
  <si>
    <t>UK Research &amp; Innovation (UKRI); Natural Environment Research Council (NERC); NERC British Antarctic Survey; Durham University</t>
  </si>
  <si>
    <t>Hodgson, DA (corresponding author), British Antarctic Survey, Nat Environm Res Council, Madingley Rd, Cambridge CB3 0ET, England.</t>
  </si>
  <si>
    <t>Bentley, Michael J/F-7386-2011</t>
  </si>
  <si>
    <t>Bentley, Michael J/0000-0002-2048-0019</t>
  </si>
  <si>
    <t>NERC [NE/F014260/1, bas0100024] Funding Source: UKRI; Natural Environment Research Council [NE/F014260/1, bas0100024] Funding Source: researchfish</t>
  </si>
  <si>
    <t>10.1177/0959683612460790</t>
  </si>
  <si>
    <t>112ZQ</t>
  </si>
  <si>
    <t>WOS:000316635400007</t>
  </si>
  <si>
    <t>Wu, A; Xiong, X; Angal, A</t>
  </si>
  <si>
    <t>Wu, A.; Xiong, X.; Angal, A.</t>
  </si>
  <si>
    <t>Derive a MODIS-Based Calibration for the AVHRR Reflective Solar Channels of the NOAA KLM Operational Satellites</t>
  </si>
  <si>
    <t>Advanced Very High Resolution Radiometer (AVHRR); bidirectional reflectance distribution function (BRDF); calibration; desert; Moderate Resolution Imaging Spectroradiometer (MODIS)</t>
  </si>
  <si>
    <t>The Advanced Very High Resolution Radiometer (AVHRR) has been on board the National Oceanic and Atmospheric Administration (NOAA) polar-orbiting satellites (POSs) beginning with the Television Infrared Observation Satellite N launched in October 1978. Since then, a series of AVHRR sensors have collected over 30 years of continuous daily global observations. Recently, the NOAA K, L, and M POSs have provided an improved monitoring of the Earth's environment. The AVHRR instrument carried on NOAA-15 (NOAA-K) was launched in May 1998. It is followed by NOAA-16 to NOAA-18 (NOAA-L, NOAA-M, and NOAA-N), Metop-A, and NOAA-19 (NOAA-N'). All of them have been operating to date. An accurate and consistent calibration for the AVHRR reflective solar channels has been challenging as there is no onboard calibrator and vicarious calibration often needs to accumulate large number of reliable observations to derive any meaningful long-term trends. In this paper, we use the Committee on Earth Observation Satellites-endorsed calibration/validation Libya-4 (28.55 N, 23.39 W) desert site to track the long-term stability of reflective solar channels of the NOAA KLM AVHRR. The Moderate Resolution Imaging Spectroradiometer (MODIS) on board the Terra and Aqua platforms is used as a reference to recalibrate the NOAA KLM trends. This study is focused on evaluating the calibration accuracy for the visible and near-infrared channels of each AVHRR instrument using MODIS channels 1 (620-670 nm) and 2 (841-876 nm). A site-specific bidirectional reflectance distribution function developed based on observations made by MODIS is used to normalize AVHRR-observed reflectances. Impacts of atmospheric water vapor on AVHRR-to-MODIS reflectance ratios are corrected with measured total water-vapor contents derived using the split-window temperature difference technique. Finally, MODIS-based AVHRR calibration results, which track the AVHRR on-orbit change, are applied on top of the AVHRR prelaunch values and presented in the form of quadratic polynomials as a function of time. All recalibrated AVHRR reflectances are compared with those provided from a Level 1B product. Additional validation is performed using NOAA-17 AVHRR observations acquired over Antarctic Dome Concordia site where the impact due to atmospheric water vapor is believed to be extremely small.</t>
  </si>
  <si>
    <t>[Wu, A.] Sigma Space Corp, Lanham, MD 20706 USA; [Xiong, X.] NASA, Sci &amp; Explorat Directorate, Goddard Space Flight Ctr, Greenbelt, MD 20771 USA; [Angal, A.] Sci Syst &amp; Applicat Inc, Lanham, MD 20706 USA</t>
  </si>
  <si>
    <t>National Aeronautics &amp; Space Administration (NASA); NASA Goddard Space Flight Center; Science Systems and Applications Inc</t>
  </si>
  <si>
    <t>Wu, A (corresponding author), Sigma Space Corp, Lanham, MD 20706 USA.</t>
  </si>
  <si>
    <t>aisheng.wu@sigmaspace.com; Xiaoxiong.Xiong-1@nasa.gov; amit.angal@ssaihq.com</t>
  </si>
  <si>
    <t>10.1109/TGRS.2012.2220780</t>
  </si>
  <si>
    <t>100TI</t>
  </si>
  <si>
    <t>WOS:000315725900031</t>
  </si>
  <si>
    <t>Dash, MK; Pandey, PC; Vyas, NK; Turner, J</t>
  </si>
  <si>
    <t>Dash, Mihir K.; Pandey, P. C.; Vyas, N. K.; Turner, John</t>
  </si>
  <si>
    <t>Variability in the ENSO-induced southern hemispheric circulation and Antarctic sea ice extent</t>
  </si>
  <si>
    <t>southern hemispheric circulation; teleconnection; Ferrel cell; sea ice; ENSO</t>
  </si>
  <si>
    <t>DECADAL VARIABILITY; OSCILLATION; PRECIPITATION</t>
  </si>
  <si>
    <t>The linkages between the El Nino Southern Oscillation (ENSO) and the sea ice extent (SIE) in the Weddell Sea (South Atlantic) and the BellingshausenAmundsen Sea (South-Eastern Pacific) sectors of the Southern Ocean have been studied for the period 19792005 using crosswavelet analysis. The analysis showed that the relationship between the tropical expression of ENSO and the SIE in these two areas are different before and after 1992. Further, we investigated the structure and strength of the regional Ferrel cell (RFC) during El Nino and La Nina episodes using composite latitudepressure cross-sections of wind anomalies for these two periods. Contrasting features were observed in the structure and strength of the RFC before and after 1992 in both, the South Atlantic and the South-Eastern Pacific. These modulations in the RFC control the heat transport from the tropics to high latitudes and hence the extent of sea ice in both the regions. We propose that the modulation of the RFC is responsible for the phase shift in the tropicalpolar teleconnection. Copyright (c) 2012 Royal Meteorological Society</t>
  </si>
  <si>
    <t>[Dash, Mihir K.] Indian Inst Technol, Ctr Oceans Rivers Atmosphere &amp; Land Sci, Kharagpur 721302, W Bengal, India; [Pandey, P. C.] Indian Inst Technol, Sch Earth Ocean &amp; Climate Sci, Bhubaneswar, Orissa, India; [Turner, John] British Antarctic Survey, Cambridge, England</t>
  </si>
  <si>
    <t>Indian Institute of Technology System (IIT System); Indian Institute of Technology (IIT) - Kharagpur; Indian Institute of Technology System (IIT System); Indian Institute of Technology (IIT) - Bhubaneswar; UK Research &amp; Innovation (UKRI); Natural Environment Research Council (NERC); NERC British Antarctic Survey</t>
  </si>
  <si>
    <t>Dash, MK (corresponding author), Indian Inst Technol, Ctr Oceans Rivers Atmosphere &amp; Land Sci CORAL, Kharagpur 721302, W Bengal, India.</t>
  </si>
  <si>
    <t>mihir@iitkgp.ernet.in</t>
  </si>
  <si>
    <t>Pandey, Prem Chandra/D-4409-2011</t>
  </si>
  <si>
    <t>Pandey, Prem Chandra/0000-0002-0049-1415; Turner, John/0000-0002-6111-5122</t>
  </si>
  <si>
    <t>National Centre for Antarctic and Ocean Research, Goa, India; Natural Environment Research Council [bas0100023] Funding Source: researchfish; NERC [bas0100023] Funding Source: UKRI</t>
  </si>
  <si>
    <t>National Centre for Antarctic and Ocean Research, Goa, India; Natural Environment Research Council(UK Research &amp; Innovation (UKRI)Natural Environment Research Council (NERC)); NERC(UK Research &amp; Innovation (UKRI)Natural Environment Research Council (NERC))</t>
  </si>
  <si>
    <t>The data used in the study are downloaded from NSIDC and NCEP/NCAR. Some of the software used is available from http://www.pol.ac.uk/home/research/wavelet coherence. Financial assistance is provided by National Centre for Antarctic and Ocean Research, Goa, India.</t>
  </si>
  <si>
    <t>10.1002/joc.3456</t>
  </si>
  <si>
    <t>089QZ</t>
  </si>
  <si>
    <t>WOS:000314926400022</t>
  </si>
  <si>
    <t>Bracegirdle, TJ</t>
  </si>
  <si>
    <t>Bracegirdle, Thomas J.</t>
  </si>
  <si>
    <t>Climatology and recent increase of westerly winds over the Amundsen Sea derived from six reanalyses</t>
  </si>
  <si>
    <t>Antarctic; reanalysis; wind; Pine Island; glacier; sea-level rise</t>
  </si>
  <si>
    <t>SOUTHERN-HEMISPHERE; ANNULAR MODE; TRENDS; NCEP; ASSIMILATION; ERA-40; JRA-25</t>
  </si>
  <si>
    <t>The observed acceleration of glaciers from West Antarctica into the Amundsen Sea is estimated to be contributing 6% to current sea-level rise with the estimated potential to add 0.24 m to global sea level. Stronger westerly winds over the Amundsen Sea can increase the flow of relatively warm ocean water to the base of ice shelves that flow from glaciers into the Amundsen Sea. Thinning of the glaciers caused by this warming is a potentially important factor in driving the observed acceleration of glaciers. However, the climatology of winds in the region has not been extensively studied due to a lack of in situ observational long-term records. Here six different reanalysis datasets are assessed (CFSR, ERA-40, ERA-Interim, JRA-25, MERRA and NNR1) to determine a best estimate of variability and change since 1979 when the widespread monitoring of the atmosphere from satellites was introduced. A comparison with independent mean sea-level pressure data from ice drifting buoys shows that ERA-Interim is clearly the most accurate at capturing the details of individual weather systems over the neighbouring Bellingshausen Sea, implying that it is also accurate over the Amundsen Sea. In terms of climatological means, the five recently-produced (after approximate to 2000) reanalysis datasets show only small differences. Decadal variations of westerly winds congruent with the observed increases in the southern annular mode (SAM) index are a consistent feature across the reanalysis datasets. In particular, the strong seasonal dependence of observed trends in the SAM (i.e. significant positive trends in the summer and autumn in recent decades) is also seen in the strength of westerly winds over the Amundsen Sea. In terms of year-to-year variability, the annual mean westerly winds over the Amundsen Sea were found to be significantly correlated with the SAM in summer (r = 0.35; p0.05) and El Nino-Southern Oscillation in spring (September to November) (r = 0.41; p0.05). Copyright (c) 2012 Royal Meteorological Society</t>
  </si>
  <si>
    <t>Bracegirdle, TJ (corresponding author), British Antarctic Survey, Madingley Rd, Cambridge CB3 0ET, England.</t>
  </si>
  <si>
    <t>tjbra@bas.ac.uk</t>
  </si>
  <si>
    <t>Bracegirdle, Tom/AAD-6060-2020</t>
  </si>
  <si>
    <t>Bracegirdle, Thomas/0000-0002-8868-4739</t>
  </si>
  <si>
    <t>UK Natural Environment Research Council; NERC [NE/H02333X/1, bas0100023] Funding Source: UKRI; Natural Environment Research Council [NE/H02333X/1, bas0100023] Funding Source: researchfish</t>
  </si>
  <si>
    <t>Thanks to Paul Holland and one anonymous reviewer for their comments, which greatly helped to improve the manuscript. This study is part of the British Antarctic Survey Polar Science for Planet Earth Programme. It was funded by The UK Natural Environment Research Council. The European Centre for Medium Range Weather Forecasting are thanked for providing the ERA-40 and ERA-Interim datasets. The JRA-25 dataset used for this study was provided from the cooperative research project of the JRA-25 long-term reanalysis by the Japan Meteorological Agency (JMA) and the Central Research Institute of Electric Power Industry (CRIEPI). The Global Modeling and Assimilation Office (GMAO) and the GES DISC are acknowledged for the dissemination of the MERRA dataset. The CFSR data was retrieved from the Research Data Archive, which is managed by the Data Support Section of the Computational and Information Systems Laboratory at the National Center for Atmospheric Research in Boulder, Colorado. The NNR1 Reanalysis Derived data was provided by the NOAA/OAR/ESRL PSD, Boulder, Colorado, USA, from their Web site at http://www.esrl.noaa.gov/psd/.</t>
  </si>
  <si>
    <t>10.1002/joc.3473</t>
  </si>
  <si>
    <t>104EE</t>
  </si>
  <si>
    <t>WOS:000315972400005</t>
  </si>
  <si>
    <t>Turner, J; Maksym, T; Phillips, T; Marshall, GJ; Meredith, MP</t>
  </si>
  <si>
    <t>Turner, John; Maksym, Ted; Phillips, Tony; Marshall, Gareth J.; Meredith, Michael P.</t>
  </si>
  <si>
    <t>The impact of changes in sea ice advance on the large winter warming on the western Antarctic Peninsula</t>
  </si>
  <si>
    <t>sea ice; Antarctic warming; Faraday station; Vernadsky station</t>
  </si>
  <si>
    <t>CLIMATE-CHANGE; SPATIOTEMPORAL VARIABILITY; TEMPERATURE</t>
  </si>
  <si>
    <t>Over 19792007 near-surface air temperatures on the maritime western side of the Antarctic Peninsula have increased throughout the year, with the greatest monthly temperature rise of 1.7 degrees C dec1 occurring in July as recorded at Faraday/Vernadsky (F/V) station (65.4 degrees S, 64.4 degrees W). The warming trend in this month has been the result of a loss of very cold days at the station with the average number of days with mean temperature below 15 degrees C decreasing from 7 during 19791988 to 0.6 over 19982007. There is a high anti-correlation between temperatures at F/V and the extent of sea ice in July just to the west of the station. Passive microwave satellite imagery reveals that monthly ice concentrations here have decreased by up to 25% since the late 1970s creating a polynya-like feature along the west coast of the peninsula. Sea ice extent over the southern Bellingshausen Sea has decreased markedly during the late summer and early autumn so that there has been a lengthening of the ice-free season. Yet faster ice advance in June as a result of changes in the meridional component of the wind means that the overall ice extent in the Bellingshausen Sea in July (offshore of the F/V region) has not changed significantly. Years of extensive sea ice can occur as frequently now as in the earlier part of the record, but a combination of the changing nature of the ice advance and subtle shifts in the wind direction have led to the more frequent occurrence of the ice-free area to the west of F/V in recent years. There are also indications of pre-conditioning of the ice/ocean system to the west of F/V well before winter that is associated with the presence or absence of the ice anomaly that is observed in July. Copyright (c) 2012 Royal Meteorological Society</t>
  </si>
  <si>
    <t>[Turner, John; Maksym, Ted; Phillips, Tony; Marshall, Gareth J.; Meredith, Michael P.] British Antarctic Survey, Cambridge CB3 0ET, England</t>
  </si>
  <si>
    <t>Turner, J (corresponding author), British Antarctic Survey, Madingley Rd, Cambridge CB3 0ET, England.</t>
  </si>
  <si>
    <t>Turner, John/0000-0002-6111-5122; Meredith, Michael/0000-0002-7342-7756</t>
  </si>
  <si>
    <t>Natural Environment Research Council [bas0100023, bas0100028] Funding Source: researchfish; NERC [bas0100023, bas0100028] Funding Source: UKRI</t>
  </si>
  <si>
    <t>10.1002/joc.3474</t>
  </si>
  <si>
    <t>WOS:000315972400006</t>
  </si>
  <si>
    <t>Speirs, JC; McGowan, HA; Steinhoff, DF; Bromwich, DH</t>
  </si>
  <si>
    <t>Speirs, Johanna C.; McGowan, Hamish A.; Steinhoff, Daniel F.; Bromwich, David H.</t>
  </si>
  <si>
    <t>Regional climate variability driven by foehn winds in the McMurdo Dry Valleys, Antarctica</t>
  </si>
  <si>
    <t>foehn; Fohn; katabatic; climate variability; dry valleys; Antarctica</t>
  </si>
  <si>
    <t>MESOSCALE-PREDICTION-SYSTEM; NINO-SOUTHERN-OSCILLATION; ANOMALOUS ATMOSPHERIC CIRCULATION; LOW-FREQUENCY VARIABILITY; SURFACE AIR-FLOW; ROSS ICE SHELF; SEA-ICE; ANNULAR MODE; VICTORIA LAND; ENSO TELECONNECTION</t>
  </si>
  <si>
    <t>Warm, dry and gusty foehn winds are frequently experienced in the McMurdo Dry Valleys (MDVs), Antarctica; however, their significance in the region's climate is unknown. Foehn events in the MDVs are caused by topographic modification of southwesterly airflow which is related to the occurrence of synoptic-scale cyclones in the Amundsen/Ross Sea region. The intra- and interannual frequency and intensity of foehn events therefore varies in response to the position and frequency of cyclones in this region that are believed to be strongly influenced by the El Nino Southern Oscillation (ENSO) and the Southern Annular Mode (SAM). Here, we present a 20-year climatology of foehn winds from observational records in the MDVs. The SAM is found to significantly influence foehn wind frequency during the Antarctic summer and autumn months, whereas ENSO only holds significant correlations with winter air temperatures in the MDVs. The positive relationship between the SAM and the foehn wind regime in summer is particularly significant as foehn winds frequently cause summer temperatures to rise above 0 degrees C leading to extensive melt and thaw in MDVs. Foehn winds are a major climatological feature of the MDVs with their frequency and duration affecting the region's temperature records and their trends. Accordingly, analysis of the region's weather and climate records and predictions of future impacts of climate change on the MDVs is incomplete without consideration of foehn winds and their influence. Copyright (c) 2012 Royal Meteorological Society</t>
  </si>
  <si>
    <t>[Speirs, Johanna C.; McGowan, Hamish A.] Univ Queensland, Sch Geog Planning &amp; Environm Management, Climate Res Grp, Brisbane, Qld 4072, Australia; [Steinhoff, Daniel F.; Bromwich, David H.] Ohio State Univ, Byrd Polar Res Ctr, Polar Meteorol Grp, Columbus, OH 43210 USA; [Steinhoff, Daniel F.; Bromwich, David H.] Ohio State Univ, Dept Geog, Atmospher Sci Program, Columbus, OH 43210 USA</t>
  </si>
  <si>
    <t>University of Queensland; University System of Ohio; Ohio State University; University System of Ohio; Ohio State University</t>
  </si>
  <si>
    <t>Speirs, JC (corresponding author), Univ Queensland, Sch Geog Planning &amp; Environm Management, Brisbane, Qld 4072, Australia.</t>
  </si>
  <si>
    <t>johanna.speirs@uqconnect.edu.au</t>
  </si>
  <si>
    <t>McGowan, Hamish/AAD-9607-2021; Bromwich, David H/C-9225-2016</t>
  </si>
  <si>
    <t>Speirs, Johanna/0000-0002-6124-1225; Steinhoff, Daniel/0000-0002-4233-8750</t>
  </si>
  <si>
    <t>Australian Antarctic Division project [3119]; School of Geography, Planning and Environmental Management at the University of Queensland; National Science Foundation via NSF Grant [ANT-0636523]</t>
  </si>
  <si>
    <t>Australian Antarctic Division project; School of Geography, Planning and Environmental Management at the University of Queensland; National Science Foundation via NSF Grant</t>
  </si>
  <si>
    <t>The authors would like to acknowledge the McMurdo LTER Program for use of observational data. This work is supported by the Australian Antarctic Division project (Project 3119) and the School of Geography, Planning and Environmental Management at the University of Queensland. DFS and DHB are supported by the National Science Foundation via NSF Grant ANT-0636523. Thanks also go to Andy Monaghan for his advice and earlier work on the McMurdo Dry Valleys project. Byrd Polar Research Center contribution number 1415.</t>
  </si>
  <si>
    <t>10.1002/joc.3481</t>
  </si>
  <si>
    <t>WOS:000315972400013</t>
  </si>
  <si>
    <t>Thorsen, E</t>
  </si>
  <si>
    <t>Thorsen, Einar</t>
  </si>
  <si>
    <t>Blogging on the ice: Connecting audiences with climate-change sciences</t>
  </si>
  <si>
    <t>INTERNATIONAL JOURNAL OF MEDIA &amp; CULTURAL POLITICS</t>
  </si>
  <si>
    <t>climate change; science; blogging citizen journalism; audience interaction</t>
  </si>
  <si>
    <t>Scientists working in Antarctica have recognized the need to counteract problems associated with mainstream media's treatment of the climate-change crisis. For this reason, several of them have assumed the role of citizen journalists in order to report on the effects of global warming first-hand. More specifically, they have chosen to communicate directly with the general public through official or personal blogs. In so doing they are capitalizing on the way the Internet is changing science news and journalism. This article draws on an analysis of more than 50 Antarctic blogs published during the International Polar Year (2007-08), as well as data from e-interviews with a broad selection of bloggers, in order to examine how scientists 'on the ice' act as citizen journalists. The article explores the idea of citizen journalism as education and the extent to which the scientists achieve an unmediated form of communication through their blogging efforts. It concludes by suggesting this new form of citizen journalism, beyond raising people's awareness of the climate-change crisis, also signals an important way in which mainstream environmental reporting can be reinvigorated.</t>
  </si>
  <si>
    <t>[Thorsen, Einar] Bournemouth Univ, Media Sch, Journalism &amp; Commun, Bournemouth, Dorset, England; [Thorsen, Einar] Bournemouth Univ, Media Sch, MA Journalism &amp; New Media, Bournemouth, Dorset, England</t>
  </si>
  <si>
    <t>Bournemouth University; Bournemouth University</t>
  </si>
  <si>
    <t>Thorsen, E (corresponding author), Bournemouth Univ, Weymouth House,Talbot Campus, Poole BH12 5BB, Dorset, England.</t>
  </si>
  <si>
    <t>ethorsen@bournemouth.ac.uk</t>
  </si>
  <si>
    <t>Thorsen, Einar/GOH-0952-2022</t>
  </si>
  <si>
    <t>Thorsen, Einar/0000-0002-7126-7293</t>
  </si>
  <si>
    <t>INTELLECT LTD</t>
  </si>
  <si>
    <t>THE MILL, PARNALL RD, BRISTOL, BS16 3JG, ENGLAND</t>
  </si>
  <si>
    <t>1740-8296</t>
  </si>
  <si>
    <t>2040-0918</t>
  </si>
  <si>
    <t>INT J MEDIA CULT POL</t>
  </si>
  <si>
    <t>Int. J. Media Cult. Polit.</t>
  </si>
  <si>
    <t>10.1386/macp.9.1.87_1</t>
  </si>
  <si>
    <t>Communication</t>
  </si>
  <si>
    <t>V9R9H</t>
  </si>
  <si>
    <t>WOS:000422468800007</t>
  </si>
  <si>
    <t>Su, SS; Tian, L; Chen, G; Li, ZQ; Xu, WF; Pei, YH</t>
  </si>
  <si>
    <t>Su, Shan-Shan; Tian, Li; Chen, Gang; Li, Zhan-Qiang; Xu, Wen-Feng; Pei, Yue-Hu</t>
  </si>
  <si>
    <t>Two new compounds from the metabolites of a marine-derived actinomycete Streptomyces cavourensis YY01-17</t>
  </si>
  <si>
    <t>JOURNAL OF ASIAN NATURAL PRODUCTS RESEARCH</t>
  </si>
  <si>
    <t>marine actinomycete; Streptomyces cavourensis; amide</t>
  </si>
  <si>
    <t>Our current marine natural product program investigated the second metabolites of an actinomycete Streptomyces cavourensis YY01-17 originating from the Antarctic ecological niche to discover potential antitumor chemical entities. Two new compounds, along with a known compound, were isolated from the ethyl acetate extract of the fermentation broth of the marine-derived actinomycete, and their structures were elucidated, respectively, as 2(S)-3-hydroxybutan-2-yl 2-hydroxypropanoate (1), (E)-3-hydroxy-2,4-dimethylhept-4-enamide (2), and 2-hydroxy-3-methylbutanoic acid (3) on the basis of spectroscopic data interpretation.</t>
  </si>
  <si>
    <t>[Su, Shan-Shan; Chen, Gang; Li, Zhan-Qiang; Xu, Wen-Feng; Pei, Yue-Hu] Shenyang Pharmaceut Univ, Sch Tradit Chinese Mat Med, Shenyang 110016, Peoples R China; [Tian, Li] First Inst Oceanog SOA, Qingdao 266061, Peoples R China; [Tian, Li] Qingdao Univ Sci &amp; Technol, Qingdao 266042, Peoples R China</t>
  </si>
  <si>
    <t>Shenyang Pharmaceutical University; First Institute of Oceanography, Ministry of Natural Resources; Qingdao University of Science &amp; Technology</t>
  </si>
  <si>
    <t>Pei, YH (corresponding author), Shenyang Pharmaceut Univ, Sch Tradit Chinese Mat Med, Shenyang 110016, Peoples R China.</t>
  </si>
  <si>
    <t>peiyueh@vip.163.com</t>
  </si>
  <si>
    <t>LI, Zhanqiang/0000-0002-6482-3255; SU, Shanshan/0000-0001-7808-8266</t>
  </si>
  <si>
    <t>National High Technology Research and Development Program (863 Program) of China [2011AA10A202-2]; National Key Technologies RD Program [2011B AE06B04]; National Natural Science Foundation of China [40976104]</t>
  </si>
  <si>
    <t>National High Technology Research and Development Program (863 Program) of China(National High Technology Research and Development Program of China); National Key Technologies RD Program(National Key Technology R&amp;D Program); National Natural Science Foundation of China(National Natural Science Foundation of China (NSFC))</t>
  </si>
  <si>
    <t>This work was financially supported by the National High Technology Research and Development Program (863 Program) of China (2011AA10A202-2), National Key Technologies R&amp;D Program (2011B AE06B04), and the National Natural Science Foundation of China (40976104).</t>
  </si>
  <si>
    <t>1028-6020</t>
  </si>
  <si>
    <t>1477-2213</t>
  </si>
  <si>
    <t>J ASIAN NAT PROD RES</t>
  </si>
  <si>
    <t>J. Asian Nat. Prod. Res.</t>
  </si>
  <si>
    <t>10.1080/10286020.2012.762764</t>
  </si>
  <si>
    <t>Plant Sciences; Chemistry, Applied; Chemistry, Medicinal; Pharmacology &amp; Pharmacy</t>
  </si>
  <si>
    <t>Plant Sciences; Chemistry; Pharmacology &amp; Pharmacy</t>
  </si>
  <si>
    <t>142EV</t>
  </si>
  <si>
    <t>WOS:000318780300008</t>
  </si>
  <si>
    <t>Quillfeldt, P; Masello, JF; Navarro, J; Phillips, RA</t>
  </si>
  <si>
    <t>Quillfeldt, Petra; Masello, Juan F.; Navarro, Joan; Phillips, Richard A.</t>
  </si>
  <si>
    <t>Year-round distribution suggests spatial segregation of two small petrel species in the South Atlantic</t>
  </si>
  <si>
    <t>Ecological segregation; habitat modelling; migratory behaviour; non-breeding ecology; Pachyptila belcheri; Pachyptila desolata; Procellariiformes; resource partitioning; spatial overlap; South Atlantic Ocean</t>
  </si>
  <si>
    <t>PACHYPTILA-BELCHERI; DISTRIBUTION MODELS; FEEDING ECOLOGY; SEABIRDS; COOCCURRENCE; COMPETITION; STRATEGIES; CALIFORNIA; MIGRATION; TRACKING</t>
  </si>
  <si>
    <t>Aim Pelagic seabirds exploit large areas of ocean when acting as central-place foragers during the breeding season, and ranges are even more extensive outside the breeding period. Spatial niche partitioning is known to occur among species that breed sympatrically, but is less apparent during the non-breeding period when there is increased potential for overlap among closely related species from neighbouring island groups. This applies to several species of prion, Pachyptila spp., in the Southern Ocean; although extremely abundant, their at-sea distribution was virtually unknown because they are difficult to distinguish while at sea. To understand spatial niche partitioning at large scales, we investigated the year-round distribution of thin-billed prions (Pachyptila belcheri) from the Falkland Islands (Islas Malvinas) and Antarctic prions (Pachyptiladesolata) from South Georgia. Location South Atlantic Ocean. Methods Recently, geolocation devices have become small enough to be deployed on small seabirds. During 200910, we tracked 20 thin-billed prions and 9 Antarctic prions with miniaturized geolocators. We applied ecological niche models to compare environmental conditions in the habitat utilized year-round. Results We show that two prion species from the south-west Atlantic Ocean have divergent patterns of migration, and that this has resulted in nearly complete spatial segregation (05% overlap by month in the 95% kernel density polygons). Nineteen of 20 thin-billed prions migrated to an area &gt;3000km east of their breeding site, whereas all Antarctic prions migrated a much shorter distance, and to the north-west. The non-breeding distribution of thin-billed prions included the waters around South Georgia, but only when the Antarctic prions were absent. The models highlighted large differences in the realized niche between the two species, and between the habitat characteristics of breeding and non-breeding areas of thin-billed and Antarctic prions. Main conclusions Our results are consistent with the prediction that spatial niche partitioning occurs at large scales, allowing the co-existence of related species. The methods applied here will enable predictive maps of the distributions of other prion populations to be created, once data become available from other breeding sites in the Southern Ocean.</t>
  </si>
  <si>
    <t>[Quillfeldt, Petra; Masello, Juan F.] Max Planck Inst Ornithol, Vogelwarte Radolfzell, Germany; [Navarro, Joan] Inst Ciencies Mar ICM CSIC, Barcelona, Spain; [Phillips, Richard A.] British Antarctic Survey, Nat Environm Res Council, Cambridge CB3 0ET, England</t>
  </si>
  <si>
    <t>Max Planck Society; Consejo Superior de Investigaciones Cientificas (CSIC); CSIC - Centro Mediterraneo de Investigaciones Marinas y Ambientales (CMIMA); CSIC - Instituto de Ciencias del Mar (ICM); UK Research &amp; Innovation (UKRI); Natural Environment Research Council (NERC); NERC British Antarctic Survey</t>
  </si>
  <si>
    <t>Quillfeldt, P (corresponding author), Univ Giessen, Dept Anim Ecol &amp; Systemat, Heinrich Buff Ring 38, D-35392 Giessen, Germany.</t>
  </si>
  <si>
    <t>Petra.Quillfeldt@bio.uni-giessen.de</t>
  </si>
  <si>
    <t>Quillfeldt, Petra/A-9549-2009; Navarro, Joan/C-2119-2009; Masello, Juan Francisco/C-7133-2009</t>
  </si>
  <si>
    <t>Quillfeldt, Petra/0000-0002-4450-8688; Navarro, Joan/0000-0002-5756-9543; Masello, Juan Francisco/0000-0002-6826-4016</t>
  </si>
  <si>
    <t>German Science Foundation DFG [Qu 148/1ff]; Juan de la Cierva programme (MICINN-JDC, Spanish Ministry of Science and Innovation); NERC [NE/I023503/1, bas0100025] Funding Source: UKRI; Natural Environment Research Council [NE/I023503/1, bas0100025] Funding Source: researchfish</t>
  </si>
  <si>
    <t>German Science Foundation DFG(German Research Foundation (DFG)); Juan de la Cierva programme (MICINN-JDC, Spanish Ministry of Science and Innovation); NERC(UK Research &amp; Innovation (UKRI)Natural Environment Research Council (NERC)); Natural Environment Research Council(UK Research &amp; Innovation (UKRI)Natural Environment Research Council (NERC))</t>
  </si>
  <si>
    <t>Fieldwork at New Island was supported by the New Island Conservation Trust, Ian, Maria and Georgina Strange, was approved by the Falkland Islands Government (Environmental Planning Office) and was funded by grants provided by the German Science Foundation DFG (Qu 148/1ff). Fieldwork at Bird Island was supported by the Antarctic Funding Initiative (AFI-NERC). We are very grateful to Hendrika (Riek) van Noordwijk, Derren Fox, Stacey Adlard and Ruth Brown for assistance with device deployment and retrieval, and to Thomas Gottschalk, Ortwin Elle and Jan Engler for hosting the habitat modelling workshop of the Deutsche Ornithologen-Gesellschaft. J.N. was supported by a post-doctoral contract of the Juan de la Cierva programme (MICINN-JDC, Spanish Ministry of Science and Innovation).</t>
  </si>
  <si>
    <t>10.1111/jbi.12008</t>
  </si>
  <si>
    <t>089PM</t>
  </si>
  <si>
    <t>WOS:000314922500003</t>
  </si>
  <si>
    <t>Turner, J; Bracegirdle, TJ; Phillips, T; Marshall, GJ; Hosking, JS</t>
  </si>
  <si>
    <t>Turner, John; Bracegirdle, Thomas J.; Phillips, Tony; Marshall, Gareth J.; Hosking, J. Scott</t>
  </si>
  <si>
    <t>An Initial Assessment of Antarctic Sea Ice Extent in the CMIP5 Models</t>
  </si>
  <si>
    <t>This paper examines the annual cycle and trends in Antarctic sea ice extent (SIE) for 18 models used in phase 5 of the Coupled Model Intercomparison Project (CMIP5) that were run with historical forcing for the 1850s to 2005. Many of the models have an annual SIE cycle that differs markedly from that observed over the last 30 years. The majority of models have too small of an SIE at the minimum in February, while several of the models have less than two-thirds of the observed SIE at the September maximum. In contrast to the satellite data, which exhibit a slight increase in SIE, the mean SIE of the models over 1979-2005 shows a decrease in each month, with the greatest multimodel mean percentage monthly decline of 13.6% decade(-1) in February and the greatest absolute loss of ice of -0.40 x 10(6) km(2) decade(-1) in September. The models have very large differences in SIE over 1860-2005. Most of the control runs have statistically significant trends in SIE over their full time span, and all of the models have a negative trend in SIE since the mid-nineteenth century. The negative SIE trends in most of the model runs over 1979-2005 are a continuation of an earlier decline, suggesting that the processes responsible for the observed increase over the last 30 years are not being simulated correctly.</t>
  </si>
  <si>
    <t>[Turner, John; Bracegirdle, Thomas J.; Phillips, Tony; Marshall, Gareth J.; Hosking, J. Scott] British Antarctic Survey, NERC, Cambridge CB3 0ET, England</t>
  </si>
  <si>
    <t>Bracegirdle, Tom/AAD-6060-2020; Hosking, Scott/D-3437-2013</t>
  </si>
  <si>
    <t>Turner, John/0000-0002-6111-5122; Hosking, Scott/0000-0002-3646-3504; Bracegirdle, Thomas/0000-0002-8868-4739</t>
  </si>
  <si>
    <t>Natural Environment Research Council [bas0100023] Funding Source: researchfish; NERC [bas0100023] Funding Source: UKRI</t>
  </si>
  <si>
    <t>10.1175/JCLI-D-12-00068.1</t>
  </si>
  <si>
    <t>098TK</t>
  </si>
  <si>
    <t>WOS:000315571800001</t>
  </si>
  <si>
    <t>Meredith, MP; Venables, HJ; Clarke, A; Ducklow, HW; Erickson, M; Leng, MJ; Lenaerts, JTM; van den Broeke, MR</t>
  </si>
  <si>
    <t>Meredith, Michael P.; Venables, Hugh J.; Clarke, Andrew; Ducklow, Hugh W.; Erickson, Matthew; Leng, Melanie J.; Lenaerts, Jan T. M.; van den Broeke, Michiel R.</t>
  </si>
  <si>
    <t>The Freshwater System West of the Antarctic Peninsula: Spatial and Temporal Changes</t>
  </si>
  <si>
    <t>CLIMATE-CHANGE; SEA-ICE; MARGUERITE BAY; MASS-BALANCE; VARIABILITY; TRENDS; PRECIPITATION; TEMPERATURE; IMPACT; DRIVEN</t>
  </si>
  <si>
    <t>Climate change west of the Antarctic Peninsula is the most rapid of anywhere in the Southern Hemisphere, with associated changes in the rates and distributions of freshwater inputs to the ocean. Here, results from the first comprehensive survey of oxygen isotopes in seawater in this region are used to quantify spatial patterns of meteoric water (glacial discharge and precipitation) separately from sea ice melt. High levels of meteoric water are found close to the coast, due to orographic effects on precipitation and strong glacial discharge. Concentrations decrease offshore, driving significant southward geostrophic flows (up to; similar to 30 cm s(-1)). These produce high meteoric water concentrations at the southern end of the sampling grid, where collapse of the Wilkins Ice Shelf may also have contributed. Sea ice melt concentrations are lower than meteoric water and patchier because of the mobile nature of the sea ice itself. Nonetheless, net sea ice production in the northern part of the sampling grid is inferred; combined with net sea ice melt in the south, this indicates an overall southward ice motion. The survey is contextualized temporally using a decade-long series of isotope data from a coastal Antarctic Peninsula site. This shows a temporal decline in meteoric water in the upper ocean, contrary to expectations based on increasing precipitation and accelerating deglaciation. This is driven by the increasing occurrence of deeper winter mixed layers and has potential implications for concentrations of trace metals supplied to the euphotic zone by glacial discharge. As the regional freshwater system evolves, the continuing isotope monitoring described here will elucidate the ongoing impacts on climate and the ecosystem.</t>
  </si>
  <si>
    <t>[Meredith, Michael P.; Venables, Hugh J.; Clarke, Andrew] British Antarctic Survey, Cambridge CB3 0ET, England; [Ducklow, Hugh W.; Erickson, Matthew] Marine Biol Lab, Ctr Ecosyst, Woods Hole, MA 02543 USA; [Leng, Melanie J.] Univ Leicester, Dept Geol, Leicester LE1 7RH, Leics, England; [Leng, Melanie J.] British Geol Survey, NERC, Isotope Geosci Lab, Keyworth NG12 5GG, Notts, England; [Lenaerts, Jan T. M.; van den Broeke, Michiel R.] Inst Marine &amp; Atmospher Res, Utrecht, Netherlands</t>
  </si>
  <si>
    <t>UK Research &amp; Innovation (UKRI); Natural Environment Research Council (NERC); NERC British Antarctic Survey; Marine Biological Laboratory - Woods Hole; University of Leicester; UK Research &amp; Innovation (UKRI); Natural Environment Research Council (NERC); NERC British Geological Survey; Utrecht University</t>
  </si>
  <si>
    <t>Lenaerts, Jan/D-9423-2012; Van den Broeke, Michiel R./F-7867-2011</t>
  </si>
  <si>
    <t>Lenaerts, Jan/0000-0003-4309-4011; Van den Broeke, Michiel R./0000-0003-4662-7565; Meredith, Michael/0000-0002-7342-7756; Leng, Melanie/0000-0003-1115-5166</t>
  </si>
  <si>
    <t>Organisms and Ecosystems program in NSF OPP [0823101]; Natural Environment Research Council [bas0100028, nigl010001] Funding Source: researchfish; NERC [nigl010001, bas0100028] Funding Source: UKRI; Directorate For Geosciences; Office of Polar Programs (OPP) [1440435] Funding Source: National Science Foundation; Office of Polar Programs (OPP); Directorate For Geosciences [0823101] Funding Source: National Science Foundation</t>
  </si>
  <si>
    <t>Organisms and Ecosystems program in NSF OPP; Natural Environment Research Council(UK Research &amp; Innovation (UKRI)Natural Environment Research Council (NERC)); NERC(UK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</si>
  <si>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We thank the Rothera Marine Assistants for oxygen isotope sampling at RaTS, Carol Arrowsmith for the isotope analyses at NIGL, and Marie Seguret for assistance with data display. We thank Rob Mulvaney and Liz Thomas for advice on isotopes in ice cores. The Palmer LTER participants acknowledge Award 0823101 from the Organisms and Ecosystems program in NSF OPP, the officers and crew of ARSV L. M. Gould, and science technicians from Raytheon Polar Services for skilled support of sampling operations. This work is a contribution of the BAS Polar Oceans program, funded by the Natural Environment Research Council.</t>
  </si>
  <si>
    <t>10.1175/JCLI-D-12-00246.1</t>
  </si>
  <si>
    <t>Green Submitted, hybrid, Green Accepted</t>
  </si>
  <si>
    <t>WOS:000315571800014</t>
  </si>
  <si>
    <t>Brady, EC; Otto-Bliesner, BL; Kay, JE; Rosenbloom, N</t>
  </si>
  <si>
    <t>Brady, Esther C.; Otto-Bliesner, Bette L.; Kay, Jennifer E.; Rosenbloom, Nan</t>
  </si>
  <si>
    <t>Sensitivity to Glacial Forcing in the CCSM4</t>
  </si>
  <si>
    <t>MERIDIONAL OVERTURNING CIRCULATION; CLIMATE SYSTEM MODEL; SEA-SURFACE SALINITY; ATMOSPHERIC CO2; ICE-5G VM2; LAST; MAXIMUM; OCEAN; VARIABILITY; ATLANTIC</t>
  </si>
  <si>
    <t>Results are presented from the Community Climate System Model, version 4 (CCSM4), simulation of the Last Glacial Maximum (LGM) from phase 5 of the Coupled Model Intercomparison Project (CMIP5) at the standard 18 resolution, the same resolution as the majority of the CCSM4 CMIP5 long-term simulations for the historical and future projection scenarios. The forcings and boundary conditions for this simulation follow the protocols of the Paleoclimate Modeling Intercomparison Project, version 3 (PMIP3). Two additional CCSM4 CO2 sensitivity simulations, in which the concentrations are abruptly changed at the start of the simulation to the low 185 ppm LGM concentrations (LGMCO(2)) and to a quadrupling of the preindustrial concentration (4xCO(2)), are also analyzed. For the full LGM simulation, the estimated equilibrium cooling of the global mean annual surface temperature is 5.5 degrees C with an estimated radiative forcing of -6.2 W m(-2). The radiative forcing includes the effects of the reduced LGM greenhouse gases, ice sheets, continental distribution with sea level lowered by approximately 120 m from the present, and orbital parameters, but not changes to atmospheric aerosols or vegetation biogeography. The LGM simulation has an equilibrium climate sensitivity (ECS) of 3.1(+/-0.3)degrees C, comparable to the CCSM4 4xCO(2) result. The LGMCO(2) simulation shows a greater ECS of 4.2 degrees C. Other responses found at the LGM in CCSM4 include a global precipitation rate decrease at a rate of similar to 2% degrees C-1, similar to climate change simulations in the Intergovernmental Panel on Climate Change Fourth Assessment Report (IPCC AR4); a strengthening of the Atlantic meridional overturning circulation (AMOC) with a shoaling of North Atlantic Deep Water and a filling of the deep basin up to sill depth with Antarctic Bottom Water; and an enhanced seasonal cycle accompanied by reduced ENSO variability in the eastern Pacific Ocean's SSTs.</t>
  </si>
  <si>
    <t>[Brady, Esther C.; Otto-Bliesner, Bette L.; Kay, Jennifer E.; Rosenbloom, Nan] Natl Ctr Atmospher Res, Boulder, CO 80307 USA</t>
  </si>
  <si>
    <t>National Center Atmospheric Research (NCAR) - USA</t>
  </si>
  <si>
    <t>Brady, EC (corresponding author), Natl Ctr Atmospher Res, POB 3000, Boulder, CO 80307 USA.</t>
  </si>
  <si>
    <t>brady@ucar.edu</t>
  </si>
  <si>
    <t>Otto-Bliesner, Bette/AAY-7691-2020; KAY, JENNIFER/C-6042-2012</t>
  </si>
  <si>
    <t>KAY, JENNIFER/0000-0002-3625-5377</t>
  </si>
  <si>
    <t>National Science Foundation; Office of Science (BER) of the U.S. Department of Energy; Office of Science (BER) of the Department of Energy [DE-AC05-00OR22725]</t>
  </si>
  <si>
    <t>National Science Foundation(National Science Foundation (NSF)); Office of Science (BER) of the U.S. Department of Energy(United States Department of Energy (DOE)); Office of Science (BER) of the Department of Energy(United States Department of Energy (DOE))</t>
  </si>
  <si>
    <t>We acknowledge D. Bailey, G. Danabasoglu, M. Jochum, N. Norton, S. Peacock, A. Phillips, and S. Yeager for help with the setup and analysis of these simulations. We thank H. Teng for running the 4xCO2 simulation and A. Mai for producing model diagnostics. We thank Andreas Schmittner for his suggestions to improve this manuscript and for providing additional proxy data on his website. We thank the reviewers of this manuscript for their helpful comments and suggestions. The CESM project is supported by the National Science Foundation and the Office of Science (BER) of the U.S. Department of Energy. This research was enabled by CISL compute and storage resources. Bluefire, a 4064-processor IBM Power6 resource with a peak of 77 TeraFLOPS, provided more than 7.5 million computing hours, the GLADE high-speed disk resources provided 0.4 Peta-Bytes of dedicated disk, and CISL's 12-PB HPSS archive provided over 1 PetaByte of storage in support of this research project. This research used resources of the Oak Ridge Leadership Computing Facility, located in the National Center for Computational Sciences at Oak Ridge National Laboratory, which is supported by the Office of Science (BER) of the Department of Energy under Contract DE-AC05-00OR22725.</t>
  </si>
  <si>
    <t>10.1175/JCLI-D-11-00416.1</t>
  </si>
  <si>
    <t>WOS:000316620500004</t>
  </si>
  <si>
    <t>Renaud, S; Hardouin, EA; Pisanu, B; Chapuis, JL</t>
  </si>
  <si>
    <t>Renaud, S.; Hardouin, E. A.; Pisanu, B.; Chapuis, J. -L.</t>
  </si>
  <si>
    <t>Invasive house mice facing a changing environment on the Sub-Antarctic Guillou Island (Kerguelen Archipelago)</t>
  </si>
  <si>
    <t>JOURNAL OF EVOLUTIONARY BIOLOGY</t>
  </si>
  <si>
    <t>adaptation; environmental change; insular evolution; invasive species; morphometrics; rodent; Sub-Antarctic island</t>
  </si>
  <si>
    <t>MOUSE MUS-MUSCULUS; MOLAR SHAPE-ANALYSIS; RATTUS-RATTUS L; APODEMUS-SYLVATICUS; MARION ISLAND; WOOD MICE; DEVELOPMENTAL PLASTICITY; INSULAR EVOLUTION; NATURAL-SELECTION; MACQUARIE ISLAND</t>
  </si>
  <si>
    <t>Adaptation to new environments is a key feature in evolution promoting divergence in morphological structures under selection. The house mouse (Mus musculus domesticus) introduced on the Sub-Antarctic Guillou Island (Kerguelen Archipelago) had and still has to face environmental conditions that likely shaped the pattern and pace of its insular evolution. Since mouse arrival on the island, probably not more than two centuries ago, ecological conditions dramatically differed from those available to their Western European commensal source populations. In addition, over the last two decades, the plant and animal communities of Guillou Island were considerably modified by the eradication of rabbits, the effects of climate change and the spread of invasive species detrimental to native communities. Under such a changing habitat, the mouse response was investigated using a morphometric quantification of mandible and molar tooth, two morphological structures related to food processing. A marked differentiation of the insular mice compared with their relatives from Western Europe was documented for both mandibles and molar shapes. Moreover, these shapes changed through the 16years of the record, in agreement with expectations of drift for the molar, but more than expected by chance for the mandible. These results suggest that mice responded to the recent changes in food resources, possibly with a part of plastic variation for the mandible prone to bone remodelling. This pattern exemplifies the intricate interplay of evolution, ecology and plasticity that is a probable key of the success of such an invasive rodent facing pronounced shifts in food resources exploitation under a changing environment.</t>
  </si>
  <si>
    <t>[Renaud, S.] Univ Lyon, CNRS, UMR 5558, Lab Biometrie &amp; Biol Evolut, Villeurbanne, France; [Hardouin, E. A.] Max Planck Inst Evolutionary Biol, Plon, Germany; [Hardouin, E. A.] Bournemouth Univ, Sch Appl Sci, Poole BH12 5BB, Dorset, England; [Pisanu, B.; Chapuis, J. -L.] Museum Natl Hist Nat, UMR 7204, F-75231 Paris, France</t>
  </si>
  <si>
    <t>VetAgro Sup; Centre National de la Recherche Scientifique (CNRS); CNRS - Institute of Ecology &amp; Environment (INEE); Max Planck Society; Bournemouth University; Museum National d'Histoire Naturelle (MNHN); Sorbonne Universite; Centre National de la Recherche Scientifique (CNRS); CNRS - Institute of Ecology &amp; Environment (INEE)</t>
  </si>
  <si>
    <t>Renaud, S (corresponding author), Univ Lyon 1, CNRS, UMR 5558, Lab Biometrie &amp; Biol Evolut, Batiment Mendel,Campus Doua, F-69622 Villeurbanne, France.</t>
  </si>
  <si>
    <t>Sabrina.Renaud@univ-lyon1.fr</t>
  </si>
  <si>
    <t>Renaud, Sabrina/AAV-3141-2020</t>
  </si>
  <si>
    <t>Renaud, Sabrina/0000-0002-8730-3113</t>
  </si>
  <si>
    <t>French Polar Institute (IPEV programme 136); CNRS (Zone Atelier de Recherches sur l'Environnement Antarctique et Subantarctique); ANR Bigtooth [ANR-11-BSV7-008]</t>
  </si>
  <si>
    <t>French Polar Institute (IPEV programme 136); CNRS (Zone Atelier de Recherches sur l'Environnement Antarctique et Subantarctique)(Centre National de la Recherche Scientifique (CNRS)); ANR Bigtooth(Agence Nationale de la Recherche (ANR))</t>
  </si>
  <si>
    <t>We thank Diethard Tautz for his support throughout this work and his comments on the manuscript. We are indebted to Jean-Christophe Auffray, Dominique Pontier and Anja Schunke for useful discussions. Jean-Christophe Auffray, Jean-Pierre Quere, Miriam Linnenbrick and John Baines provided access to skull samples. Many thanks go to Daniel Haubreux, Vincent Le Roux, Helene de Meringo, Quitrie Duron, Alexia Garnier and Marine Pascal for sampling mice on Guillou Island. We thank the anonymous reviewers, Andrea Cardini and Jason Dunn, for their constructive comments. This study was supported by the French Polar Institute (IPEV programme 136), by the CNRS (Zone Atelier de Recherches sur l'Environnement Antarctique et Subantarctique) and by the ANR Bigtooth (ANR-11-BSV7-008).</t>
  </si>
  <si>
    <t>1010-061X</t>
  </si>
  <si>
    <t>J EVOLUTION BIOL</t>
  </si>
  <si>
    <t>J. Evol. Biol.</t>
  </si>
  <si>
    <t>10.1111/jeb.12079</t>
  </si>
  <si>
    <t>Ecology; Evolutionary Biology; Genetics &amp; Heredity</t>
  </si>
  <si>
    <t>Environmental Sciences &amp; Ecology; Evolutionary Biology; Genetics &amp; Heredity</t>
  </si>
  <si>
    <t>090OP</t>
  </si>
  <si>
    <t>WOS:000314988900014</t>
  </si>
  <si>
    <t>Royles, J; Sime, LC; Hodgson, DA; Convey, P; Griffiths, H</t>
  </si>
  <si>
    <t>Royles, Jessica; Sime, Louise C.; Hodgson, Dominic A.; Convey, Peter; Griffiths, Howard</t>
  </si>
  <si>
    <t>Differing source water inputs, moderated by evaporative enrichment, determine the contrasting δ18OCELLULOSE signals in maritime Antarctic moss peat banks</t>
  </si>
  <si>
    <t>JOURNAL OF GEOPHYSICAL RESEARCH-BIOGEOSCIENCES</t>
  </si>
  <si>
    <t>OXYGEN-ISOTOPE RATIOS; SUB-ARCTIC CANADA; STABLE-ISOTOPES; ACTIVE LAYER; CLIMATE-CHANGE; CELLULOSE; PLANT; SPHAGNUM; CARBON; ISLAND</t>
  </si>
  <si>
    <t>Oxygen isotope palaeoclimate records, preserved in moss tissue cellulose, are complicated by environmental influences on the relationships between source water inputs and evaporative conditions. We carried out stable isotope analyses of precipitation collected from the maritime Antarctic and cellulose extracted from co-located Chorisodontium aciphyllum dominated moss peat bank deposits accumulated since 1870 A. D. Analyses of stable oxygen and hydrogen isotope composition of summer precipitation on Signy Island (60.7 degrees S, 45.6 degrees W) established a local meteoric water line (LMWL) similar to both the global MWL and other LMWLs, and almost identical to the HadAM3 isotope-enabled global circulation model output. The oxygen isotopic composition of cellulose (delta O-18(C)) revealed little temporal variation between four moss peat banks on Signy Island since 1870. However, delta O-18(C) followed two patterns with Sites A and D consistently 3 parts per thousand enriched relative to delta O-18(C) values from Sites B and C. The growing moss surfaces at Sites A and D are likely to have been hydrated by isotopically heavier summer precipitation, whilst at Sites B and C, the moss banks are regularly saturated by the isotopically depleted snow melt streams. Laboratory experiments revealed that evaporative enrichment of C. aciphyllum moss leaf water by 5 parts per thousand occurred rapidly following saturation (ecologically equivalent to post-rainfall or snow melt periods). In addition to the recognized source water-cellulose fractionation extent of 27 +/- 3 parts per thousand, such a shift would account for the 32 parts per thousand difference measured between delta O-18 of Signy Island precipitation and cellulose. Citation: Royles, J., L. C. Sime, D. A. Hodgson, P. Convey, and H. Griffiths (2013), Differing source water inputs, moderated by evaporative enrichment, determine the contrasting delta O-18(CELLULOSE) signals in maritime Antarctic moss peat banks, J. Geophys. Res. Biogeosci., 118, 184-194, doi:10.1002/jgrg.20021.</t>
  </si>
  <si>
    <t>[Royles, Jessica; Griffiths, Howard] Univ Cambridge, Dept Plant Sci, Cambridge CB2 3EA, England; [Royles, Jessica; Sime, Louise C.; Hodgson, Dominic A.; Convey, Peter] British Antarctic Survey, Cambridge CB3 0ET, England</t>
  </si>
  <si>
    <t>University of Cambridge; UK Research &amp; Innovation (UKRI); Natural Environment Research Council (NERC); NERC British Antarctic Survey</t>
  </si>
  <si>
    <t>Royles, J (corresponding author), Univ Cambridge, Dept Plant Sci, Downing St, Cambridge CB2 3EA, England.</t>
  </si>
  <si>
    <t>jesyle@bas.ac.uk</t>
  </si>
  <si>
    <t>Sime, Louise/AAX-7730-2021; Sime, Louise/F-8058-2012; Convey, Peter/AAV-5728-2020</t>
  </si>
  <si>
    <t>Sime, Louise/0000-0002-9093-7926; Sime, Louise/0000-0002-9093-7926; Convey, Peter/0000-0001-8497-9903; Royles, Jessica/0000-0003-0489-6863</t>
  </si>
  <si>
    <t>NERC [NE/G523539/1, AFI11_05]; Natural Environment Research Council [bas0100025, bas0100024, NE/H014632/1] Funding Source: researchfish; NERC [bas0100025, NE/H014632/1, bas0100024] Funding Source: UKRI</t>
  </si>
  <si>
    <t>J.R. is funded by NERC (NE/G523539/1, AFI11_05). J.R., L. C. S., P. C., and D. A. H. contribute to the BAS Polar Science for Planet Earth core research program, and this paper also contributes to the SCAR Evolution and Biodiversity in Antarctica program. We thank Jack Triest (BAS) for his role in the design and engineering of the peat corer and Julia Tindall for providing guidance and help with the HadAM3 simulations.</t>
  </si>
  <si>
    <t>2169-8953</t>
  </si>
  <si>
    <t>2169-8961</t>
  </si>
  <si>
    <t>J GEOPHYS RES-BIOGEO</t>
  </si>
  <si>
    <t>J. Geophys. Res.-Biogeosci.</t>
  </si>
  <si>
    <t>10.1002/jgrg.20021</t>
  </si>
  <si>
    <t>129MN</t>
  </si>
  <si>
    <t>WOS:000317844700015</t>
  </si>
  <si>
    <t>Barrand, NE; Vaughan, DG; Steiner, N; Tedesco, M; Munneke, PK; van den Broeke, MR; Hosking, JS</t>
  </si>
  <si>
    <t>Barrand, N. E.; Vaughan, D. G.; Steiner, N.; Tedesco, M.; Munneke, P. Kuipers; van den Broeke, M. R.; Hosking, J. S.</t>
  </si>
  <si>
    <t>Trends in Antarctic Peninsula surface melting conditions from observations and regional climate modeling</t>
  </si>
  <si>
    <t>ICE SHELF COLLAPSE; MICROWAVE RADIOMETERS; ELEVATION CHANGES; MASS-BALANCE; ANNULAR MODE; TIME-SERIES; SUMMER MELT; SNOW COVER; SEA-LEVEL; TEMPERATURE</t>
  </si>
  <si>
    <t>Multidecadal meteorological station records and microwave backscatter time-series from the SeaWinds scatterometer onboard QuikSCAT (QSCAT) were used to calculate temporal and spatial trends in surface melting conditions on the Antarctic Peninsula (AP). Four of six long-term station records showed strongly positive and statistically significant trends in duration of melting conditions, including a 95% increase in the average annual positive degree day sum (PDD) at Faraday/Vernadsky, since 1948. A validated, threshold-based melt detection method was employed to derive detailed melt season onset, extent, and duration climatologies on the AP from enhanced resolution QSCAT data during 1999-2009. Austral summer melt on the AP was linked to regional-and synoptic-scale atmospheric variability by respectively correlating melt season onset and extent with November near-surface air temperatures and the October-January averaged index of the Southern Hemisphere Annular Mode (SAM). The spatial pattern, magnitude, and interannual variability of AP melt from observations was closely reproduced by simulations of the regional model RACMO2. Local discrepancies between observations and model simulations were likely a result of the QSCAT response to, and RACMO2 treatment of, ponded surface water, and the relatively crude representation of coastal climate in the 27 km RACMO2 grid.</t>
  </si>
  <si>
    <t>[Barrand, N. E.; Vaughan, D. G.; Hosking, J. S.] British Antarctic Survey, Nat Environm Res Council, Cambridge CB3 0ET, England; [Steiner, N.; Tedesco, M.] CUNY City Coll, Cryospher Proc &amp; Remote Sensing Lab, New York, NY 10031 USA; [Munneke, P. Kuipers; van den Broeke, M. R.] Univ Utrecht, Inst Marine &amp; Atmospher Res, Utrecht, Netherlands</t>
  </si>
  <si>
    <t>UK Research &amp; Innovation (UKRI); Natural Environment Research Council (NERC); NERC British Antarctic Survey; City University of New York (CUNY) System; City College of New York (CUNY); Utrecht University</t>
  </si>
  <si>
    <t>Barrand, NE (corresponding author), Univ Birmingham, Sch Geog Earth &amp; Environm Sci, Birmingham B15 2TT, W Midlands, England.</t>
  </si>
  <si>
    <t>n.e.barrand@bham.ac.uk</t>
  </si>
  <si>
    <t>Vaughan, David/C-8348-2011; Tedesco, Marco/F-7986-2015; Steiner, Nicholas/AAZ-4388-2021; Van den Broeke, Michiel R./F-7867-2011; Hosking, Scott/D-3437-2013</t>
  </si>
  <si>
    <t>Steiner, Nicholas/0000-0001-5943-8400; Van den Broeke, Michiel R./0000-0003-4662-7565; Hosking, Scott/0000-0002-3646-3504; Vaughan, David/0000-0002-9065-0570; Kuipers Munneke, Peter/0000-0001-5555-3831; Barrand, Nicholas/0000-0003-4428-1863</t>
  </si>
  <si>
    <t>ice2sea programme from the European Union 7th Framework Programme [226375]; NSF [ANT 1141973]; Natural Environment Research Council [bas0100027, bas0100023] Funding Source: researchfish; NERC [bas0100023, bas0100027] Funding Source: UKRI</t>
  </si>
  <si>
    <t>ice2sea programme from the European Union 7th Framework Programme(European Union (EU)); NSF(National Science Foundation (NSF)); Natural Environment Research Council(UK Research &amp; Innovation (UKRI)Natural Environment Research Council (NERC)); NERC(UK Research &amp; Innovation (UKRI)Natural Environment Research Council (NERC))</t>
  </si>
  <si>
    <t>This work was supported by funding from the ice2sea programme from the European Union 7th Framework Programme, grant 226375, and by NSF grant ANT 1141973. Ice2sea contribution 082. We thank the associate editor Jeremy Bassis and three anonymous reviewers for comments which improved the manuscript.</t>
  </si>
  <si>
    <t>10.1029/2012JF002559</t>
  </si>
  <si>
    <t>WOS:000318271200023</t>
  </si>
  <si>
    <t>Damerell, GM; Heywood, KJ; Stevens, DP</t>
  </si>
  <si>
    <t>Damerell, G. M.; Heywood, K. J.; Stevens, D. P.</t>
  </si>
  <si>
    <t>Direct observations of the Antarctic circumpolar current transport on the northern flank of the Kerguelen Plateau</t>
  </si>
  <si>
    <t>LARGE-SCALE CIRCULATION; ATLANTIC DEEP-WATER; SOUTH INDIAN-OCEAN; FRONTAL STRUCTURE; BOTTOM WATER; HYDROGRAPHIC SECTION; DRAKE PASSAGE; WEDDELL SEA; MASSES; AFRICA</t>
  </si>
  <si>
    <t>The standing meander in the Antarctic Circumpolar Current (ACC) found on the northern flank of the Kerguelen Plateau was investigated during the Southern Ocean Finestructure cruise in November-December 2008. An 18 year time series of surface geostrophic currents from satellite altimetry shows that the meander as observed during this survey is typical of the region. Hydrographic stations were occupied between 65-75 degrees E and 43-48 degrees S on the shelf (similar to 200m depth) and slope into the deep ocean to the north of Kerguelen (similar to 4700 m), providing the most detailed survey of this region to date. Geostrophic shears are referenced to lowered acoustic Doppler current profiler velocities to give the first estimate of the total volume transport in this region, and the transport budget is closed around the survey box. The Subtropical Front, Subantarctic Front, and a northern branch of the Polar Front together have an associated transport of 174 +/- 22 Sv eastward. While 174 Sv is large compared with typical Drake Passage transports, it is reconciled with other estimates of the total transport with the additional 15 Sv of the Indonesian Throughflow. Baroclinic transport referenced to the deepest common level between station pairs is 119 Sv, consistent with other estimates of the baroclinic transport in this area. At this longitude, the fronts of the ACC are exceptionally close together. We discuss the exchange of properties across the fronts.</t>
  </si>
  <si>
    <t>[Damerell, G. M.; Heywood, K. J.] Univ E Anglia, Sch Environm Sci, Norwich NR4 7TJ, Norfolk, England; [Stevens, D. P.] Univ E Anglia, Sch Math, Norwich NR4 7TJ, Norfolk, England</t>
  </si>
  <si>
    <t>University of East Anglia; University of East Anglia</t>
  </si>
  <si>
    <t>Damerell, GM (corresponding author), Univ E Anglia, Sch Environm Sci, Norwich NR4 7TJ, Norfolk, England.</t>
  </si>
  <si>
    <t>g.damerell@uea.ac.uk</t>
  </si>
  <si>
    <t>Stevens, David/F-2509-2010; Heywood, Karen/L-1757-2016</t>
  </si>
  <si>
    <t>Stevens, David/0000-0002-7283-4405; Damerell, Gillian/0000-0001-5808-0822; Heywood, Karen/0000-0001-9859-0026</t>
  </si>
  <si>
    <t>U.K.'s Natural Environmental Research Council [NE/G001510/1, NE/B503717]; Natural Environment Research Council; Natural Environment Research Council [NE/G001502/1, NE/G001510/1] Funding Source: researchfish; NERC [NE/G001502/1, NE/G001510/1] Funding Source: UKRI</t>
  </si>
  <si>
    <t>U.K.'s Natural Environmental Research Council(UK Research &amp; Innovation (UKRI)Natural Environment Research Council (NERC));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</si>
  <si>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SOFine project is funded by the U.K.'s Natural Environmental Research Council (NE/G001510/1 and NE/B503717). We thank all the scientists, technicians, officers, and crew involved in JC029. A Natural Environment Research Council PhD studentship at UEA supported G.M.D. during the analysis and writing of this report. The altimeter products were produced by Ssalto/Duacs and distributed by Aviso, with support from Cnes (http://www.aviso.oceanobs.com/duacs/).</t>
  </si>
  <si>
    <t>10.1002/jgrc.20067</t>
  </si>
  <si>
    <t>WOS:000320323200020</t>
  </si>
  <si>
    <t>Dodet, G; Bertin, X; Bruneau, N; Fortunato, AB; Nahon, A; Roland, A</t>
  </si>
  <si>
    <t>Dodet, Guillaume; Bertin, Xavier; Bruneau, Nicolas; Fortunato, Andre B.; Nahon, Alphonse; Roland, Aron</t>
  </si>
  <si>
    <t>Wave-current interactions in a wave-dominated tidal inlet</t>
  </si>
  <si>
    <t>OBIDOS LAGOON; RADIATION STRESSES; SEASONAL CLOSURE; SEA-LEVEL; MODEL; TRANSPORT</t>
  </si>
  <si>
    <t>Wave-current interactions play a major role in the dynamics of shallow tidal inlets. This study investigates these interactions at a natural inlet, with a strong focus on current-induced changes on wave propagation. The analysis of hydrodynamic data collected at the Albufeira lagoon, Portugal, revealed spatiotemporal variations of water levels and wave heights along the inlet, attributed to wave-current interaction processes. We compared the simulations of a coupled wave-circulation modeling system, computed with and without waves, and propagated with and without current feedback. The wave-induced setup inside the lagoon represented 7%-15% of the offshore significant wave height. The accuracy of the wave's predictions improved when current feedback was included. During ebb, the currents increased the wave height at the mouth of the inlet (up to 20%) and decreased the wave height in the inlet (up to 40%), due to current-induced refraction, steepness dissipation, and partial blocking. During flood, the currents decreased the wave height in the inlet (up to 10%) and increased the wave height at the exterior parts of the ebb shoal (up to 10%), due to current-induced refraction. These effects significantly attenuate seaward sediment fluxes during ebb and contribute to the sediment accretion in the inlet.</t>
  </si>
  <si>
    <t>[Dodet, Guillaume; Bruneau, Nicolas; Fortunato, Andre B.; Nahon, Alphonse] Natl Lab Civil Engn, Estuaries &amp; Coastal Zones Div, Lisbon, Portugal; [Dodet, Guillaume; Bertin, Xavier] Univ La Rochelle, UMR LIENSS 7266, Coastal &amp; Environm Inst, La Rochelle, France; [Bruneau, Nicolas] British Antarctic Survey, Cambridge CB3 0ET, England; [Roland, Aron] Tech Univ Darmstadt, Inst Hydraul &amp; Water Resources Engn, Darmstadt, Germany</t>
  </si>
  <si>
    <t>National Civil Engineering Laboratory; La Rochelle Universite; UK Research &amp; Innovation (UKRI); Natural Environment Research Council (NERC); NERC British Antarctic Survey; Technical University of Darmstadt</t>
  </si>
  <si>
    <t>Dodet, G (corresponding author), Coastal &amp; Environm Inst, UMR LIENSS 7266, 2 Rue Olympe de Gouges, F-17000 La Rochelle, France.</t>
  </si>
  <si>
    <t>gdodet01@univ-lr.fr</t>
  </si>
  <si>
    <t>Fortunato, André B./B-9494-2008; Estuários, NEC/D-5086-2009; Nahon, Alphonse/AAQ-7743-2021; Bruneau, Nicolas/AAS-8232-2021; ROland, Aron/AAU-2409-2021; Dodet, Guillaume/F-8704-2017</t>
  </si>
  <si>
    <t>Fortunato, André B./0000-0003-4667-1945; Nahon, Alphonse/0000-0001-5580-6405; Bruneau, Nicolas/0000-0002-9017-1000; ROland, Aron/0000-0003-4153-0334; Dodet, Guillaume/0000-0002-0200-6858</t>
  </si>
  <si>
    <t>Portuguese Foundation for Science and Technology (FCT): 3D-MOWADI [PTDC/ECM/103801/2008]; Portuguese Foundation for Science and Technology (FCT): G-CAST [GRID/GRI/81733/2006]; FCT [SFRH/BPD/67041/2009]; NERC [bas0100028] Funding Source: UKRI; Fundação para a Ciência e a Tecnologia [SFRH/BPD/67041/2009, PTDC/ECM/103801/2008, GRID/GRI/81733/2006] Funding Source: FCT; Natural Environment Research Council [bas0100028] Funding Source: researchfish</t>
  </si>
  <si>
    <t>Portuguese Foundation for Science and Technology (FCT): 3D-MOWADI; Portuguese Foundation for Science and Technology (FCT): G-CAST; FCT(Fundacao para a Ciencia e a Tecnologia (FCT)); NERC(UK Research &amp; Innovation (UKRI)Natural Environment Research Council (NERC)); Fundação para a Ciência e a Tecnologia(Fundacao para a Ciencia e a Tecnologia (FCT)); Natural Environment Research Council(UK Research &amp; Innovation (UKRI)Natural Environment Research Council (NERC))</t>
  </si>
  <si>
    <t>This work was part of two projects funded by the Portuguese Foundation for Science and Technology (FCT): 3D-MOWADI (PTDC/ECM/103801/2008) and G-CAST (GRID/GRI/81733/2006). It was also part of the project ANR JC DYNAMO (agreement ANR-12-JS06-00008-01). The third author was funded by an FCT post-doctoral research grant (SFRH/BPD/67041/2009). The wave models (WAVEWATCH III and SWAN) and the circulation model SELFE were provided by the U.S. National Oceanic and Atmospheric Administration, the Delft University of Technology, and the Center for Coastal Margin Observation and Prediction, respectively. Andre Van der Westhuysen is acknowledged for sharing his recent model developments and for his constructive comments. Topographic and hydrodynamic data were obtained, thanks to the combined efforts of many individuals from the Faculty of Science of the University of Lisbon, the National Laboratory of Civil Engineering, and the University of Algarve. The wave data were provided by the Lisbon harbor. The time series of sea surface elevation at Cascais were provided by the Portuguese Geographic Institute.</t>
  </si>
  <si>
    <t>10.1002/jgrc.20146</t>
  </si>
  <si>
    <t>WOS:000320323200038</t>
  </si>
  <si>
    <t>Gibbons, AD; Whittaker, JM; Müller, RD</t>
  </si>
  <si>
    <t>Gibbons, Ana D.; Whittaker, Joanne M.; Mueller, R. Dietmar</t>
  </si>
  <si>
    <t>The breakup of East Gondwana: Assimilating constraints from Cretaceous ocean basins around India into a best-fit tectonic model</t>
  </si>
  <si>
    <t>SPREADING MAGNETIC-ANOMALIES; CONTINENTAL-MARGIN; KERGUELEN PLATEAU; WESTERN-AUSTRALIA; CRUSTAL STRUCTURE; LAXMI BASIN; SRI-LANKA; MADAGASCAR; RIDGE; EVOLUTION</t>
  </si>
  <si>
    <t>Published models for the Cretaceous seafloor-spreading history of East Gondwana result in unlikely tectonic scenarios for at least one of the plate boundaries involved and/or violate particular constraints from at least one of the associated ocean basins. We link East Gondwana spreading corridors by integrating magnetic and gravity anomaly data from the Enderby Basin off East Antarctica within a regional plate kinematic framework to identify a conjugate series of east-west-trending magnetic anomalies, M4 to M0 (similar to 126.7-120.4 Ma). The mid-ocean ridge that separated Greater India from Australia-Antarctica propagated from north to south, starting at similar to 136Ma northwest of Australia, and reached the southern tip of India at similar to 126 Ma. Seafloor spreading in the Enderby Basin was abandoned at similar to 115 Ma, when a ridge jump transferred the Elan Bank and South Kerguelen Plateau to the Antarctic plate. Our revised plate kinematic model helps resolve the problem of successive two-way strike-slip motion between Madagascar and India seen in many previously published reconstructions and also suggests that seafloor spreading between them progressed from south to north from 94 to 84 Ma. This timing is essential for tectonic flow lines to match the curved fracture zones of the Wharton and Enderby basins, as Greater India gradually began to unzip from Madagascar from similar to 100 Ma. In our model, the 85-East Ridge and Kerguelen Fracture Zone formed as conjugate flanks of a leaky transform fault following the similar to 100Ma spreading reorganization. Our model also identifies the Afanasy Nikitin Seamounts as products of the Conrad Rise hotspot.</t>
  </si>
  <si>
    <t>[Gibbons, Ana D.; Whittaker, Joanne M.; Mueller, R. Dietmar] Univ Sydney, Sch Geosci, EarthByte Grp, Sydney, NSW 2006, Australia</t>
  </si>
  <si>
    <t>Gibbons, AD (corresponding author), Univ Sydney, Sch Geosci, EarthByte Grp, Sydney, NSW 2006, Australia.</t>
  </si>
  <si>
    <t>ana.ekgibbons@sydney.edu.au</t>
  </si>
  <si>
    <t>Müller, Dietmar/0000-0002-3334-5764; Whittaker, Joanne/0000-0002-3170-3935</t>
  </si>
  <si>
    <t>ARC [FL0992245]; Australia-India Strategic Research Fund; Statoil (Norway); Petroleum Exploration Society of Australia (PESA); School of Geosciences at the University of Sydney</t>
  </si>
  <si>
    <t>ARC(Australian Research Council); Australia-India Strategic Research Fund(Australian GovernmentDepartment of Industry, Innovation and Science); Statoil (Norway); Petroleum Exploration Society of Australia (PESA); School of Geosciences at the University of Sydney</t>
  </si>
  <si>
    <t>The project was supported by ARC grant FL0992245 and an Australia-India Strategic Research Fund grant. We thank Statoil (Norway), the Petroleum Exploration Society of Australia (PESA), and the School of Geosciences at the University of Sydney for support. We also thank Dr Yatheesh Vadakkeyakath from the National Institute of Oceanography (Goa, India) for a review that considerably improved the tectonic model and manuscript. We are grateful to Jerome Dyment, Roi Granot, and Jensen Jacob from IPGP, France, for initial comments on the tectonic model. All figures were made using GMT [Wessel and Smith, 1998], with reconstruction geometries extracted from GPlates [Boyden et al., 2011]. The model can be viewed in GPlates (http://www.gplates.org/). The reconstruction files (with instructions for use with GPlates) and movie are available from: ftp://ftp.earthbyte.org/papers/Gibbons_etal_Indian_Ocean/</t>
  </si>
  <si>
    <t>10.1002/jgrb.50079</t>
  </si>
  <si>
    <t>WOS:000318273300002</t>
  </si>
  <si>
    <t>George, JV; Nuncio, M; Chacko, R; Anilkumar, N; Noronha, SB; Patil, SM; Pavithran, S; Alappattu, DP; Krishnan, KP; Achuthankutty, CT</t>
  </si>
  <si>
    <t>George, Jenson V.; Nuncio, M.; Chacko, Racheal; Anilkumar, N.; Noronha, Sharon B.; Patil, Shramik M.; Pavithran, Sini; Alappattu, Denny P.; Krishnan, K. P.; Achuthankutty, C. T.</t>
  </si>
  <si>
    <t>Role of physical processes in chlorophyll distribution in the western tropical Indian Ocean</t>
  </si>
  <si>
    <t>Chl a; Nitrate Rossby waves; Kelvin waves; Ekman pumping; Western Tropical Indian Ocean</t>
  </si>
  <si>
    <t>CENTRAL ARABIAN SEA; SURFACE THERMAL STRUCTURE; COUPLED ROSSBY WAVES; MIXED-LAYER; TOPEX/POSEIDON ALTIMETER; SEASONAL VARIABILITY; PRIMARY PRODUCTIVITY; CIRCULATION; MONSOON; TEMPERATURE</t>
  </si>
  <si>
    <t>Physical control of the chlorophyll a (chl a) distribution in the western tropical Indian Ocean (WTIO, 8 degrees N to 18 degrees S along 65 degrees E) was studied during the 2008 winter monsoon (WM) and the 2009 summer monsoon (SM). During both seasons, a prominent deep chlorophyll maximum (DCM, 0.3-0.5 mg m(-3)) was observed at all stations between 8 degrees N and 10 degrees S in the depth range of 50-75 m, but south of 10 degrees S, this phenomenon was observed as deeper (similar to 120 m) and relatively weak (0.15-0.3 mg m(-3)). During the SM, in addition to seasonal forcing, eddies and a freshened surface layer also played major roles in controlling the DCM and the surface chl a concentrations in the southern Arabian Sea and the equatorial Indian Ocean. During the WM, surface freshening controlled the chl a distribution in the Seychelles Chagos Thermocline Ridge (SCTR, 5 degrees S-10 degrees S) region by modulating the static stability and mixed layer depth. It appears that the surface freshening in this region is associated with the core of the South Equatorial Current. South of the SCTR, the chl a distribution was predominantly determined by the anti-cyclonic eddies in both seasons. The spatial patterns of the Sea Level Anomaly (SLA) followed most of the thermocline features observed during the study period. (C) 2012 Elsevier B.V. All rights reserved.</t>
  </si>
  <si>
    <t>[George, Jenson V.; Nuncio, M.; Chacko, Racheal; Anilkumar, N.; Noronha, Sharon B.; Patil, Shramik M.; Pavithran, Sini; Alappattu, Denny P.; Krishnan, K. P.; Achuthankutty, C. T.] Natl Ctr Antarctic &amp; Ocean Res, Vasco, Goa, India</t>
  </si>
  <si>
    <t>Anilkumar, N (corresponding author), Natl Ctr Antarctic &amp; Ocean Res, Vasco, Goa, India.</t>
  </si>
  <si>
    <t>anil@ncaor.org</t>
  </si>
  <si>
    <t>P, Krishnan K/ABF-8783-2020; George, Jenson/GXH-1342-2022; Alappattu, Denny P./A-3825-2016</t>
  </si>
  <si>
    <t>Alappattu, Denny P./0000-0002-1432-057X; Chacko, Racheal/0000-0002-0205-776X; , K. P. Krishnan/0000-0003-1101-657X; Patil, Shramik/0000-0001-8937-1403</t>
  </si>
  <si>
    <t>Ministry of Earth Sciences of the Government of India; CSIR</t>
  </si>
  <si>
    <t>Ministry of Earth Sciences of the Government of India; CSIR(Council of Scientific &amp; Industrial Research (CSIR) - India)</t>
  </si>
  <si>
    <t>This work was supported by the Ministry of Earth Sciences of the Government of India. We are thankful to Shri. Rasik Ravindra, the Director of NCAOR, for his constant support. The first author thanks CSIR for the fellowship that funded his research work. We also thank Dr. K. K., Balachandran (NIO Regional Centre, Kochi) for his useful suggestions and the two anonymous reviewers for their critical evaluations and valuable suggestions. This is NCAOR contribution number 54/2012.</t>
  </si>
  <si>
    <t>10.1016/j.jmarsys.2012.12.001</t>
  </si>
  <si>
    <t>WOS:000317162400001</t>
  </si>
  <si>
    <t>Tiwari, M; Nagoji, SS; Kartik, T; Drishya, G; Parvathy, RK; Rajan, S</t>
  </si>
  <si>
    <t>Tiwari, Manish; Nagoji, Siddhesh S.; Kartik, Thammisetti; Drishya, G.; Parvathy, R. K.; Rajan, Sivaramakrishnan</t>
  </si>
  <si>
    <t>Oxygen isotope-salinity relationships of discrete oceanic regions from India to Antarctica vis-a-vis surface hydrological processes</t>
  </si>
  <si>
    <t>Southern Ocean; Indian Ocean; Seawater; Isotopes; Sea surface salinity; Sea surface temperature</t>
  </si>
  <si>
    <t>WATER MASSES; DATA SET; CIRCULATION</t>
  </si>
  <si>
    <t>Coupled measurements of the oxygen isotope and salinity of surface waters at every degree latitude along a transect from India to Antarctica during summer 2010 were carried out to gain insight into the surface hydrological processes active in the Indian and Southern Oceans. It is possible to identify discrete water masses from the Indian and Southern Oceans based on oxygen isotope and salinity. We determine the relationship between oxygen isotope and sea surface salinity (delta O-18-SSS) pertaining to those distinct water masses by combining our data with those available at the NASA-GISS data center. These relationships are predominantly governed by evaporation/. precipitation except in the Antarctic Zone (beyond Polar Front) where sea ice melting/freezing plays a dominant role. We obtain more representative, long-term mean values of the slopes and intercepts of the salinity-oxygen isotope relation that will help to determine paleosalinity from carbonate fossils from sediments more accurately. The Subtropical and Polar Fronts were identified at 44 degrees S and 54 degrees S, respectively. These new data will also be useful to fill the gap in the existing global gridded delta O-18 data sets obtained by interpolating the observed values. (C) 2013 Elsevier B.V. All rights reserved.</t>
  </si>
  <si>
    <t>[Tiwari, Manish; Nagoji, Siddhesh S.; Kartik, Thammisetti; Drishya, G.; Parvathy, R. K.; Rajan, Sivaramakrishnan] Natl Ctr Antarctic &amp; Ocean Res, Vasco Da Gama 403804, Goa, India</t>
  </si>
  <si>
    <t>Tiwari, M (corresponding author), Natl Ctr Antarctic &amp; Ocean Res, Vasco Da Gama 403804, Goa, India.</t>
  </si>
  <si>
    <t>manish@ncaor.org</t>
  </si>
  <si>
    <t>Nagoji, Siddhesh/0000-0002-9533-3339; Tiwari, Manish/0000-0003-3143-1658</t>
  </si>
  <si>
    <t>ISRO-GBP</t>
  </si>
  <si>
    <t>This is NCAOR contribution no. NCAOR Contribution no. 01/2013. We thank ISRO-GBP for support. We take this opportunity to thank the Chief Scientist and colleagues on-board and crew of the ORV Sagar Nidhi for help during sample collection. We are also grateful to the two anonymous reviewers for providing constructive criticism.</t>
  </si>
  <si>
    <t>10.1016/j.jmarsys.2013.01.001</t>
  </si>
  <si>
    <t>WOS:000317162400008</t>
  </si>
  <si>
    <t>Stupnikova, AN; Vereshchaka, AL</t>
  </si>
  <si>
    <t>Stupnikova, A. N.; Vereshchaka, A. L.</t>
  </si>
  <si>
    <t>High-resolution survey indicates high heterogeneity in copepod distribution in the hydrologically active Drake Passage</t>
  </si>
  <si>
    <t>JOURNAL OF NATURAL HISTORY</t>
  </si>
  <si>
    <t>plankton; community; frontal zone; Southern Ocean</t>
  </si>
  <si>
    <t>ANTARCTIC CIRCUMPOLAR CURRENT; POLAR FRONTAL ZONE; RHINCALANUS-GIGAS COPEPODA; OPTICAL PLANKTON COUNTER; SOUTHERN-OCEAN SOUTH; MESOSCALE DISTRIBUTION; COMMUNITY STRUCTURE; ATLANTIC SECTOR; INDIAN SECTOR; SCOTIA SEA</t>
  </si>
  <si>
    <t>A mesoscale grid survey of the epipelagic mesozooplankton of Drake Passage during Antarctic spring, 2008, is evaluated. The station grid comprised six parallel frontal transects between 57 degrees and 60 degrees S in the vicinity of the Polar Front, the distance between transects being 18 km. Several parameters were analysed: total zooplankton biomass, biomass of dominant species and the contribution made by each species to the overall plankton biomass. Mesoscale variability was found in all studied parameters and was comparable in magnitude to the macroscale variability of the same parameters. Because of the high variability in zooplankton distribution in the vicinity of active fronts, hydrobiological studies provide more meaningful results if they are made on the basis of a mesoscale grid survey, not on the basis of a single transect.</t>
  </si>
  <si>
    <t>[Stupnikova, A. N.; Vereshchaka, A. L.] Russian Acad Sci, PP Shirshov Inst Oceanol, Moscow 117997, Russia</t>
  </si>
  <si>
    <t>Russian Academy of Sciences; Shirshov Institute of Oceanology</t>
  </si>
  <si>
    <t>Vereshchaka, AL (corresponding author), Russian Acad Sci, PP Shirshov Inst Oceanol, 36 Nahimovsky Prospect, Moscow 117997, Russia.</t>
  </si>
  <si>
    <t>alv@ocean.ru</t>
  </si>
  <si>
    <t>Vereshchaka, Alexander/E-6205-2014; Stupnikova, Alexandra/D-7924-2014</t>
  </si>
  <si>
    <t>Vereshchaka, Alexander/0000-0002-6756-2468; Stupnikova, Alexandra/0000-0002-7211-0386</t>
  </si>
  <si>
    <t>Ministry of Education and Science of the Russian Federation [16.512.11.2133]</t>
  </si>
  <si>
    <t>Ministry of Education and Science of the Russian Federation(Ministry of Education and Science, Russian Federation)</t>
  </si>
  <si>
    <t>The studies were financially supported by the Ministry of Education and Science of the Russian Federation (contract No 16.512.11.2133)</t>
  </si>
  <si>
    <t>0022-2933</t>
  </si>
  <si>
    <t>J NAT HIST</t>
  </si>
  <si>
    <t>J. Nat. Hist.</t>
  </si>
  <si>
    <t>5-12</t>
  </si>
  <si>
    <t>10.1080/00222933.2012.708451</t>
  </si>
  <si>
    <t>Biodiversity Conservation; Ecology; Zoology</t>
  </si>
  <si>
    <t>Biodiversity &amp; Conservation; Environmental Sciences &amp; Ecology; Zoology</t>
  </si>
  <si>
    <t>105WX</t>
  </si>
  <si>
    <t>WOS:000316104500023</t>
  </si>
  <si>
    <t>Garabato, ACN; Nurser, AJG; Scott, RB; Goff, JA</t>
  </si>
  <si>
    <t>Garabato, Alberto C. Naveira; Nurser, A. J. George; Scott, Robert B.; Goff, John A.</t>
  </si>
  <si>
    <t>The Impact of Small-Scale Topography on the Dynamical Balance of the Ocean</t>
  </si>
  <si>
    <t>SOUTHERN-OCEAN; INTERNAL WAVES; KINETIC-ENERGY; DRAG; FLOW; MODELS</t>
  </si>
  <si>
    <t>The impact of small- scale topography on the ocean's dynamical balance is investigated by quantifying the rates at which internal wave drag extracts (angular) momentum and vorticity from the general circulation. The calculation exploits the recent advent of two near- global descriptions of topographic roughness on horizontal scales on the order of 1- 10 km, which play a central role in the generation of internal lee waves by geostrophic flows impinging on topography and have been hitherto unresolved by bathymetric datasets and ocean general circulation models alike. It is found that, while internal wave drag is a minor contributor to the ocean's dynamical balance over much of the globe, it is a significant player in the dynamics of extensive areas of the ocean, most notably the Antarctic Circumpolar Current and several regions of enhanced small- scale topographic variance in the equatorial and Southern Hemisphere oceans. There, the contribution of internal wave drag to the ocean's (angular) momentum and vorticity balances is generally on the order of ten to a few tens of percent of the dominant source and sink terms in each dynamical budget, which are respectively associated with wind forcing and form drag by topography with horizontal scales from 500 to 1000 km. It is thus suggested that the representation of internal wave drag in general circulation models may lead to significant changes in the deep ocean circulation of those regions. A theoretical scaling is derived that captures the basic dependence of internal wave drag on topographic roughness and near- bottom flow speed for most oceanographically relevant regimes.</t>
  </si>
  <si>
    <t>[Garabato, Alberto C. Naveira] Univ Southampton, Natl Oceanog Ctr, Southampton SO14 3ZH, Hants, England; [Nurser, A. J. George] Natl Oceanog Ctr, Southampton, Hants, England; [Scott, Robert B.] Univ Brest, Lab Phys Oceans, Brest, France; [Goff, John A.] Univ Texas Austin, Inst Geophys, Austin, TX USA</t>
  </si>
  <si>
    <t>NERC National Oceanography Centre; University of Southampton; NERC National Oceanography Centre; Centre National de la Recherche Scientifique (CNRS); Ifremer; Institut de Recherche pour le Developpement (IRD); Universite de Bretagne Occidentale; University of Texas System; University of Texas Austin</t>
  </si>
  <si>
    <t>Garabato, ACN (corresponding author), Univ Southampton, Natl Oceanog Ctr, Southampton SO14 3ZH, Hants, England.</t>
  </si>
  <si>
    <t>acng@noc.soton.ac.uk</t>
  </si>
  <si>
    <t>Garabato, Alberto Naveira/AAQ-1114-2020</t>
  </si>
  <si>
    <t>Garabato, Alberto Naveira/0000-0001-6071-605X</t>
  </si>
  <si>
    <t>NERC [noc010010, NE/B503717/1, NE/E007058/1] Funding Source: UKRI; Natural Environment Research Council [noc010010, NE/B503717/1, NE/E007058/1] Funding Source: researchfish</t>
  </si>
  <si>
    <t>10.1175/JPO-D-12-056.1</t>
  </si>
  <si>
    <t>hybrid, Green Accepted, Green Submitted</t>
  </si>
  <si>
    <t>WOS:000317114800011</t>
  </si>
  <si>
    <t>Caron, DA; Hutchins, DA</t>
  </si>
  <si>
    <t>Caron, David A.; Hutchins, David A.</t>
  </si>
  <si>
    <t>The effects of changing climate on microzooplankton grazing and community structure: drivers, predictions and knowledge gaps</t>
  </si>
  <si>
    <t>microzooplankton; heterotrophic protist; climate change; temperature; ocean acidification; hypoxia; herbivory; bacterivory; mixotrophy</t>
  </si>
  <si>
    <t>CARBONATE ION CONCENTRATION; GROSS GROWTH EFFICIENCY; HARMFUL ALGAL BLOOMS; SAN-PEDRO CHANNEL; OCEAN ACIDIFICATION; ANTARCTIC PENINSULA; HETEROTROPHIC NANOFLAGELLATE; INCREASED TEMPERATURE; PHYTOPLANKTON GROWTH; GENETIC DIVERSITY</t>
  </si>
  <si>
    <t>Microzooplankton dominate trophic interactions and biogeochemical processes at the base of pelagic marine food webs and so their responses to a changing ocean environment have potentially large implications for ocean ecosystem functioning. This diverse array of mostly protistan species constitutes an important source of phytoplankton and bacterial mortality, and contributes significantly to the food available to higher trophic levels by packaging minute prey into larger particle sizes that can be consumed by metazooplankton. Microzooplankton are pivotal species in oceanic food webs and nutrient remineralization and so it is essential that we understand the effects that changing climate may have on the biomass, species composition and trophic activities of these assemblages. Yet, our present understanding of this topic is derived from experimental studies of relatively few species subjected to specific environmental variables (e.g. changes in temperature, CO2, pH) in isolated culture. Most experiments and models employed to predict the effects of climate change have focussed on primary productivity and phytoplankton community structure, with less attention paid to microbial heterotrophy. Here we outline some of the major direct and indirect changes in environmental variables that are anticipated to accompany global climate change, and our present state of knowledge regarding their potential impacts on natural microzooplankton assemblages. We highlight a few specific areas for studies to address glaring omissions in our knowledge regarding how global change influences microzooplankton abundances and activities, and hypothesize that their ecological and biogeochemical roles may become even more prominent due to expected future shifts in marine chemistry and climate.</t>
  </si>
  <si>
    <t>[Caron, David A.; Hutchins, David A.] Univ So Calif, Dept Biol Sci, Los Angeles, CA 90089 USA</t>
  </si>
  <si>
    <t>University of Southern California</t>
  </si>
  <si>
    <t>dcaron@usc.edu; dahutch@usc.edu</t>
  </si>
  <si>
    <t>Hutchins, David A/D-3301-2013</t>
  </si>
  <si>
    <t>Hutchins, David A/0000-0002-6637-756X</t>
  </si>
  <si>
    <t>National Oceanic and Atmospheric Administration [NA11NOS4780052]; National Science Foundation [OCE-0942379, OCE-0962309, OCE-1136818, ANT-1043748]; Gordon and Betty Moore Foundation [3299]; Directorate For Geosciences; Division Of Ocean Sciences [0962309] Funding Source: National Science Foundation; Division Of Computer and Network Systems; Direct For Computer &amp; Info Scie &amp; Enginr [0960163] Funding Source: National Science Foundation; Division Of Ocean Sciences; Directorate For Geosciences [1136818] Funding Source: National Science Foundation</t>
  </si>
  <si>
    <t>National Oceanic and Atmospheric Administration(National Oceanic Atmospheric Admin (NOAA) - USA); National Science Foundation(National Science Foundation (NSF)); Gordon and Betty Moore Foundation(Gordon and Betty Moore Foundation); Directorate For Geosciences; Division Of Ocean Sciences(National Science Foundation (NSF)NSF - Directorate for Geosciences (GEO)); Division Of Computer and Network Systems; Direct For Computer &amp; Info Scie &amp; Enginr(National Science Foundation (NSF)NSF - Directorate for Computer &amp; Information Science &amp; Engineering (CISE)); Division Of Ocean Sciences; Directorate For Geosciences(National Science Foundation (NSF)NSF - Directorate for Geosciences (GEO))</t>
  </si>
  <si>
    <t>Support for the production of this manuscript was provided by grants from the National Oceanic and Atmospheric Administration (NA11NOS4780052), the National Science Foundation (OCE-0942379, OCE-0962309, OCE-1136818, ANT-1043748) and the Gordon and Betty Moore Foundation (#3299).</t>
  </si>
  <si>
    <t>10.1093/plankt/fbs091</t>
  </si>
  <si>
    <t>WOS:000316129700001</t>
  </si>
  <si>
    <t>Pond, DW; Tarling, GA</t>
  </si>
  <si>
    <t>Pond, David W.; Tarling, Geraint A.</t>
  </si>
  <si>
    <t>Solid evidence or fluid ideas on the importance lipid phase transitions to diapausing copepods: reply</t>
  </si>
  <si>
    <t>CALANOIDES-ACUTUS; BUOYANCY</t>
  </si>
  <si>
    <t>[Pond, David W.] Scottish Assoc Marine Sci, Oban PA37 1QA, Argyll, Scotland; [Tarling, Geraint A.] British Antarctic Survey, NERC, Cambridge CB3 0ET, England</t>
  </si>
  <si>
    <t>UHI Millennium Institute; UK Research &amp; Innovation (UKRI); Natural Environment Research Council (NERC); NERC British Antarctic Survey</t>
  </si>
  <si>
    <t>Pond, DW (corresponding author), Scottish Assoc Marine Sci, Oban PA37 1QA, Argyll, Scotland.</t>
  </si>
  <si>
    <t>david.pond@sams.ac.uk</t>
  </si>
  <si>
    <t>10.1093/plankt/fbt010</t>
  </si>
  <si>
    <t>WOS:000316129700019</t>
  </si>
  <si>
    <t>O'Kane, TJ; Risbey, JS; Franzke, C; Horenko, I; Monselesan, DP</t>
  </si>
  <si>
    <t>O'Kane, Terence J.; Risbey, James S.; Franzke, Christian; Horenko, Illia; Monselesan, Didier P.</t>
  </si>
  <si>
    <t>Changes in the Metastability of the Midlatitude Southern Hemisphere Circulation and the Utility of Nonstationary Cluster Analysis and Split-Flow Blocking Indices as Diagnostic Tools</t>
  </si>
  <si>
    <t>JOURNAL OF THE ATMOSPHERIC SCIENCES</t>
  </si>
  <si>
    <t>3-DIMENSIONAL INSTABILITY THEORY; PLANETARY WAVE DYNAMICS; NONLINEAR SIGNATURES; IDENTIFICATION; ANTICYCLONES; VARIABILITY; CLIMATOLOGY; EQUILIBRIA; ATMOSPHERE; NORTHERN</t>
  </si>
  <si>
    <t>Changes in the metastability of the Southern Hemisphere 500-hPa circulation are examined using both cluster analysis techniques and split-flow blocking indices. The cluster methodology is a purely data-driven approach for parameterization whereby a multiscale approximation to nonstationary dynamical processes is achieved through optimal sequences of locally stationary fast vector autoregressive factor (VARX) processes and some slow (or persistent) hidden process switching between them. Comparison is made with blocking indices commonly used in weather forecasting and climate analysis to identify dynamically relevant metastable regimes in the 500-hPa circulation in both reanalysis and Atmospheric Model Intercomparison Project (AMIP) datasets. The analysis characterizes the metastable regime in both reanalysis and model datasets prior to 1978 as positive and negative phases of a hemispheric midlatitude blocking state with the southern annular mode (SAM) associated with a transition state. Post-1978, the SAM emerges as a true metastable state replacing the negative phase of the hemispheric blocking pattern. The hidden state frequency of occurrences exhibits strong trends. The blocking pattern dominates in the early 1980s, and then gradually decreases. There is a corresponding increase in the SAM frequency of occurrence. This trend is largely evident in the reanalysis summer and spring but was not evident in the AMIP dataset. Further comparison with the split-flow blocking indices reveals a superficial correspondence between the cluster hidden state frequency of occurrences and split-flow indices. Examination of composite states shows that the blocking indices capture splitting of the zonal flow whereas the cluster composites reflect coherent block formation. Differences in blocking climatologies from the respective methods are discussed.</t>
  </si>
  <si>
    <t>[O'Kane, Terence J.; Risbey, James S.; Monselesan, Didier P.] CSIRO Marine &amp; Atmospher Res, Hobart, Tas 7001, Australia; [Franzke, Christian] British Antarctic Survey, Cambridge CB3 0ET, England; [Horenko, Illia] Univ Svizzera Italiana, Lugano, Switzerland</t>
  </si>
  <si>
    <t>Commonwealth Scientific &amp; Industrial Research Organisation (CSIRO); UK Research &amp; Innovation (UKRI); Natural Environment Research Council (NERC); NERC British Antarctic Survey; Universita della Svizzera Italiana</t>
  </si>
  <si>
    <t>O'Kane, TJ (corresponding author), CSIRO Marine &amp; Atmospher Res, Hobart, Tas 7001, Australia.</t>
  </si>
  <si>
    <t>terence.okane@csiro.au</t>
  </si>
  <si>
    <t>O'Kane, Terence J/B-1655-2009; O'Kane, Terence/AAV-1123-2021; Monselesan, Didier/A-2327-2012; Risbey, James/M-8419-2013; Franzke, Christian/A-6191-2012</t>
  </si>
  <si>
    <t>O'Kane, Terence J/0000-0002-2137-5915; O'Kane, Terence/0000-0002-2137-5915; Monselesan, Didier/0000-0002-0310-8995; Risbey, James/0000-0003-3202-9142; Franzke, Christian/0000-0003-4111-1228</t>
  </si>
  <si>
    <t>CSIRO Complex Systems Science Networks Conference Travel Support grant; ACCESS: The Australian Community Climate and Earth-System Simulator effort; CSIRO's Wealth from Oceans and Climate Adaptation Flagships; Natural Environment Research Council; Swiss National Research Foundation [200021_131845]; NERC [bas0100026] Funding Source: UKRI; Swiss National Science Foundation (SNF) [200021_131845] Funding Source: Swiss National Science Foundation (SNF); Natural Environment Research Council [bas0100026] Funding Source: researchfish</t>
  </si>
  <si>
    <t>CSIRO Complex Systems Science Networks Conference Travel Support grant; ACCESS: The Australian Community Climate and Earth-System Simulator effort; CSIRO's Wealth from Oceans and Climate Adaptation Flagships; Natural Environment Research Council(UK Research &amp; Innovation (UKRI)Natural Environment Research Council (NERC)); Swiss National Research Foundation(Swiss National Science Foundation (SNSF)); NERC(UK Research &amp; Innovation (UKRI)Natural Environment Research Council (NERC)); Swiss National Science Foundation (SNF)(Swiss National Science Foundation (SNSF)); Natural Environment Research Council(UK Research &amp; Innovation (UKRI)Natural Environment Research Council (NERC))</t>
  </si>
  <si>
    <t>This work was possible thanks to financial assistance provided by a CSIRO Complex Systems Science Networks Conference Travel Support grant and additional funding through ACCESS: The Australian Community Climate and Earth-System Simulator effort, CSIRO's Wealth from Oceans and Climate Adaptation Flagships. This study is part of the British Antarctic Survey Polar Science for Planet Earth Programme. It was partly funded by the Natural Environment Research Council. The development of the Adaptive FEM-BV-VARX used in this paper was funded by Swiss National Research Foundation Grant 200021_131845 AnaGraph.</t>
  </si>
  <si>
    <t>0022-4928</t>
  </si>
  <si>
    <t>1520-0469</t>
  </si>
  <si>
    <t>J ATMOS SCI</t>
  </si>
  <si>
    <t>J. Atmos. Sci.</t>
  </si>
  <si>
    <t>10.1175/JAS-D-12-028.1</t>
  </si>
  <si>
    <t>101YW</t>
  </si>
  <si>
    <t>Green Submitted, Bronze, Green Accepted</t>
  </si>
  <si>
    <t>WOS:000315811300006</t>
  </si>
  <si>
    <t>Choi, SH; Schiano, P; Chen, Y; Devidal, JL; Choo, MK; Lee, JI</t>
  </si>
  <si>
    <t>Choi, Sung Hi; Schiano, Pierre; Chen, Yang; Devidal, Jean-Luc; Choo, Mi Kyung; Lee, Jong-Ik</t>
  </si>
  <si>
    <t>Melt inclusions in olivine and plagioclase phenocrysts from Antarctic-Phoenix Ridge basalts: Implications for origins of N- and E-type MORB parent magmas</t>
  </si>
  <si>
    <t>JOURNAL OF VOLCANOLOGY AND GEOTHERMAL RESEARCH</t>
  </si>
  <si>
    <t>Melt inclusion; Olivine phenocryst; Plagioclase phenocryst; N-MORB; E-MORB; Antarctic-Phoenix ridge</t>
  </si>
  <si>
    <t>MID-ATLANTIC RIDGE; EAST PACIFIC RISE; SOUTHWEST INDIAN RIDGE; MANTLE HETEROGENEITY; PROCESSES BENEATH; SPREADING CENTER; DRAKE PASSAGE; GEOCHEMISTRY; CONSTRAINTS; GENERATION</t>
  </si>
  <si>
    <t>The Antarctic-Phoenix Ridge (APR) is a fossil spreading center in the Drake Passage, Antarctic Ocean. Spreading ceased in chron C2A (ca. 3.3 Ma). Although the APR is a normal ridge that is not influenced by a hotspot, enriched (E-type) mid-ocean ridge basalt (MORB) coexists with normal (N-type) MORB in the ridge's axial region. The E-type APR basalt is relatively young (&lt;3.1 Ma) compared to the N-type basalt (&gt;3.5 Ma). The E-type basalt is characterized by elevated K2O/TiO2 (=0.4-0.8) and (La/Sm)(N) (=22-3.4) ratios, relative to the N-type basalt (K2O/TiO2=0.1-0.3; (La/Sm)(N)=0.7-0.8). To better understand the compositional variation in the APR basalts and their mantle source regions through time, silicate melt inclusions in primitive olivine (Fo(87-89)) and plagioclase (An(85-89)) phenocrysts from the N-type APR basalt were studied. Rehomogenized melt inclusions were analyzed by electron microprobe and LA-ICPMS for major and trace elements. The melt inclusions are more primitive than the host basalt, with Mg#s from 67.5 to 74.1. All inclusions exhibit patterns that are depleted in the light rare earth elements. The inclusions have K2O/TiO2 from 0.1 to 0.3 and (La/Sm)N ratios from 0.4 to 0.9; these values overlap with those of the N-type APR basalt. Furthermore, the melt inclusions have elevated (Lu/Hf)(N) and (Sm/Nd)(N) ratios compared to the E-type basalts. The N-type APR basalts do not contain any melt inclusions that are enriched in incompatible elements. The E-type basalt was generated by a low degree of partial melting of a relatively incompatible-element-enriched mantle source. In contrast, chemistries of melt inclusions and N-type basalts are compatible with high degrees of partial melting of an increasingly depleted mantle source. Assuming a veined or otherwise heterogeneous mantle, the absence of E-type inclusions from the N-type host has implications for cyclic magmatic activity beneath the APR. Multi-stage mantle melting and melt extraction from a composite source with sequential extraction of melt fluids might give rise to the primary melt diversity documented in the APR axis. The mantle source of the N-type melts may have been the residue from an earlier phase of melting that removed the easily melted, enriched components. The N-type APR basalt studied represents melt at the end of single cycle, whereas the E-type basalt may represent the early stage of a new pulse that was dominated by highly enriched components. (C) 2012 Elsevier B.V. All rights reserved.</t>
  </si>
  <si>
    <t>[Choi, Sung Hi] Chungnam Natl Univ, Dept Geol &amp; Earth Environm Sci, Taejon 305764, South Korea; [Schiano, Pierre; Chen, Yang; Devidal, Jean-Luc] Univ Blaise Pascal, Lab Magmas &amp; Volcans, CNRS UMR6524, IRD M163, F-63038 Clermont Ferrand, France; [Choo, Mi Kyung; Lee, Jong-Ik] Korea Polar Res Inst, Inchon 406840, South Korea; [Choo, Mi Kyung] Ewha Womans Univ, Dept Sci Educ, Seoul 120750, South Korea</t>
  </si>
  <si>
    <t>Chungnam National University; Centre National de la Recherche Scientifique (CNRS); CNRS - National Institute for Earth Sciences &amp; Astronomy (INSU); Universite Clermont Auvergne (UCA); Korea Polar Research Institute (KOPRI); Korea Institute of Ocean Science &amp; Technology (KIOST); Ewha Womans University</t>
  </si>
  <si>
    <t>Choi, SH (corresponding author), Chungnam Natl Univ, Dept Geol &amp; Earth Environm Sci, 99 Daehangno, Taejon 305764, South Korea.</t>
  </si>
  <si>
    <t>chois@cnu.ac.kr</t>
  </si>
  <si>
    <t>Choo, Mi Kyung/K-2013-2014; chen, yang/H-4919-2014</t>
  </si>
  <si>
    <t>Choi, Sung Hi/0000-0001-8942-0359; Chen, Yang/0000-0003-4729-3499</t>
  </si>
  <si>
    <t>Integrated Ocean Drilling Program; Ministry of Land, Transport and Maritime Affairs, Korea</t>
  </si>
  <si>
    <t>Integrated Ocean Drilling Program; Ministry of Land, Transport and Maritime Affairs, Korea(Ministry of Land, Transport and Maritime Affairs (MLTM), Republic of Korea)</t>
  </si>
  <si>
    <t>Funding for this project has come from Polar Academic Program (PAP), Korea Polar Research Institute to SHC. This work was supported in part by the project titled Integrated Ocean Drilling Program funded by the Ministry of Land, Transport and Maritime Affairs, Korea. We wish to thank for cogent comments by Malcolm J. Rutherford, and an anonymous reviewer.</t>
  </si>
  <si>
    <t>0377-0273</t>
  </si>
  <si>
    <t>1872-6097</t>
  </si>
  <si>
    <t>J VOLCANOL GEOTH RES</t>
  </si>
  <si>
    <t>J. Volcanol. Geotherm. Res.</t>
  </si>
  <si>
    <t>10.1016/j.jvolgeores.2012.12.008</t>
  </si>
  <si>
    <t>111PX</t>
  </si>
  <si>
    <t>WOS:000316534300006</t>
  </si>
  <si>
    <t>Burns, G; Thorndyke, MC; Peck, LS; Clark, MS</t>
  </si>
  <si>
    <t>Burns, Gavin; Thorndyke, Michael C.; Peck, Lloyd S.; Clark, Melody S.</t>
  </si>
  <si>
    <t>Transcriptome pyrosequencing of the Antarctic brittle star Ophionotus victoriae</t>
  </si>
  <si>
    <t>MARINE GENOMICS</t>
  </si>
  <si>
    <t>Echinoderm; Regeneration; Ophiuroid; Cell proliferation; Development; Wnt genes</t>
  </si>
  <si>
    <t>ARM REGENERATION; GENE-EXPRESSION; GROWTH; ECHINODERMATA; OPHIUROIDEA; SOX9; PATHWAY; PROTEIN; DSP1; DIFFERENTIATION</t>
  </si>
  <si>
    <t>Brittle stars are included within a whole range of species, which contribute to knowledge in the medically important area of tissue regeneration. All brittle stars regenerate lose limbs, but the rate at which this occurs is highly variable and species-specific. One of the slowest rates of arm regeneration reported so far is that of the Antarctic Ophionotus victoriae. Additionally, O. victoriae also has an unusual delay in the onset of regeneration of about 5 months. Both processes are of interest for the areas of regeneration biology and adaptation to cold environments. One method of understanding the details of regeneration events in brittle stars is to characterise the genes involved. In the largest transcriptome study of any ophiuroid to date, we describe the results of mRNA pyrosequencing from pooled samples of regenerating arms of O. victoriae. The sequencing reads resulted in 18,000 assembled contiguous sequences of which 19% were putatively annotated by blast sequence similarity searching. We focus on the identification of major gene families and pathways with potential relevance to the regenerative processes including the Wnt/beta-catenin pathway, Hox genes, the SOX gene family and the TGF beta signalling pathways. These data significantly increase the amount of ophiuroid sequences publicly available and provide candidate transcripts for the further investigation of the unusual regenerative process in this Antarctic ophiuroid. (c) 2012 Elsevier B.V. All rights reserved.</t>
  </si>
  <si>
    <t>[Burns, Gavin; Peck, Lloyd S.; Clark, Melody S.] British Antarctic Survey, Nat Environm Res Council, Cambridge CB3 0ET, England; [Thorndyke, Michael C.] Univ Gothenburg, Royal Swedish Acad Sci, Sven Loven Ctr Marine Sci, S-566 Kristineberg, Sweden</t>
  </si>
  <si>
    <t>UK Research &amp; Innovation (UKRI); Natural Environment Research Council (NERC); NERC British Antarctic Survey; University of Gothenburg; Royal Swedish Academy of Sciences</t>
  </si>
  <si>
    <t>Clark, MS (corresponding author), British Antarctic Survey, Nat Environm Res Council, High Cross,Madingley Rd, Cambridge CB3 0ET, England.</t>
  </si>
  <si>
    <t>Clark, Melody/D-7371-2014</t>
  </si>
  <si>
    <t>Clark, Melody/0000-0002-3442-3824</t>
  </si>
  <si>
    <t>NERC [bas0100025, dml011000] Funding Source: UKRI; Natural Environment Research Council [bas0100025, dml011000] Funding Source: researchfish</t>
  </si>
  <si>
    <t>1874-7787</t>
  </si>
  <si>
    <t>1876-7478</t>
  </si>
  <si>
    <t>MAR GENOM</t>
  </si>
  <si>
    <t>Mar. Genom.</t>
  </si>
  <si>
    <t>10.1016/j.margen.2012.05.003</t>
  </si>
  <si>
    <t>Genetics &amp; Heredity; Marine &amp; Freshwater Biology</t>
  </si>
  <si>
    <t>105BV</t>
  </si>
  <si>
    <t>WOS:000316041500002</t>
  </si>
  <si>
    <t>Gales, JA; Larter, RD; Mitchell, NC; Dowdeswell, JA</t>
  </si>
  <si>
    <t>Gales, Jennifer A.; Larter, Robert D.; Mitchell, Neil C.; Dowdeswell, Julian A.</t>
  </si>
  <si>
    <t>Geomorphic signature of Antarctic submarine gullies: Implications for continental slope processes</t>
  </si>
  <si>
    <t>submarine gully; Antarctica; subglacial meltwater; continental margin; geomorphology</t>
  </si>
  <si>
    <t>LAST GLACIAL MAXIMUM; SOUTHERN WEDDELL SEA; PALEO-ICE STREAM; PINE ISLAND BAY; ANIMATED TECTONIC RECONSTRUCTION; SUBSEQUENT RETREAT HISTORY; TROUGH-MOUTH FAN; WEST ANTARCTICA; SEDIMENTARY PROCESSES; BELLINGSHAUSEN SEA</t>
  </si>
  <si>
    <t>Five quantitatively distinct gully types are identified on the Antarctic continental margin from swath bathymetric data of over 1100 individual features. The gullies differ in terms of length, width, depth, width/depth ratio, cross-sectional shape, branching order, sinuosity and spatial density. Quantitative analysis suggests that Antarctic gully morphology varies with local slope character (i.e. slope geometry, gradient), regional factors (i.e. location of cross-shelf troughs, trough mouth fans, subglacial meltwater production rates, drainage basin size), sediment yield and ice-sheet history. In keeping with interpretations of previous researchers, most gullies are probably formed by hyperpycnal flows of sediment-laden subglacial meltwater released from beneath ice-sheets grounded at the continental shelf edge during glacial maxima. The limited down-slope extent of gullies on the western Antarctic Peninsula is explained by the steep gradient and slope geometry at the mouth of Marguerite Trough, which cause flows to accelerate and entrain seawater more quickly, resulting in a reduction of the negative buoyancy effect of the sediment load. Due to pressure gradients at the ice-sheet bed caused by variations in ice thickness inside and outside palaeo-ice stream troughs, subglacial meltwater flow was generally focussed towards trough margins. This has resulted in gullies with larger cross-sectional areas and higher sinuosities at the trough margins. A unique style of gullying is observed off one part of the western Antarctic Peninsula, corresponding to an area in which the ice-sheet grounding line is not thought to have reached the shelf edge during the Last Glacial Maximum. We interpret the features in this area as the cumulative result of slope processes that operated over a long period of time in the absence of hyperpycnal meltwater flows. (C) 2013 Elsevier B.V. All rights reserved.</t>
  </si>
  <si>
    <t>[Gales, Jennifer A.; Larter, Robert D.] British Antarctic Survey, Cambridge CB3 0ET, England; [Gales, Jennifer A.; Mitchell, Neil C.] Univ Manchester, Manchester M13 9PL, Lancs, England; [Dowdeswell, Julian A.] Univ Cambridge, Scott Polar Res Inst, Cambridge CB2 1ER, England</t>
  </si>
  <si>
    <t>UK Research &amp; Innovation (UKRI); Natural Environment Research Council (NERC); NERC British Antarctic Survey; University of Manchester; University of Cambridge</t>
  </si>
  <si>
    <t>Gales, JA (corresponding author), British Antarctic Survey, Madingley Rd, Cambridge CB3 0ET, England.</t>
  </si>
  <si>
    <t>jenles@bas.ac.uk</t>
  </si>
  <si>
    <t>Mitchell, Neil/B-9807-2008</t>
  </si>
  <si>
    <t>Gales, Jenny/0000-0003-4402-5800; Mitchell, Neil/0000-0002-6483-2450; Larter, Robert/0000-0002-8414-7389; Dowdeswell, Julian/0000-0003-1369-9482</t>
  </si>
  <si>
    <t>American Association of Petroleum Geologists; British Antarctic Survey under the NERC Antarctic Funding Initiative [CGS-64]; NERC studentship [NE/G523539/1]; Natural Environment Research Council [bas010011, bas0100027] Funding Source: researchfish; NERC [bas0100027, bas010011] Funding Source: UKRI</t>
  </si>
  <si>
    <t>American Association of Petroleum Geologists; British Antarctic Survey under the NERC Antarctic Funding Initiative; NERC studentship(UK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</si>
  <si>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Natural Environmental Research Council (NERC) with logistical funding provided by the American Association of Petroleum Geologists Grant-in-Aid award and by the British Antarctic Survey under the NERC Antarctic Funding Initiative (CGS-64). The first author was funded by NERC studentship NE/G523539/1. We thank Karsten Gohl for allowing us to use unpublished data collected on RV Polarstern Expedition ANT-XXIII/4.</t>
  </si>
  <si>
    <t>10.1016/j.margeo.2013.02.003</t>
  </si>
  <si>
    <t>159ZI</t>
  </si>
  <si>
    <t>WOS:000320085400009</t>
  </si>
  <si>
    <t>Meredith, MP</t>
  </si>
  <si>
    <t>Meredith, Michael P.</t>
  </si>
  <si>
    <t>OCEANOGRAPHY Replenishing the abyss</t>
  </si>
  <si>
    <t>WATER</t>
  </si>
  <si>
    <t>[Meredith, Michael P.] British Antarctic Survey, Cambridge CB3 0ET, England; [Meredith, Michael P.] Scottish Assoc Marine Sci, Oban PA37 1QA, Argyll, Scotland</t>
  </si>
  <si>
    <t>UK Research &amp; Innovation (UKRI); Natural Environment Research Council (NERC); NERC British Antarctic Survey; UHI Millennium Institute</t>
  </si>
  <si>
    <t>Marti, Olivier/B-2378-2009</t>
  </si>
  <si>
    <t>Marti, Olivier/0000-0002-8246-5578; Meredith, Michael/0000-0002-7342-7756</t>
  </si>
  <si>
    <t>Natural Environment Research Council [NE/E013341/1, NE/E01366X/1, bas0100028, NE/E013368/1, NE/F010427/1] Funding Source: researchfish; NERC [NE/E01366X/1, NE/E013341/1, NE/E013368/1, bas0100028, NE/F010427/1] Funding Source: UKRI</t>
  </si>
  <si>
    <t>10.1038/ngeo1743</t>
  </si>
  <si>
    <t>WOS:000316945800012</t>
  </si>
  <si>
    <t>Pike, J; Swann, GEA; Leng, MJ; Snelling, AM</t>
  </si>
  <si>
    <t>Pike, Jennifer; Swann, George E. A.; Leng, Melanie J.; Snelling, Andrea M.</t>
  </si>
  <si>
    <t>Glacial discharge along the west Antarctic Peninsula during the Holocene</t>
  </si>
  <si>
    <t>PALMER-DEEP; ICE-SHELF; EL-NINO; CLIMATE; PRODUCTIVITY; VARIABILITY; RETREAT; HISTORY</t>
  </si>
  <si>
    <t>The causes for rising temperatures along the Antarctic Peninsula during the late Holocene have been debated, particularly in light of instrumental records of warming over the past decades(1). Suggested mechanisms range from upwelling of warm deep waters onto the continental shelf in response to variations in the westerly winds(2), to an influence of El Nino-Southern Oscillation on sea surface temperatures(3). Here, we present a record of Holocene glacial ice discharge, derived from the oxygen isotope composition of marine diatoms from Palmer Deep along the west Antarctic Peninsula continental margin. We assess atmospheric versus oceanic influences on glacial discharge at this location, using analyses of diatom geochemistry to reconstruct atmospherically forced glacial ice discharge and diatom assemblage(4) ecology to investigate the oceanic environment. We show that two processes of atmospheric forcing-an increasing occurrence of La Ninwa events(5) and rising levels of summer insolation-had a stronger influence during the late Holocene than oceanic processes driven by southern westerly winds and upwelling of upper Circumpolar Deepwater. Given that the evolution of El Nino-Southern Oscillation under global warming is uncertain(6), its future impacts on the climatically sensitive system of the Antarctic Peninsula Ice Sheet remain to be established.</t>
  </si>
  <si>
    <t>[Pike, Jennifer] Cardiff Univ, Sch Earth &amp; Ocean Sci, Cardiff CF10 3AT, S Glam, Wales; [Swann, George E. A.] Univ Nottingham, Sch Geog, Nottingham NG7 2RD, England; [Leng, Melanie J.] Univ Leicester, Dept Geol, Leicester LE1 7RH, Leics, England; [Leng, Melanie J.; Snelling, Andrea M.] British Geol Survey, NERC Isotope Geosci Lab, Nottingham NG12 5GG, England</t>
  </si>
  <si>
    <t>Cardiff University; University of Nottingham; University of Leicester; UK Research &amp; Innovation (UKRI); Natural Environment Research Council (NERC); NERC British Geological Survey</t>
  </si>
  <si>
    <t>Pike, J (corresponding author), Cardiff Univ, Sch Earth &amp; Ocean Sci, Main Bldg,Pk Pl, Cardiff CF10 3AT, S Glam, Wales.</t>
  </si>
  <si>
    <t>pikej@cardiff.ac.uk</t>
  </si>
  <si>
    <t>Swann, George/B-2794-2011; Pike, Jennifer/D-2589-2009</t>
  </si>
  <si>
    <t>Swann, George/0000-0002-4750-9504; Pike, Jennifer/0000-0001-9415-6003; , Andrea/0000-0002-6535-6716; Leng, Melanie/0000-0003-1115-5166</t>
  </si>
  <si>
    <t>Natural Environment Research Council [NE/G004811/1, NE/G004137/1]; NERC [NE/G004137/1, NE/G004811/1, nigl010001] Funding Source: UKRI; Natural Environment Research Council [NE/G004137/1, NE/G004811/1, nigl010001] Funding Source: researchfish</t>
  </si>
  <si>
    <t>We thank H. J. Sloane for assistance with the isotope analyses, I. M. Thomas for assistance with wavelet analysis, staff at the IODP Gulf Coast Core Repository for assistance with sampling ODP Site 1098 and S. Barker, C. Sjunneskog and M. Meredith for discussions. This research was supported by Natural Environment Research Council grants NE/G004811/1 awarded to J. P. and NE/G004137/1 awarded to M.J.L. and G.E.A.S.</t>
  </si>
  <si>
    <t>10.1038/ngeo1703</t>
  </si>
  <si>
    <t>WOS:000316945800020</t>
  </si>
  <si>
    <t>Royles, J; Ogée, J; Wingate, L; Hodgson, DA; Convey, P; Griffiths, H</t>
  </si>
  <si>
    <t>Royles, Jessica; Ogee, Jerome; Wingate, Lisa; Hodgson, Dominic A.; Convey, Peter; Griffiths, Howard</t>
  </si>
  <si>
    <t>Temporal separation between CO2 assimilation and growth? Experimental and theoretical evidence from the desiccation-tolerant moss Syntrichia ruralis</t>
  </si>
  <si>
    <t>NEW PHYTOLOGIST</t>
  </si>
  <si>
    <t>carbon-13; discrimination; moss; oxygen-18; photosynthesis; relative water content; Syntrichia ruralis</t>
  </si>
  <si>
    <t>CARBON-ISOTOPE DISCRIMINATION; WATER-CONTENT; BRYOPHYTES; PLANT; PHOTOSYNTHESIS; CELLULOSE; EXCHANGE; DIOXIDE; RATIOS; VAPOR</t>
  </si>
  <si>
    <t>The extent of an external water layer around moss tissue influences CO2 assimilation. Experiments on the desiccation-tolerant moss Syntrichia ruralis assessed the real-time dependence of the carbon and oxygen isotopic compositions of CO2 and H2O in terms of moss water status and integrated isotope signals in cellulose. As external (capillary) water, and then mesophyll water, evaporated from moss tissue, assimilation rate, relative water content and the stable isotope composition of tissue water (18OTW), and the CO2 and H2O fluxes, were analysed. After drying, carbon (13CC) and oxygen (18OC) cellulose compositions were determined. During desiccation, assimilation and 13CO2 discrimination increased to a maximum and then declined; 18OTW increased progressively by 8 parts per thousand, indicative of evaporative isotopic enrichment. Experimental and meteorological data were combined to predict tissue hydration dynamics over one growing season. Nonsteady-state model predictions of 18OTW were consistent with instantaneous measurements. 13CC values suggest that net assimilation occurs at 25% of maximum relative water content, while 18OC data suggests that cellulose is synthesized during much higher relative water content conditions. This implies that carbon assimilation and cellulose synthesis (growth) may be temporally separated, with carbon reserves possibly contributing to desiccation tolerance and resumption of metabolism upon rehydration.</t>
  </si>
  <si>
    <t>[Royles, Jessica; Wingate, Lisa; Griffiths, Howard] Univ Cambridge, Dept Plant Sci, Cambridge CB2 3EA, England; [Royles, Jessica; Hodgson, Dominic A.; Convey, Peter] British Antarctic Survey, Cambridge CB3 0ET, England; [Ogee, Jerome; Wingate, Lisa] INRA, EPHYSE UR1263, F-33140 Villenave Dornon, France</t>
  </si>
  <si>
    <t>University of Cambridge; UK Research &amp; Innovation (UKRI); Natural Environment Research Council (NERC); NERC British Antarctic Survey; INRAE</t>
  </si>
  <si>
    <t>Convey, Peter/AAV-5728-2020; Ogée, Jérôme/C-7185-2013; Wingate, Lisa/M-9673-2019</t>
  </si>
  <si>
    <t>Convey, Peter/0000-0001-8497-9903; Ogée, Jérôme/0000-0002-3365-8584; Wingate, Lisa/0000-0003-1921-1556; Royles, Jessica/0000-0003-0489-6863</t>
  </si>
  <si>
    <t>NERC [NE/G523539/1, AFI11_05]; Natural Environment Research Council [NE/G014418/1]; Marie Curie Intra-European Career Development Fellowship; European Community [237582]; INRA department EFPA; Natural Environment Research Council [bas0100025, bas0100024, NE/G014418/1, NE/H014632/1] Funding Source: researchfish; NERC [NE/H014632/1, NE/G014418/1, bas0100024, bas0100025] Funding Source: UKRI</t>
  </si>
  <si>
    <t>NERC(UK Research &amp; Innovation (UKRI)Natural Environment Research Council (NERC)); Natural Environment Research Council(UK Research &amp; Innovation (UKRI)Natural Environment Research Council (NERC)); Marie Curie Intra-European Career Development Fellowship(European Union (EU)); European Community; INRA department EFPA; Natural Environment Research Council(UK Research &amp; Innovation (UKRI)Natural Environment Research Council (NERC)); NERC(UK Research &amp; Innovation (UKRI)Natural Environment Research Council (NERC))</t>
  </si>
  <si>
    <t>J.R. is funded by NERC (NE/G523539/1, AFI11_05). P. C. and D. A. H. contribute to the BAS 'Polar Science for Planet Earth' core research programme. Salary for L. W. was supported through a Natural Environment Research Council Advanced Fellowship (NE/G014418/1) and a Marie Curie Intra-European Career Development Fellowship. Research leading to the results has received funding from the European Community's Seventh Framework Programme (FP7/2007-2013) under agreement no. (237582). The INRA department EFPA is gratefully acknowledged for funding the sabbatical of J.O. in Cambridge that resulted in the development of this manuscript. We also thank Kei Yoshimura for kindly providing ISOGSM outputs.</t>
  </si>
  <si>
    <t>0028-646X</t>
  </si>
  <si>
    <t>1469-8137</t>
  </si>
  <si>
    <t>NEW PHYTOL</t>
  </si>
  <si>
    <t>New Phytol.</t>
  </si>
  <si>
    <t>10.1111/nph.12114</t>
  </si>
  <si>
    <t>086AU</t>
  </si>
  <si>
    <t>WOS:000314656200015</t>
  </si>
  <si>
    <t>Talley, LD</t>
  </si>
  <si>
    <t>Talley, Lynne D.</t>
  </si>
  <si>
    <t>Closure of the Global Overturning Circulation Through the Indian, Pacific, and Southern Oceans: Schematics and Transports</t>
  </si>
  <si>
    <t>TOTAL GEOSTROPHIC CIRCULATION; FLOW PATTERNS; THERMOHALINE CIRCULATION; DRAKE PASSAGE; DEEP; WATER; THERMOCLINE; TRACERS; HEAT; THROUGHFLOW</t>
  </si>
  <si>
    <t>The overturning pathways for the surface-ventilated North Atlantic Deep Water (NADW) and Antarctic Bottom Water (AABW) and the diffusively formed Indian Deep Water (IDW) and Pacific Deep Water (PDW) are intertwined. The global overturning circulation (GOC) includes both large wind-driven upwelling in the Southern Ocean and important internal diapycnal transformation in the deep Indian and Pacific Oceans. All three northern-source Deep Waters (NADW, IDW, PDW) move southward and upwell in the Southern Ocean. AABW is produced from the denser, salty NADW and a portion of the lighter, low oxygen IDW/PDW that upwells above and north of NADW. The remaining upwelled IDW/PDW stays near the surface, moving into the subtropical thermoclines, and ultimately sources about one-third of the NADW. Another third of the NADW comes from AABW upwelling in the Atlantic. The remaining third comes from AABW upwelling to the thermocline in the Indian-Pacific. Atlantic cooling associated with NADW formation (0.3 PW north of 32 degrees S; 1 PW = 1015 W) and Southern Ocean cooling associated with AABW formation (0.4 PW south of 32 degrees S) are balanced mostly by 0.6 PW of deep diffusive heating in the Indian and Pacific Oceans; only 0.1 PW is gained at the surface in the Southern Ocean. Thus, while an adiabatic model of NADW global overturning driven by winds in the Southern Ocean, with buoyancy added only at the surface in the Southern Ocean, is a useful dynamical idealization, the associated heat changes require full participation of the diffusive Indian and Pacific Oceans, with a basin-averaged diffusivity on the order of the Munk value of 10(-4) m(2) s(-1).</t>
  </si>
  <si>
    <t>Univ Calif San Diego, Scripps Inst Oceanog, La Jolla, CA 92093 USA</t>
  </si>
  <si>
    <t>University of California System; University of California San Diego; Scripps Institution of Oceanography</t>
  </si>
  <si>
    <t>Talley, LD (corresponding author), Univ Calif San Diego, Scripps Inst Oceanog, La Jolla, CA 92093 USA.</t>
  </si>
  <si>
    <t>ltalley@ucsd.edu</t>
  </si>
  <si>
    <t>Talley, Lynne/0000-0003-1574-729X</t>
  </si>
  <si>
    <t>National Science Foundation [OCE-0927650]; Woods Hole Oceanographic Institution; LEGI/OSUG at the Universite Joseph Fourier in Grenoble; Division Of Ocean Sciences; Directorate For Geosciences [0927650] Funding Source: National Science Foundation</t>
  </si>
  <si>
    <t>National Science Foundation(National Science Foundation (NSF)); Woods Hole Oceanographic Institution; LEGI/OSUG at the Universite Joseph Fourier in Grenoble; Division Of Ocean Sciences; Directorate For Geosciences(National Science Foundation (NSF)NSF - Directorate for Geosciences (GEO))</t>
  </si>
  <si>
    <t>This work was supported by National Science Foundation grant OCE-0927650, with additional sabbatical support from Woods Hole Oceanographic Institution and LEGI/OSUG at the Universite Joseph Fourier in Grenoble. This work was only possible because of J.L. Reid's meticulous global velocity analyses and generosity in sharing them. Conversations with J.L. Reid and J.P. Severinghaus are gratefully acknowledged, as are reviews from R. Lumpkin and A. Gordon.</t>
  </si>
  <si>
    <t>10.5670/oceanog.2013.07</t>
  </si>
  <si>
    <t>125HE</t>
  </si>
  <si>
    <t>WOS:000317530100014</t>
  </si>
  <si>
    <t>Costa, IASF; Driedzic, WR; Gamperl, AK</t>
  </si>
  <si>
    <t>Costa, Isabel A. S. F.; Driedzic, William R.; Gamperl, A. Kurt</t>
  </si>
  <si>
    <t>Metabolic and Cardiac Responses of Cunner Tautogolabrus adspersus to Seasonal and Acute Changes in Temperature</t>
  </si>
  <si>
    <t>PHYSIOLOGICAL AND BIOCHEMICAL ZOOLOGY</t>
  </si>
  <si>
    <t>COD GADUS-MORHUA; HEART-RATE; THERMAL-ACCLIMATION; ANTARCTIC FISH; BLOOD-PRESSURE; RAINBOW-TROUT; BODY-MASS; DEPRESSION; HYPOXIA; CALORIMETRY</t>
  </si>
  <si>
    <t>The cunner is a marine teleost that exhibits winter dormancy (i.e., becomes inactive and stops feeding) when seawater temperatures fall below 5 degrees C. To examine whether this dormant state is also associated with active metabolic depression, the effect of season on routine metabolic rate (MRrout) was measured at five different times throughout the year: early spring (5 degrees C), late spring (9 degrees C), summer (14 degrees C), late fall (5 degrees C), and winter (0 degrees C). In addition, cardiac function (cardiac output, heart rate, and stroke volume) was measured at the last three measurement time points, and the ability of fall- and winter-acclimated cunner to adjust MRrout and cardiac function when challenged with acute temperature changes was assessed. The cunner actively depressed MRrout between fall and winter as temperature fell from 5 degrees to 0 degrees C (Q(10) = 10.4). In addition, MRrout showed a substantial but smaller Q(10) (4.3) when the MRrout at 0 degrees C (winter) was compared with the value recorded during the previous spring at similar to 5 degrees C. These seasonal changes were essentially mirrored by the response of MRrout to acute 5 degrees C increases and decreases in temperature. Similar to MRrout, cardiac output (Q) decreased dramatically as temperature fell from 5 degrees C (fall) to 0 degrees C (winter) in the seasonal study (Q(10) = 7.9) and increased substantially when temperature was acutely increased from 0 degrees to 5 degrees C (Q(10) similar to 5). However, when subjected to an acute temperature decrease (from 5 degrees to 0 degrees C), the Q(10) for Q was only approximately 2-3. These results show that (1) cunner actively depress their metabolism in the fall and winter and that this is associated with a large decrease in cardiac function and (2) there is a decoupling between Q and MRrout when 5 degrees C seasonally acclimated cunner are exposed to an acute temperature decrease to 0 degrees C.</t>
  </si>
  <si>
    <t>[Costa, Isabel A. S. F.; Driedzic, William R.; Gamperl, A. Kurt] Mem Univ Newfoundland, Dept Ocean Sci, St John, NF A1C 5S7, Canada</t>
  </si>
  <si>
    <t>Costa, IASF (corresponding author), Mem Univ Newfoundland, Dept Ocean Sci, St John, NF A1C 5S7, Canada.</t>
  </si>
  <si>
    <t>icosta@mun.ca</t>
  </si>
  <si>
    <t>Driedzic, William/ABD-3284-2021</t>
  </si>
  <si>
    <t>National Sciences and Engineering Research Council; Fundacao para a Ciencia e a Tecnologia, Portugal</t>
  </si>
  <si>
    <t>National Sciences and Engineering Research Council(Natural Sciences and Engineering Research Council of Canada (NSERC)); Fundacao para a Ciencia e a Tecnologia, Portugal(Fundacao para a Ciencia e a Tecnologia (FCT))</t>
  </si>
  <si>
    <t>This research was supported by National Sciences and Engineering Research Council Discovery Grants to A.K.G. and W.R.D. and a doctoral fellowship to I.A.S.F.C. from Fundacao para a Ciencia e a Tecnologia, Portugal.</t>
  </si>
  <si>
    <t>1522-2152</t>
  </si>
  <si>
    <t>1537-5293</t>
  </si>
  <si>
    <t>PHYSIOL BIOCHEM ZOOL</t>
  </si>
  <si>
    <t>Physiol. Biochem. Zool.</t>
  </si>
  <si>
    <t>10.1086/669538</t>
  </si>
  <si>
    <t>095KP</t>
  </si>
  <si>
    <t>WOS:000315333600008</t>
  </si>
  <si>
    <t>Soma, H; Murai, N; Tanaka, K; Oguro, T; Kokuba, H; Yoshihama, I; Fujita, K; Mineo, S; Toda, M; Uchida, S; Mogoe, T</t>
  </si>
  <si>
    <t>Soma, H.; Murai, N.; Tanaka, K.; Oguro, T.; Kokuba, H.; Yoshihama, I.; Fujita, K.; Mineo, S.; Toda, M.; Uchida, S.; Mogoe, T.</t>
  </si>
  <si>
    <t>Review: Exploration of placentation from human beings to ocean-living species</t>
  </si>
  <si>
    <t>PLACENTA</t>
  </si>
  <si>
    <t>Atomic bomb; Himalayan high altitude placentas; Sirenian placenta; Placentation in sharks and rays; Cetacean placenta</t>
  </si>
  <si>
    <t>CHORIOANGIOMA; TROPHONEMATA; STINGRAY</t>
  </si>
  <si>
    <t>This review covers four topics. 1) Placental pathology in Himalayan mountain people. To determine morphological changes of the placenta at high altitude, pathological examination was made of 1000 Himalayan placentas obtained in Nepal and Tibet and the results compared with Japanese placentas delivered at sea level. Characteristic findings in the placental villi of the Himalayan group included high incidences of villous chorangiosis and chorangioma. These processes were clarified by ultrastructural observation. 2) Placentation in Sirenians. The giant Takikawa sea cow, which lived 5 million years ago, was discovered on Hokkaido, Japan. It was an ancestor of the dugong as well as the manatees. Sirenia, the sea cow group, shares a common ancestor with Proboscidea, the elephants, even though they now inhabit quite different environments. A comparison was made of their zonary endothelial type of placentation. 3) Placentation in sharks and rays. The remarkable placentation of hammerhead sharks and manta rays is described. 4) Placentation in the Antarctic minke whale. Placental tissue samples of this whale were obtained from the Japan Institute of Cetacean Research. In an ultrastructural study of the utero-placental junction, microfilamental processes of the allantochorionic zone and crypt formation were visualized. (C) 2012 Published by IFPA and Elsevier Ltd.</t>
  </si>
  <si>
    <t>[Soma, H.; Murai, N.; Tanaka, K.] Saitama Med Sch, Dept Obstet &amp; Gynecol, Tokyo 1560052, Japan; [Soma, H.; Murai, N.; Tanaka, K.] Saitama Med Sch, Sect Electron Microscopy, Tokyo 1560052, Japan; [Oguro, T.] Chiba Hokuso Hosp, Nihon Med Sch, Chiba, Japan; [Kokuba, H.; Yoshihama, I.; Fujita, K.; Mineo, S.] Tokyo Med Univ, Sect Electron Microscopy, Tokyo 1608402, Japan; [Kokuba, H.; Yoshihama, I.; Fujita, K.; Mineo, S.] Tokyo Med Univ, Dept Mol Pathol, Tokyo 1608402, Japan; [Toda, M.; Uchida, S.] Okinawa Churaumi Aquarium, Okinawa, Japan</t>
  </si>
  <si>
    <t>Saitama Medical University; Saitama Medical University; Tokyo Medical University; Tokyo Medical University</t>
  </si>
  <si>
    <t>Soma, H (corresponding author), Saitama Med Sch, Dept Obstet &amp; Gynecol, Setagaya Ku, 1-11-4 Kyodo, Tokyo 1560052, Japan.</t>
  </si>
  <si>
    <t>somahr99@bj8.so-net.ne.jp</t>
  </si>
  <si>
    <t>W B SAUNDERS CO LTD</t>
  </si>
  <si>
    <t>32 JAMESTOWN RD, LONDON NW1 7BY, ENGLAND</t>
  </si>
  <si>
    <t>0143-4004</t>
  </si>
  <si>
    <t>1532-3102</t>
  </si>
  <si>
    <t>Placenta</t>
  </si>
  <si>
    <t>A</t>
  </si>
  <si>
    <t>S17</t>
  </si>
  <si>
    <t>S23</t>
  </si>
  <si>
    <t>10.1016/j.placenta.2012.11.021</t>
  </si>
  <si>
    <t>Developmental Biology; Obstetrics &amp; Gynecology; Reproductive Biology</t>
  </si>
  <si>
    <t>122JT</t>
  </si>
  <si>
    <t>WOS:000317315100006</t>
  </si>
  <si>
    <t>Maggi, O; Tosi, S; Angelova, M; Lagostina, E; Fabbri, AA; Pecoraro, L; Altobelli, E; Picco, AM; Savino, E; Branda, E; Turchetti, B; Zotti, M; Vizzini, A; Buzzini, P</t>
  </si>
  <si>
    <t>Maggi, Oriana; Tosi, Solveig; Angelova, Maria; Lagostina, Elisa; Fabbri, Anna Adele; Pecoraro, Lorenzo; Altobelli, Elisa; Picco, Anna Maria; Savino, Elena; Branda, Eva; Turchetti, Benedetta; Zotti, Mirca; Vizzini, Alfredo; Buzzini, Pietro</t>
  </si>
  <si>
    <t>Adaptation of fungi, including yeasts, to cold environments</t>
  </si>
  <si>
    <t>PLANT BIOSYSTEMS</t>
  </si>
  <si>
    <t>Fungi and yeast; cold adaptation; membrane lipids; radical scavenging activity; phenolic production; macrofungal biodiversity</t>
  </si>
  <si>
    <t>ECTOMYCORRHIZAL FUNGI; FATTY-ACIDS; PSYCHROPHILIC ENZYMES; GLACIER FOREFRONT; OXIDATIVE STRESS; LOW-TEMPERATURE; BIODIVERSITY; SOIL; MACROFUNGI; DIVERSITY</t>
  </si>
  <si>
    <t>A wide range of cold environments exist, with an equally broad variety of fungi and yeasts that have adapted to such environments. These adaptations, which affect membranes, enzymes and other cellular components, such as radical scavenging molecules, display a great potential for exploitation in biotechnology. Alterations have been detected in membrane lipids, with an increase in fatty acid unsaturated bonds that enhance their fluidity. We report new data on the different phospholipid composition in membrane lipids in the same fungal species from both Antarctic and temperate regions. The decrease in temperature causes intracellular oxidative stress by inducing the generation of reactive oxygen species. We report the results of the first analysis of the non-enzymatic antioxidant response and phenolic compound production by an Antarctic strain of Geomyces pannorum. A survey on yeasts from the cryosphere is reported with a focus on their adaptation to a cold environment. Some studies have shown that the number of macrofungi in glacier forefronts rises as deglaciation increases. The survival success of many plants in such areas may be attributed to their mycorrhizal associations. We highlighted the macrofungal biodiversity of some Italian alpine habitats, in which we Inocybe microfastigiata, Laccaria montana and Lactarius salicis-herbaceae were recorded for the first time in Lombardy (Italy).</t>
  </si>
  <si>
    <t>[Maggi, Oriana; Fabbri, Anna Adele] Univ Roma La Sapienza, Dipartimento Biol Ambientale, Rome, Italy; [Tosi, Solveig; Lagostina, Elisa; Altobelli, Elisa; Picco, Anna Maria; Savino, Elena] Univ Pavia, Dipartimento Sci Terra &amp; Ambiente, Lab Micol, I-27100 Pavia, Italy; [Angelova, Maria] Bulgarian Acad Sci, Stephan Angeloff Inst Microbiol, BG-1040 Sofia, Bulgaria; [Branda, Eva; Turchetti, Benedetta; Buzzini, Pietro] Univ Perugia, Dipartimento Biol Applicata &amp; Ind Yeasts Collect, I-06100 Perugia, Italy; [Pecoraro, Lorenzo] Estonian Univ Life Sci, Inst Agr &amp; Environm Sci, Tartu, Estonia; [Zotti, Mirca] Univ Genoa, DISTAV, Lab Micol, Genoa, Italy; [Vizzini, Alfredo] Univ Turin, Dipartimento Sci Vita &amp; Biol Sistemi, I-10124 Turin, Italy</t>
  </si>
  <si>
    <t>Sapienza University Rome; University of Pavia; Bulgarian Academy of Sciences; Stephan Angeloff Institute of Microbiology, Bulgarian Academy of Sciences; University of Perugia; Estonian University of Life Sciences; University of Genoa; University of Turin</t>
  </si>
  <si>
    <t>Tosi, S (corresponding author), Univ Pavia, Dipartimento Sci Terra &amp; Ambiente, Lab Micol, Via Epifanio 14, I-27100 Pavia, Italy.</t>
  </si>
  <si>
    <t>solveig.tosi@unipv.it</t>
  </si>
  <si>
    <t>Pecoraro, Lorenzo/N-7370-2013; Savino, Elena/ABD-4498-2020; Tosi, Solveig/AAC-9482-2019; Pietro, Buzzini/F-5739-2014; MAGGI, ORIANA/C-9838-2010; Turchetti, Benedetta/AAC-8847-2019</t>
  </si>
  <si>
    <t>Pecoraro, Lorenzo/0000-0002-3234-4698; Tosi, Solveig/0000-0002-6769-6984; turchetti, benedetta/0000-0002-7370-3028; Vizzini, Alfredo/0000-0001-8390-6446; Buzzini, Pietro/0000-0001-6793-0606; MAGGI, ORIANA/0000-0002-5523-3384</t>
  </si>
  <si>
    <t>Ministry of Education and Science, Bulgaria [DO02-172/08]; European Social Fund [MJD135]</t>
  </si>
  <si>
    <t>Ministry of Education and Science, Bulgaria; European Social Fund(European Social Fund (ESF))</t>
  </si>
  <si>
    <t>The authors thank the Italian National Program for Research in Antarctica (PNRA), and the National Scientific Fund of the Ministry of Education and Science, Bulgaria (grant DO02-172/08); PRIN 2008: 2008AR8MX9 002 and Estonian Science Foundation and the European Social Fund (Mobilitas Postdoctoral Research Grant MJD135). The authors would like to thank Dr George Zervakis for helping to revise the language in the manuscript.</t>
  </si>
  <si>
    <t>1126-3504</t>
  </si>
  <si>
    <t>1724-5575</t>
  </si>
  <si>
    <t>PLANT BIOSYST</t>
  </si>
  <si>
    <t>Plant Biosyst.</t>
  </si>
  <si>
    <t>10.1080/11263504.2012.753135</t>
  </si>
  <si>
    <t>121UA</t>
  </si>
  <si>
    <t>WOS:000317268600026</t>
  </si>
  <si>
    <t>O'Hara, TD; Smith, PJ; Mills, VS; Smirnov, I; Steinke, D</t>
  </si>
  <si>
    <t>O'Hara, Timothy D.; Smith, Peter J.; Mills, V. Sadie; Smirnov, Igor; Steinke, Dirk</t>
  </si>
  <si>
    <t>Biogeographical and phylogeographical relationships of the bathyal ophiuroid fauna of the Macquarie Ridge, Southern Ocean</t>
  </si>
  <si>
    <t>Subantarctic; Ophiuroidea; COI; Biogeography; Phylogeography</t>
  </si>
  <si>
    <t>BROODING BRITTLE STAR; MITOCHONDRIAL-DNA; SEA-ICE; AMPLIFICATION; PRIMERS; MAXIMUM; UNITS</t>
  </si>
  <si>
    <t>There are relatively few studies examining the latitudinal distribution of polar, subantarctic and temperate faunas on the bathyal seafloor across the Southern Ocean. Here, we investigate the relationship between the subantarctic Macquarie Ridge and adjacent regions of Antarctica (including the Ross Sea) and temperate Australia and New Zealand at depths of 200-2,500 m. We study the fauna at two levels of classification (1) morpho-species (MSPs) accepted by taxonomists and (2) evolutionary significant units defined as reciprocally monophyletic clades derived from phylogenies of mitochondrial DNA. The ophiuroid fauna on the Macquarie Ridge has a predominantly temperate origin, with far more MSPs shared with south-eastern Australia (78 % of species) and southern New Zealand (83 %) than neighbouring Antarctic regions (33 %). However, this asymmetry also reflects the relative species richness of these regions. Many species that are shared between Antarctica and the Macquarie Ridge have diverged into distinct mtDNA lineages indicative of a recent barrier to gene flow.</t>
  </si>
  <si>
    <t>[O'Hara, Timothy D.; Smith, Peter J.] Museum Victoria, Melbourne, Vic 3001, Australia; [Mills, V. Sadie] Natl Inst Water &amp; Atmospher Res Ltd, Wellington 6022, New Zealand; [Smirnov, Igor] Russian Acad Sci, Inst Zool, St Petersburg 199034, Russia; [Steinke, Dirk] Univ Guelph, Biodivers Inst Ontario, Guelph, ON N1G 2W1, Canada</t>
  </si>
  <si>
    <t>Museum Victoria; National Institute of Water &amp; Atmospheric Research (NIWA) - New Zealand; Russian Academy of Sciences; Zoological Institute of the Russian Academy of Sciences; University of Guelph</t>
  </si>
  <si>
    <t>O'Hara, TD (corresponding author), Museum Victoria, GPO Box 666, Melbourne, Vic 3001, Australia.</t>
  </si>
  <si>
    <t>tohara@museum.vic.gov.au; h.p.smithnz@gmail.com; s.mills@niwa.co.nz; smiris@zin.ru; dsteinke@uoguelph.ca</t>
  </si>
  <si>
    <t>Steinke, Dirk/D-4700-2009; Smirnov, Igor/R-2792-2017</t>
  </si>
  <si>
    <t>Mills, Victoria/0000-0002-8122-0456; O'Hara, Timothy/0000-0003-0885-6578; Smirnov, Igor/0000-0003-3098-3346; Steinke, Dirk/0000-0002-8992-575X</t>
  </si>
  <si>
    <t>New Zealand Foundation for Research, Science and Technology; Ministry of Fisheries; CSIRO's Division of Marine and Atmospheric Research project Biodiversity Voyages of Discovery''; CSIRO Wealth from Oceans Flagship; Alfred P. Sloan Foundation; Government of Canada through Genome Canada; Ontario Genomics Institute [2008-OGI-ICI-03]; NIWA; Museum Victoria</t>
  </si>
  <si>
    <t>New Zealand Foundation for Research, Science and Technology(New Zealand Foundation for Research, Science and Technology); Ministry of Fisheries; CSIRO's Division of Marine and Atmospheric Research project Biodiversity Voyages of Discovery''; CSIRO Wealth from Oceans Flagship(Commonwealth Scientific &amp; Industrial Research Organisation (CSIRO)); Alfred P. Sloan Foundation(Alfred P. Sloan Foundation); Government of Canada through Genome Canada(Genome Canada); Ontario Genomics Institute; NIWA; Museum Victoria</t>
  </si>
  <si>
    <t>Thanks to the NIWA Invertebrate Collection that provided specimens collected from voyage TAN0604 part of the project Seamounts: their importance to fisheries and marine ecosystems, undertaken by the NIWA and funded by the New Zealand Foundation for Research, Science and Technology with additional funding from the Ministry of Fisheries; Material from voyage TAN0802 was collected as part of the New Zealand International Polar Year-Census of Antarctic Marine Life, Ross Sea Biodiversity voyage 2008. We gratefully acknowledge IPY-CaML project governance provided by the Ministry of Fisheries Science Team and the Ocean Survey 20/20 CaML Advisory Group (Land Information New Zealand, New Zealand Ministry of Fisheries, Antarctica New Zealand, Ministry of Foreign Affairs and Trade, and National Institute of Water and Atmosphere Ltd); Material obtained during the interdisciplinary New Zealand-Australian MacRidge 2'' research voyage (TAN0803), the biological component of which was part of NIWA's research project Seamounts: their importance to fisheries and marine ecosystems'' funded by the New Zealand Foundation for Research, Science and Technology, and CSIRO's Division of Marine and Atmospheric Research project Biodiversity Voyages of Discovery'' funded by the CSIRO Wealth from Oceans Flagship. The Collaborative East Antarctic Marine Census (CEAMARC) was a joint Australian, French and Japanese contribution to Census of Antarctic Marine Life (CAML). Dirk Steinke was supported by funding of the Alfred P. Sloan Foundation to MarBOL. Laboratory analyses on sequences generated at the CCDB were funded by the Government of Canada through Genome Canada and the Ontario Genomics Institute (2008-OGI-ICI-03). We thank Blair Patullo and Natalie Calder (Museum Victoria) for preparing and photographing museum samples for the OPHAN Barcode of Life project; Marc Eleaume (Museum national d'Histoire naturelle, Paris) for collecting and sending the CEAMARC samples to Museum Victoria; Suzi Lockhart (Californian Academy of Sciences) for collecting and sending the Andeep 2002, Icefish 2004, and US-AMLR 2009 ophiuroid material to Museum Victoria. Igor Smirnov's travel to Australia and New Zealand to identify Antarctic material was jointly supported by funds from NIWA and Museum Victoria.</t>
  </si>
  <si>
    <t>10.1007/s00300-012-1261-9</t>
  </si>
  <si>
    <t>WOS:000314852300002</t>
  </si>
  <si>
    <t>Chang, FH; Williams, MJM; Schwarz, JN; Hall, JA; Maas, EW; Stewart, R</t>
  </si>
  <si>
    <t>Chang, F. Hoe; Williams, Michael J. M.; Schwarz, Jill N.; Hall, Julie A.; Maas, Elizabeth W.; Stewart, Rob</t>
  </si>
  <si>
    <t>Spatial variation of phytoplankton assemblages and biomass in the New Zealand sector of the Southern Ocean during the late austral summer 2008</t>
  </si>
  <si>
    <t>Antarctic waters; Chlorophyll a; Harmful algae; Phytoplankton cell carbon; Ross Sea shelf; Southern Ocean</t>
  </si>
  <si>
    <t>MAJOR DIATOM TAXA; ROSS ICE SHELF; TERRA-NOVA BAY; COMMUNITY STRUCTURE; KARENIA-CONCORDIA; SEA; IRON; DINOPHYCEAE; SIZE; DYNAMICS</t>
  </si>
  <si>
    <t>Up until now, only the floristic composition of large phytoplankton species has been studied in the Southern Ocean immediately south of New Zealand. To fill the gaps in our knowledge of the Antarctic phytoplankton flora and biomass, in relation to physical and chemical environments, New Zealand's IPY project sampled water between New Zealand and Antarctica and into the Ross Sea in late summer. Near surface phytoplankton samples, collected between New Zealand and Antarctica, and vertical stations, between Scott Island and the Ross Sea ice shelf, allowed us to contrast the flora and biomass in the Ross Sea/Antarctic and Subantarctic waters. Spatially, diatoms were found to be more diverse in both shelf and offshore Antarctic than in Subantarctic waters. Over the Ross Sea shelf, the pennate diatom, Fragilariopsis kerguelensis, and a colonial prymnesiophyte, Phaeocystis antarctica, dominated both numerically and in biomass, contributing to greatest levels of chlorophyll a and cell carbon biomass over the shelf. In both shelf and Antarctic waters, heterotrophic taxa accounted for a greater proportion of total dinoflagellate cell carbon (avg. 95.4 and 91.9 %, respectively) than autotrophic, while in the Subantarctic waters, the reverse was true (avg. 48.6 %). A small number of potentially harmful dinoflagellates, Karenia and Karlodinium spp., were found for the first time in the New Zealand sector of the Southern Ocean. This study represents the first thorough description of the spatial variation of the floristic composition and biomass of phytoplankton in relation to physical and chemical properties, from New Zealand to Antarctica.</t>
  </si>
  <si>
    <t>[Chang, F. Hoe; Williams, Michael J. M.; Hall, Julie A.; Maas, Elizabeth W.; Stewart, Rob] Natl Inst Water &amp; Atmospher Res Ltd, Wellington 6241, New Zealand; [Schwarz, Jill N.] Univ Plymouth, Sch Marine Sci &amp; Engn, Plymouth PL4 8AA, Devon, England</t>
  </si>
  <si>
    <t>National Institute of Water &amp; Atmospheric Research (NIWA) - New Zealand; University of Plymouth</t>
  </si>
  <si>
    <t>Chang, FH (corresponding author), Natl Inst Water &amp; Atmospher Res Ltd, Private Bag 14-901, Wellington 6241, New Zealand.</t>
  </si>
  <si>
    <t>h.chang@niwa.co.nz</t>
  </si>
  <si>
    <t>Williams, Michael/H-9674-2014</t>
  </si>
  <si>
    <t>New Zealand Government [So001IPY, IPY2007-01]</t>
  </si>
  <si>
    <t>New Zealand Government</t>
  </si>
  <si>
    <t>We thank Drs Janet Grieve of NIWA, Wellington and Barb Hayden of NIWA, Christchurch for their constructive review of this manuscript. We also thank the officers, crew and scientific staff on RV Tangaroa for their assistance in this voyage. This research was funded by the New Zealand Government under the New Zealand International Polar Year-Census of Antarctic Marine Life Project (Phase 1: So001IPY; Phase 2: IPY2007-01). We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Atmospheric Research Ltd).</t>
  </si>
  <si>
    <t>10.1007/s00300-012-1270-8</t>
  </si>
  <si>
    <t>WOS:000314852300009</t>
  </si>
  <si>
    <t>Lörz, AN; Kaiser, S; Bowden, D</t>
  </si>
  <si>
    <t>Loerz, Anne-Nina; Kaiser, Stefanie; Bowden, David</t>
  </si>
  <si>
    <t>Macrofaunal crustaceans in the benthic boundary layer from the shelf break to abyssal depths in the Ross Sea (Antarctica)</t>
  </si>
  <si>
    <t>Southern Ocean; Deep sea; Peracarida; Isopoda; Ross Sea; Weddell Sea</t>
  </si>
  <si>
    <t>OCEAN DEEP-SEA; INTERANNUAL VARIATIONS; PERACARIDA CRUSTACEA; DIVERSITY; MALACOSTRACA; COMMUNITIES; BOTTOM; BIODIVERSITY</t>
  </si>
  <si>
    <t>The New Zealand International Polar Year-Census of Antarctic Marine Life (NZ IPY-CAML) project added to previous benthic studies in the Ross Sea by extending sampling north from the continental shelf to previously unsampled areas of the shelf break, slope, abyssal plain and seamounts in the region. The aim of the current study is to give first insights into the deep-sea community structure of the Ross Sea focussing on a component of the benthic boundary layer that is macrofaunal crustaceans collected one metre above the seafloor. We assess changes in Ross Sea crustacean community composition from the shelf break (474 m) to the abyss (3,490 m) and compare the Ross Sea crustacean fauna to areas elsewhere in the Southern Ocean. Analyses reveal high relative abundances, suggesting an important role in the food web. Among the peracarid crustaceans, there was a decline in the proportion of amphipods with increasing depth. Three of 15 isopod families (Acanthaspidiidae, Nannoniscidae and Desmosomatidae) were identified to species level and about 72 % of the species were new to science. Isopod diversity in the Ross Sea abyss appears to be comparable to that in the highly speciose Weddell deep sea. Standardised sampling of these crustacean communities allows setting the biodiversity of the Ross Sea into a global context.</t>
  </si>
  <si>
    <t>[Loerz, Anne-Nina; Bowden, David] Natl Inst Water &amp; Atmospher Res NIWA, Wellington 6021, New Zealand; [Kaiser, Stefanie] Univ Hamburg, Biozentrum Grindel, Hamburg, Germany; [Kaiser, Stefanie] Univ Hamburg, Zool Museum, Hamburg, Germany</t>
  </si>
  <si>
    <t>National Institute of Water &amp; Atmospheric Research (NIWA) - New Zealand; University of Hamburg; University of Hamburg</t>
  </si>
  <si>
    <t>Lörz, AN (corresponding author), Natl Inst Water &amp; Atmospher Res NIWA, 301 Evans Bay Parade, Wellington 6021, New Zealand.</t>
  </si>
  <si>
    <t>Anne-Nina.Loerz@niwa.co.nz</t>
  </si>
  <si>
    <t>New Zealand Government [IPY2007-01]; Ministry of Science and Innovation [C01X1001, COBR1302]; University of Hamburg; German Academic Exchange Service (DAAD)</t>
  </si>
  <si>
    <t>New Zealand Government; Ministry of Science and Innovation(Spanish Government); University of Hamburg; German Academic Exchange Service (DAAD)(Deutscher Akademischer Austausch Dienst (DAAD))</t>
  </si>
  <si>
    <t>This research was funded by the New Zealand Government under the New Zealand International Polar Year-Census of Antarctic Marine Life Project (IPY2007-01). We gratefully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Atmosphere Ltd). Part-funding was provided by the Ministry of Science and Innovation project C01X1001 (Protecting Ross Sea Ecosystems) and project COBR1302 (Biodiversity &amp; Biosecurity). The NIWA Marine Invertebrate Collection Team, especially Sadie Mills, coordinated the sorting and registration processes. Marlene Timm (University of Hamburg) is thanked for her help identifying the Acanthaspidiidae. S. Kaiser acknowledges a grant provided by the University of Hamburg and the German Academic Exchange Service (DAAD). Two anonymous reviewers are thanked for their constructive critique to an earlier version of this paper.</t>
  </si>
  <si>
    <t>10.1007/s00300-012-1269-1</t>
  </si>
  <si>
    <t>WOS:000314852300014</t>
  </si>
  <si>
    <t>Acevedo, J; Martinez, F</t>
  </si>
  <si>
    <t>Acevedo, Jorge; Martinez, Francisco</t>
  </si>
  <si>
    <t>Residence of the leopard seal in the Magellan Strait: a potential sub-Antarctic population inhabiting the waters of Southern Chile?</t>
  </si>
  <si>
    <t>Leopard seal; Fueguian Archipelago; Residence; Chile; Francisco Coloane AMCP</t>
  </si>
  <si>
    <t>PACK-ICE SEALS; HYDRURGA-LEPTONYX; ISLAND</t>
  </si>
  <si>
    <t>The leopard seal is widely distributed on the Antarctic pack ice, but a number of individuals are also thought to displace north from the pack ice to the sub-Antarctic Islands or venture even farther north. In Chile, the leopard seal has been reported mainly in the Fueguian Archipelago, with individuals sighted year-round; however, the data to date have been unable to determine whether it is the same individuals who remain year-round. Thus, one of the questions to be resolved is whether there is a northward dispersion of individuals from the Southern Ocean returning to the Antarctic continent, or alternatively if there is a potential sub-Antarctic population that delay or suspend their migration toward the Antarctic region. Opportunistic sightings of a solitary seal at Ballena Sound (53A degrees 41'S, 72A degrees 37'W), Magellan Region, Chile, were documented in photographs on six occasions from January to May 2012. Based on the review of the photographs, the leopard seal was identified as the same individual. This finding provides the first evidence of a long occupation by a leopard seal in the fjords and channels of Fueguian Region, suggesting the existence of a small population inhabiting the waters of Southern Chile year-round.</t>
  </si>
  <si>
    <t>[Acevedo, Jorge] Centro Estudios Cuaternario Fuego Patagonia Antar, 21 Mayo 1690, Punta Arenas, Chile; [Acevedo, Jorge] Ctr Estudios Cuaternario Fuego Patagonia &amp; Antart, Punta Arenas, Chile</t>
  </si>
  <si>
    <t>Acevedo, J (corresponding author), Ctr Estudios Cuaternario Fuego Patagonia &amp; Antart, 21 Mayo 1690, Punta Arenas, Chile.</t>
  </si>
  <si>
    <t>jorge.acevedo@cequa.cl</t>
  </si>
  <si>
    <t>Acevedo, Jorge/AAV-3574-2020</t>
  </si>
  <si>
    <t>Acevedo, Jorge/0000-0002-6106-0838</t>
  </si>
  <si>
    <t>Conicyt Regional/GORE Magallanes funding Agency [R07K1002]; Marine Mammal Research Program of Fundacion CEQUA [46]</t>
  </si>
  <si>
    <t>Conicyt Regional/GORE Magallanes funding Agency; Marine Mammal Research Program of Fundacion CEQUA(Comision Nacional de Investigacion Cientifica y Tecnologica (CONICYT)CONICYT Regional/CEQUA)</t>
  </si>
  <si>
    <t>This work would not have been possible without the support of the Captain and crews of M/N Forrest and the skipper of the inflatable boat. We thank the Directorship of CEQUA and the Grant R07K1002 Conicyt Regional/GORE Magallanes funding Agency for their support of our Marine Mammal Research. We also thank two referees and Dr. A. N. Hendrix for improving the manuscript. This is publication No 46 of the Marine Mammal Research Program of Fundacion CEQUA.</t>
  </si>
  <si>
    <t>10.1007/s00300-012-1275-3</t>
  </si>
  <si>
    <t>WOS:000314852300015</t>
  </si>
  <si>
    <t>Catry, P; Lemos, RT; Brickle, P; Phillips, RA; Matias, R; Granadeiro, JP</t>
  </si>
  <si>
    <t>Catry, P.; Lemos, R. T.; Brickle, P.; Phillips, R. A.; Matias, R.; Granadeiro, J. P.</t>
  </si>
  <si>
    <t>Predicting the distribution of a threatened albatross: The importance of competition, fisheries and annual variability</t>
  </si>
  <si>
    <t>PROGRESS IN OCEANOGRAPHY</t>
  </si>
  <si>
    <t>INTRA-SPECIFIC COMPETITION; FORAGING AREAS; SOUTH GEORGIA; GPS TRACKING; SEABIRDS; AUSTRALIS; RESPONSES; DYNAMICS; ANIMALS; OVERLAP</t>
  </si>
  <si>
    <t>The ability to predict the distribution of threatened marine predators is essential to inform spatially explicit seascape management. We tracked 99 individual black-browed albatrosses Thalassarche melanophris from two Falkland Islands' colonies in 2 years. We modeled the observed distribution of foraging activity taking environmental variables, fisheries activity (derived from vessel monitoring system data), accessibility to feeding grounds and intra-specific competition into account. The resulting models had sufficient generality to make reasonable predictions for different years and colonies, which allows temporal and spatial variation to be incorporated into the decision making process by managers for regions and seasons where available information is incomplete. We also illustrated that long-ranging birds from colonies separated by as little as 75 km can show important spatial segregation at sea, invalidating direct or uncorrected extrapolation from one colony to neighboring ones. Fisheries had limited influence on albatross distribution, despite the well known scavenging behavior of these birds. The models developed here have potentially wide application to the identification of sensitive geographical areas where special management practices (such as fisheries closures) could be implemented, and would predict how these areas are likely to move with annual and seasonal changes in environmental conditions. (C) 2013 Elsevier Ltd. All rights reserved.</t>
  </si>
  <si>
    <t>[Catry, P.; Matias, R.] ISPA, Ecoethol Res Unit, P-1149041 Lisbon, Portugal; [Catry, P.] Univ Lisbon, Museu Nacl Hist Nat &amp; Ciencia, P-1699 Lisbon, Portugal; [Lemos, R. T.] NOAA, NMES Environm Res Div, Southwest Fisheries Sci Ctr, Pacific Grove, CA 93950 USA; [Lemos, R. T.] Univ Queensland, Sch Math &amp; Phys, Ctr Applicat Nat Resource Math CARM, St Lucia, Qld 4072, Australia; [Phillips, R. A.] British Antarctic Survey, Nat Environm Res Council, Cambridge CB3 0ET, England; [Matias, R.] Univ Exeter, Sch Biosci, Ctr Ecol &amp; Conservat, Penryn TR10 9EZ, England; [Granadeiro, J. P.] Univ Lisbon, Museu Nacl Hist Nat &amp; Ciencia, CESAM, P-1250102 Lisbon, Portugal</t>
  </si>
  <si>
    <t>Instituto Superior Psicologia Aplicada (ISPA); Universidade de Lisboa; National Oceanic Atmospheric Admin (NOAA) - USA; University of Queensland; UK Research &amp; Innovation (UKRI); Natural Environment Research Council (NERC); NERC British Antarctic Survey; University of Exeter; Universidade de Lisboa</t>
  </si>
  <si>
    <t>paulo.catry@gmail.com; rtlemos@gmail.com; PBrickle@fisheries.gov.fk; raphil@bas.ac.uk; rfsmatias@gmail.com; jpgranadeiro@fc.ul.pt</t>
  </si>
  <si>
    <t>de Lemos, Ricardo Silva Tavares/D-6703-2012; Granadeiro, José Pedro/E-8060-2011; Catry, Paulo/I-5408-2013</t>
  </si>
  <si>
    <t>Granadeiro, José Pedro/0000-0002-7207-3474; Brickle, Paul/0000-0002-9870-3518; Catry, Paulo/0000-0003-3000-0522</t>
  </si>
  <si>
    <t>Fundacao para a Ciencia e Tecnologia (FCT-Portugal) [PTDC/MAR/099366/2008, PEst-OE/MAR/UI0331/2011, SFRH/BD/47378/2008]; Falkland Islands Government; Fundação para a Ciência e a Tecnologia [PTDC/MAR/099366/2008, SFRH/BD/47378/2008] Funding Source: FCT; Natural Environment Research Council [bas0100025] Funding Source: researchfish; NERC [bas0100025] Funding Source: UKRI</t>
  </si>
  <si>
    <t>Fundacao para a Ciencia e Tecnologia (FCT-Portugal)(Fundacao para a Ciencia e a Tecnologia (FCT)); Falkland Islands Government; Fundação para a Ciência e a Tecnologia(Fundacao para a Ciencia e a Tecnologia (FCT)); Natural Environment Research Council(UK Research &amp; Innovation (UKRI)Natural Environment Research Council (NERC)); NERC(UK Research &amp; Innovation (UKRI)Natural Environment Research Council (NERC))</t>
  </si>
  <si>
    <t>We are grateful to the many fieldworkers who assisted with the study. The New Island Conservation Trust supported field studies on their New Island reserve. Wildlife Conservation Society granted permission for work on Steeple Jason. This study was financed by Fundacao para a Ciencia e Tecnologia (FCT-Portugal) through Project PTDC/MAR/099366/2008, Project PEst-OE/MAR/UI0331/2011 and through a Grant (SFRH/BD/47378/2008) to R.M. Formal permits and further financial support were received from the Falkland Islands Government. Ian, Georgina and Maria Strange provided important support in the field and in Stanley. We also thank John Barton, Director of Natural Resources for supporting this work.</t>
  </si>
  <si>
    <t>0079-6611</t>
  </si>
  <si>
    <t>PROG OCEANOGR</t>
  </si>
  <si>
    <t>Prog. Oceanogr.</t>
  </si>
  <si>
    <t>10.1016/j.pocean.2013.01.005</t>
  </si>
  <si>
    <t>120KN</t>
  </si>
  <si>
    <t>WOS:000317169300001</t>
  </si>
  <si>
    <t>Veit-Köhler, G; Guilini, K; Peeken, I; Quillfeldt, P; Mayr, C</t>
  </si>
  <si>
    <t>Veit-Koehler, Gritta; Guilini, Katja; Peeken, Ilka; Quillfeldt, Petra; Mayr, Christoph</t>
  </si>
  <si>
    <t>Carbon and nitrogen stable isotope signatures of deep-sea meiofauna follow oceanographical gradients across the Southern Ocean</t>
  </si>
  <si>
    <t>PARTICULATE ORGANIC-MATTER; TROPHIC RELATIONSHIPS; WEDDELL SEA; NUTRIENT UTILIZATION; FORAGING AREAS; DELTA-N-15; ICE; DIET; PHYTOPLANKTON; RATIOS</t>
  </si>
  <si>
    <t>Carbon (delta C-13) and nitrogen (delta N-13) stable isotope values of deep-sea benthic copepods, nematodes, and sediments were determined along a latitudinal transect covering bathyal and abyssal depths in the Southern Ocean and the Weddell Sea (49 degrees S-70 degrees S). This is the first time geographical patterns in stable isotope composition including delta N-15 are reported for deep-sea meiofauna. In agreement with previous findings on isotopic patterns of sea-surface organic matter, the deep-sea meiofauna delta C-13 values gradually declined with latitude. In the nematodes, delta N-15 values were depleting southwards and followed the known gradients of increasing nitrate concentrations with decreasing delta N-15 values available to primary producers in the surface waters. Differences in productivity, water depth, and degradation state of the organic matter at the seafloor along the transect did not influence the southwards declining trend observed in the stable isotope values of the deep-sea meiofauna. The most depleted C-13 values were detected in the communities of Maud Rise. The southernmost Lazarev Sea station was an expected exception to this trend: its long-lasting sea-ice cover and a primary production dominated by C-13-enriched ice algae may have lead to the heavier isotopic signatures that were encountered in the organisms and sediments at 70 degrees S. It is suggested that the bulk of benthic meiofauna mainly feeds on degraded organic matter, a food source that is continuously available throughout the year, because only small differences of sediment delta C-13 and the values for meiofauna were detected. The isotopic composition of consumers such as copepods and nematodes are a combination of geographical conditions and the organisms' position in the food web. Hence, the comparison of stable isotope values of deep-sea meiofauna over a wide geographical range yields basic information for detailed follow-up studies on Antarctic meiofauna foodwebs. (C) 2013 Elsevier Ltd. All rights reserved.</t>
  </si>
  <si>
    <t>[Veit-Koehler, Gritta] DZMB German Ctr Marine Biodivers Res, D-26382 Wilhelmshaven, Germany; [Guilini, Katja] Ghent Univ UGent, Dept Biol, Marine Biol Sect, B-9000 Ghent, Belgium; [Peeken, Ilka] Alfred Wegener Inst Polar &amp; Marine Res, D-27515 Bremerhaven, Germany; [Peeken, Ilka] MARUM Ctr Marine Environm Sci, D-28359 Bremen, Germany; [Quillfeldt, Petra] Univ Giessen, Dept Anim Ecol &amp; Systemat, D-35392 Giessen, Germany; [Mayr, Christoph] Univ Munich, GeoBioctr, D-80333 Munich, Germany; [Mayr, Christoph] Univ Munich, Dept Earth &amp; Environm Sci, D-80333 Munich, Germany</t>
  </si>
  <si>
    <t>Ghent University; Helmholtz Association; Alfred Wegener Institute, Helmholtz Centre for Polar &amp; Marine Research; University of Bremen; Justus Liebig University Giessen; University of Munich; University of Munich</t>
  </si>
  <si>
    <t>Quillfeldt, Petra/A-9549-2009</t>
  </si>
  <si>
    <t>Quillfeldt, Petra/0000-0002-4450-8688; Mayr, Christoph/0000-0001-9002-9963; Peeken, Ilka/0000-0003-1531-1664</t>
  </si>
  <si>
    <t>Census of Marine Life project CeDAMar; Census of Marine Life project CAML; Friedrich Wilhelm und Elise Marx-Stiftung; Paul Ungerer-Stiftung; Research Foundation - Flanders (FWO) [3G0346]; Special Research Fund (BOF, The relation between FUNction and biodiversity of Nematoda in the DEEP-sea (FUNDEEP)) [01114909]; Belgian Science Policy (Belspo, Biodiversity of three representative groups of the Antarctic Zoobenthos - Coping with Change (BIANZO II)) [SD/BA/02A]</t>
  </si>
  <si>
    <t>Census of Marine Life project CeDAMar; Census of Marine Life project CAML; Friedrich Wilhelm und Elise Marx-Stiftung; Paul Ungerer-Stiftung; Research Foundation - Flanders (FWO)(FWO); Special Research Fund (BOF, The relation between FUNction and biodiversity of Nematoda in the DEEP-sea (FUNDEEP)); Belgian Science Policy (Belspo, Biodiversity of three representative groups of the Antarctic Zoobenthos - Coping with Change (BIANZO II))</t>
  </si>
  <si>
    <t>We thank the crew and captain U. Pahl of RV Polarstern, the cruise leader Prof. Dr. Ulrich Bathmann and SYSTCO project leader Prof. Dr. Angelika Brandt for their help and support during the realization of the expedition ANT XXIV-2. The Census of Marine Life projects CeDAMar and CAML as well as Senckenberg am Meer - DZMB are thanked for financial and logistic support of the SYSTCO-team. Annika Hellmann (DZMB) was in charge of the SYSTCO-logistics and the multicorer deployments on board. At the DZMB in Wilhelmshaven Marco Bruhn, Katharina Bruch, and Daniela Hugo sorted the meiofauna. Dr. Silke Laakmann is thanked for fruitful discussions on stable isotopes. G. Veit-Kohler acknowledges a travel grant from the Friedrich Wilhelm und Elise Marx-Stiftung and the funding of a -80 degrees C freezer from the Paul Ungerer-Stiftung. K. Guilini acknowledges the Research Foundation - Flanders (FWO, Project Number 3G0346), the Special Research Fund (BOF, The relation between FUNction and biodiversity of Nematoda in the DEEP-sea (FUNDEEP), Project Number 01114909), and the Belgian Science Policy (Belspo, Biodiversity of three representative groups of the Antarctic Zoobenthos - Coping with Change (BIANZO II), research project SD/BA/02A). Three anonymous reviewers are thanked for their valuable comments, which improved the manuscript considerably. This is ANDEEP publication No. 175.</t>
  </si>
  <si>
    <t>1873-4472</t>
  </si>
  <si>
    <t>10.1016/j.pocean.2013.01.001</t>
  </si>
  <si>
    <t>WOS:000317169300006</t>
  </si>
  <si>
    <t>Guilini, K; Veit-Köhler, G; De Troch, M; Van Gansbeke, D; Vanreusel, A</t>
  </si>
  <si>
    <t>Guilini, Katja; Veit-Koehler, Gritta; De Troch, Marleen; Van Gansbeke, Dirk; Vanreusel, Ann</t>
  </si>
  <si>
    <t>Latitudinal and temporal variability in the community structure and fatty acid composition of deep-sea nematodes in the Southern Ocean</t>
  </si>
  <si>
    <t>PARTICULATE ORGANIC-MATTER; WEDDELL SEA; MEIOFAUNA COMMUNITIES; PHYTOPLANKTON BLOOM; NE ATLANTIC; QUANTITATIVE DISTRIBUTION; BENTHIC FORAMINIFERA; CALANUS-PROPINQUUS; METAZOAN MEIOFAUNA; ANTARCTIC COPEPODS</t>
  </si>
  <si>
    <t>This study describes and combines structural and functional aspects of deep-sea nematode assemblages from the Atlantic sector of the Southern Ocean. Samples were collected at six stations along the Prime Meridian (49-70 degrees S), including a repeated sampling after one and a half months interval at the Polar Front (52 degrees S), where meanwhile a seasonal phytoplankton bloom had settled. The aim was to gain insight in the latitudinal and temporal variability in nematode community structure and diet based on the generic composition and bulk fatty acid composition of the community, respectively. The results show that nematode assemblages along the transect differed relatively little and that they were all highly comparable to slope and abyssal communities elsewhere in the world in terms of nematode standing stock, diversity and composition. Nematode community composition was only weakly correlated with the community fatty acid composition, indicating that simply the occurrence of distinct genera or the proportion of nematode feeding types based on mouth morphology, cannot explain the variance in FA compositions of the communities. Moreover, the generally low FA content of nematodes suggests that they do not accumulate lipids for energy storage and that they may feed throughout the year on constantly available food sources. A year-round foraging activity could also explain the recorded lack of food uptake as a short-term response to the recently settled phytodetritus at the revisited Polar Front station. Nevertheless, the higher relative abundance of nematodes in the top centimeter layer of the sediment and the occurrence of the genus Leptolaimus only after phytodetritus had settled at the seafloor, suggests the recording of an early stage in a delayed response to the seasonal event. (C) 2013 Elsevier Ltd. All rights reserved.</t>
  </si>
  <si>
    <t>[Guilini, Katja; De Troch, Marleen; Van Gansbeke, Dirk; Vanreusel, Ann] Univ Ghent, Marine Biol Sect, Dept Biol, B-9000 Ghent, Belgium; [Veit-Koehler, Gritta] DZMB German Ctr Marine Biodivers Res, D-26382 Wilhelmshaven, Germany</t>
  </si>
  <si>
    <t>Ghent University</t>
  </si>
  <si>
    <t>Guilini, K (corresponding author), Univ Ghent, Marine Biol Sect, Dept Biol, Knjgslaan 281 Sterre 58, B-9000 Ghent, Belgium.</t>
  </si>
  <si>
    <t>Katja.Guilini@UGent.be</t>
  </si>
  <si>
    <t>De Troch, Marleen/AAB-9809-2019</t>
  </si>
  <si>
    <t>De Troch, Marleen/0000-0002-6800-0299</t>
  </si>
  <si>
    <t>Census of Marine Life project CeDAMar; Census of Marine Life project CAML; Senckenberg am Meer - DZMB; Research Foundation - Flanders (FWO) [3G0346]; Special Research Fund (BOF, The relation between FUNction and biodiversity of Nematoda in the DEEP-sea (FUNDEEP)) [01J14909]; Belgian Science Policy (Belspo, Biodiversity of three representative groups of the Antarctic Zoobenthos - Coping with Change (BIANZO II)) [SD/BA/02A]; Ghent University [BOF-GOA 01GA1911W]; Friedrich Wilhelm and Elise Marx Foundation</t>
  </si>
  <si>
    <t>Census of Marine Life project CeDAMar; Census of Marine Life project CAML; Senckenberg am Meer - DZMB; Research Foundation - Flanders (FWO)(FWO); Special Research Fund (BOF, The relation between FUNction and biodiversity of Nematoda in the DEEP-sea (FUNDEEP)); Belgian Science Policy (Belspo, Biodiversity of three representative groups of the Antarctic Zoobenthos - Coping with Change (BIANZO II)); Ghent University(Ghent University); Friedrich Wilhelm and Elise Marx Foundation</t>
  </si>
  <si>
    <t>We thank captain Uwe Pahl and his crew of RV Polarstern, the cruise leader Ulrich Bathmann and SYSTCO project leader Angelika Brandt for their help and support during the ANT XXIV-2 expedition. We acknowledge Annika Hellmann who was in charge of the SYSTCO-logistics and the multicorer deployments on board, Marco Bruhn who coordinated sample treatment and sorted the meiofauna, and Katharina Bruch and Daniela Hugo who helped with sample processing. Niels Viaene and Annick Van Kenhove are also greatly acknowledged for their help with glass slide preparation and nematode measurements. We thank the Flanders Marine Institute (VLIZ), in particular Nathalie De Hauwere, for generating the bathymetric maps. The Census of Marine Life projects CeDAMar and CAML as well as Senckenberg am Meer - DZMB are thanked for financial and logistical support of the SYSTCO-team. This study was realised with the financial support of the Research Foundation - Flanders (FWO, project number 3G0346), the Special Research Fund (BOF, The relation between FUNction and biodiversity of Nematoda in the DEEP-sea (FUNDEEP), project number 01J14909), the Belgian Science Policy (Belspo, Biodiversity of three representative groups of the Antarctic Zoobenthos - Coping with Change (BIANZO II), research project SD/BA/02A), Ghent University (BOF-GOA 01GA1911W), and the Friedrich Wilhelm and Elise Marx Foundation. We also thank the three anonymous referees for their detailed and constructive feedback. This is ANDEEP-SYSTCO publication # 176.</t>
  </si>
  <si>
    <t>10.1016/j.pocean.2013.01.002</t>
  </si>
  <si>
    <t>WOS:000317169300007</t>
  </si>
  <si>
    <t>Park, AK; Moon, JH; Jang, EH; Park, H; Ahn, IY; Lee, KS; Chi, YM</t>
  </si>
  <si>
    <t>Park, Ae Kyung; Moon, Jin Ho; Jang, Eun Hyuk; Park, Hyun; Ahn, In Young; Lee, Ki Seog; Chi, Young Min</t>
  </si>
  <si>
    <t>The structure of a shellfish specific GST class glutathione S-transferase from antarctic bivalve Laternula elliptica reveals novel active site architecture</t>
  </si>
  <si>
    <t>PROTEINS-STRUCTURE FUNCTION AND BIOINFORMATICS</t>
  </si>
  <si>
    <t>ETHACRYNIC-ACID; PI-CLASS; EXPRESSION; MUSSELS; BINDING; MODEL; BAY</t>
  </si>
  <si>
    <t>Glutathione-S-transferases have been identified in all the living species examined so far, yet little is known about their function in marine organisms. In a previous report, the recently identified GST from Antarctic bivalve Laternula elliptica (LeGST) was classified into the rho class GST, but there are several unique features of LeGST that may justify reclassification, which could represent specific shellfish GSTs. Here, we determined the crystal structure of LeGST, which is a shellfish specific class of GST. The structural analysis showed that the relatively open and wide hydrophobic H-site of the LeGST allows this GST to accommodate various substrates. These results suggest that the H-site of LeGST may be the result of adaptation to their environments as sedentary organisms. Proteins 2013. (C) 2012 Wiley Periodicals, Inc.</t>
  </si>
  <si>
    <t>[Park, Ae Kyung; Jang, Eun Hyuk; Chi, Young Min] Korea Univ, Div Biotechnol, Coll Life Sci, Seoul 136713, South Korea; [Moon, Jin Ho] Korea Univ, Inst Life Sci &amp; Nat Resources, Seoul 136713, South Korea; [Park, Hyun; Ahn, In Young] Korea Ocean Res &amp; Dev Inst, Korea Polar Res Inst, Inchon 406840, South Korea; [Lee, Ki Seog] Catholic Univ Pusan, Dept Clin Lab Sci, Coll Hlth Sci, Pusan 609757, South Korea</t>
  </si>
  <si>
    <t>Korea University; Korea University; Korea Polar Research Institute (KOPRI); Korea Institute of Ocean Science &amp; Technology (KIOST); Catholic University Pusan</t>
  </si>
  <si>
    <t>Lee, KS (corresponding author), Catholic Univ Pusan, Dept Clin Lab, Coll Hlth Sci, Pusan 609757, South Korea.</t>
  </si>
  <si>
    <t>kslee@cup.ac.kr; ezeg@korea.ac.kr</t>
  </si>
  <si>
    <t>Park, Hyun/0000-0002-8055-2010</t>
  </si>
  <si>
    <t>Korea Polar Research Institute (KOPRI) [PE10040]</t>
  </si>
  <si>
    <t>Korea Polar Research Institute (KOPRI)(Korea Polar Research Institute of Marine Research Placement (KOPRI))</t>
  </si>
  <si>
    <t>Grant sponsor: Korea Polar Research Institute (KOPRI); Grant number: PE10040.</t>
  </si>
  <si>
    <t>0887-3585</t>
  </si>
  <si>
    <t>1097-0134</t>
  </si>
  <si>
    <t>PROTEINS</t>
  </si>
  <si>
    <t>Proteins</t>
  </si>
  <si>
    <t>10.1002/prot.24208</t>
  </si>
  <si>
    <t>079OI</t>
  </si>
  <si>
    <t>WOS:000314179600017</t>
  </si>
  <si>
    <t>van Leeuwen, WJD; Hartfield, K; Miranda, M; Meza, FJ</t>
  </si>
  <si>
    <t>van Leeuwen, Willem J. D.; Hartfield, Kyle; Miranda, Marcelo; Meza, Francisco J.</t>
  </si>
  <si>
    <t>Trends and ENSO/AAO Driven Variability in NDVI Derived Productivity and Phenology alongside the Andes Mountains</t>
  </si>
  <si>
    <t>REMOTE SENSING</t>
  </si>
  <si>
    <t>NDVI; phenology; climate; MEI; AAO; time series; variability; trends; South America; Atacama; Chaco; Patagonia; Pampa</t>
  </si>
  <si>
    <t>DIFFERENCE VEGETATION INDEX; NET PRIMARY PRODUCTION; TIME-SERIES; SOUTH-AMERICA; LAND-SURFACE; SPOT-VEGETATION; MODIS; AVHRR; DYNAMICS; FOREST</t>
  </si>
  <si>
    <t>Increasing water use and droughts, along with climate variability and land use change, have seriously altered vegetation growth patterns and ecosystem response in several regions alongside the Andes Mountains. Thirty years of the new generation biweekly normalized difference vegetation index (NDVI3g) time series data show significant land cover specific trends and variability in annual productivity and land surface phenological response. Productivity is represented by the growing season mean NDVI values (July to June). Arid and semi-arid and sub humid vegetation types (Atacama desert, Chaco and Patagonia) across Argentina, northern Chile, northwest Uruguay and southeast Bolivia show negative trends in productivity, while some temperate forest and agricultural areas in Chile and sub humid and humid areas in Brazil, Bolivia and Peru show positive trends in productivity. The start (SOS) and length (LOS) of the growing season results show large variability and regional hot spots where later SOS often coincides with reduced productivity. A longer growing season is generally found for some locations in the south of Chile (sub-antarctic forest) and Argentina (Patagonia steppe), while central Argentina (Pampa-mixed grasslands and agriculture) has a shorter LOS. Some of the areas have significant shifts in SOS and LOS of one to several months. The seasonal Multivariate ENSO Indicator (MEI) and the Antarctic Oscillation (AAO) index have a significant impact on vegetation productivity and phenology in southeastern and northeastern Argentina (Patagonia and Pampa), central and southern Chile (mixed shrubland, temperate and sub-antarctic forest), and Paraguay (Chaco).</t>
  </si>
  <si>
    <t>[van Leeuwen, Willem J. D.; Hartfield, Kyle] Univ Arizona, Sch Nat Resources &amp; Environm, Off Arid Lands Studies, Arizona Remote Sensing Ctr, Tucson, AZ 85721 USA; [van Leeuwen, Willem J. D.] Univ Arizona, Sch Geog &amp; Dev, Tucson, AZ 85721 USA; [Miranda, Marcelo; Meza, Francisco J.] Pontificia Univ Catolica Chile, Dept Ecosistemas &amp; Medio Ambiente, Ctr Interdisciplinario Cambio Global, Santiago 7820436, Chile</t>
  </si>
  <si>
    <t>University of Arizona; University of Arizona; Pontificia Universidad Catolica de Chile</t>
  </si>
  <si>
    <t>van Leeuwen, WJD (corresponding author), Univ Arizona, Sch Nat Resources &amp; Environm, Off Arid Lands Studies, Arizona Remote Sensing Ctr, 1955 E 6th St, Tucson, AZ 85721 USA.</t>
  </si>
  <si>
    <t>leeuw@email.arizona.edu; kylehartfield@gmail.com; mmirands@uc.cl; fmeza@uc.cl</t>
  </si>
  <si>
    <t>Meza, Francisco J/F-9297-2014; van Leeuwen, Willem/ABB-6711-2020; Miranda, Marcelo/N-6462-2014</t>
  </si>
  <si>
    <t>van Leeuwen, Willem/0000-0002-3188-7172; Meza, Francisco/0000-0002-9853-227X; Miranda, Marcelo/0000-0002-8386-4888</t>
  </si>
  <si>
    <t>INNOVA CORFO [09CN14-5704]; NASA [NNH062DA001N MEaSURES]</t>
  </si>
  <si>
    <t>INNOVA CORFO; NASA(National Aeronautics &amp; Space Administration (NASA))</t>
  </si>
  <si>
    <t>This research was supported INNOVA CORFO through Grant 09CN14-5704 and NASA (NNH062DA001N MEaSURES). Additional thanks to the Global Inventory Mapping and Modeling Systems (GIMMS) Group at NASA Goddard Space Flight Center for providing the NDVI3g data. We appreciate the valuable suggestions and feedback from the five reviewers.</t>
  </si>
  <si>
    <t>2072-4292</t>
  </si>
  <si>
    <t>REMOTE SENS-BASEL</t>
  </si>
  <si>
    <t>Remote Sens.</t>
  </si>
  <si>
    <t>10.3390/rs5031177</t>
  </si>
  <si>
    <t>Environmental Sciences; Geosciences, Multidisciplinary; Remote Sensing; Imaging Science &amp; Photographic Technology</t>
  </si>
  <si>
    <t>Environmental Sciences &amp; Ecology; Geology; Remote Sensing; Imaging Science &amp; Photographic Technology</t>
  </si>
  <si>
    <t>112RY</t>
  </si>
  <si>
    <t>WOS:000316612000009</t>
  </si>
  <si>
    <t>Brook, EJ</t>
  </si>
  <si>
    <t>Brook, Edward J.</t>
  </si>
  <si>
    <t>Leads and Lags at the End of the Last Ice Age</t>
  </si>
  <si>
    <t>ANTARCTIC TEMPERATURE; ATMOSPHERIC CO2</t>
  </si>
  <si>
    <t>Oregon State Univ, Coll Earth Ocean &amp; Atmospher Sci, Corvallis, OR 97331 USA</t>
  </si>
  <si>
    <t>Brook, EJ (corresponding author), Oregon State Univ, Coll Earth Ocean &amp; Atmospher Sci, Corvallis, OR 97331 USA.</t>
  </si>
  <si>
    <t>brooke@geo.oregonstate.edu</t>
  </si>
  <si>
    <t>Brook, Edward/AAB-7807-2021</t>
  </si>
  <si>
    <t>10.1126/science.1234239</t>
  </si>
  <si>
    <t>097CQ</t>
  </si>
  <si>
    <t>WOS:000315452000029</t>
  </si>
  <si>
    <t>Parrenin, F; Masson-Delmotte, V; Köhler, P; Raynaud, D; Paillard, D; Schwander, J; Barbante, C; Landais, A; Wegner, A; Jouzel, J</t>
  </si>
  <si>
    <t>Parrenin, F.; Masson-Delmotte, V.; Koehler, P.; Raynaud, D.; Paillard, D.; Schwander, J.; Barbante, C.; Landais, A.; Wegner, A.; Jouzel, J.</t>
  </si>
  <si>
    <t>Synchronous Change of Atmospheric CO2 and Antarctic Temperature During the Last Deglacial Warming</t>
  </si>
  <si>
    <t>ABRUPT CLIMATE-CHANGE; EPICA DOME-C; POLAR ICE; FIRN; AIR; CONSTRAINTS; DELTA-N-15; DIFFERENCE; GREENLAND; CORES</t>
  </si>
  <si>
    <t>Understanding the role of atmospheric CO2 during past climate changes requires clear knowledge of how it varies in time relative to temperature. Antarctic ice cores preserve highly resolved records of atmospheric CO2 and Antarctic temperature for the past 800,000 years. Here we propose a revised relative age scale for the concentration of atmospheric CO2 and Antarctic temperature for the last deglacial warming, using data from five Antarctic ice cores. We infer the phasing between CO2 concentration and Antarctic temperature at four times when their trends change abruptly. We find no significant asynchrony between them, indicating that Antarctic temperature did not begin to rise hundreds of years before the concentration of atmospheric CO2, as has been suggested by earlier studies.</t>
  </si>
  <si>
    <t>[Parrenin, F.; Raynaud, D.] Lab Glaciol &amp; Geophys Environm CNRS UJF, Grenoble, France; [Masson-Delmotte, V.; Paillard, D.; Landais, A.; Jouzel, J.] Lab Sci Climat &amp; Environm CEA CNRS UVSQ IPSL, Gif Sur Yvette, France; [Koehler, P.; Wegner, A.] Alfred Wegener Inst Polar &amp; Marine Res, Bremerhaven, Germany; [Schwander, J.] Univ Bern, Inst Phys, Bern, Switzerland; [Barbante, C.] Univ Venice, Dept Environm Sci, I-30123 Venice, Italy; [Barbante, C.] Univ Venice, Inst Dynam Environm Proc CNR, I-30123 Venice, Italy</t>
  </si>
  <si>
    <t>Centre National de la Recherche Scientifique (CNRS); Communaute Universite Grenoble Alpes; Universite Grenoble Alpes (UGA); Universite Paris Saclay; CEA; Centre National de la Recherche Scientifique (CNRS); Helmholtz Association; Alfred Wegener Institute, Helmholtz Centre for Polar &amp; Marine Research; University of Bern; Universita Ca Foscari Venezia; Consiglio Nazionale delle Ricerche (CNR); Istituto per la Dinamica dei Processi Ambientali (IDPA-CNR); Universita Ca Foscari Venezia</t>
  </si>
  <si>
    <t>Parrenin, F (corresponding author), Lab Glaciol &amp; Geophys Environm CNRS UJF, Grenoble, France.</t>
  </si>
  <si>
    <t>parrenin@ujf-grenoble.fr</t>
  </si>
  <si>
    <t>Köhler, Peter/F-7293-2010; Barbante, Carlo/B-3195-2011; Parrenin, Frédéric/H-3054-2014; Masson-Delmotte, Valerie L/G-1995-2011; raynaud, dominique/ABG-4718-2020; Raynaud, Dominique/H-9626-2016; Paillard, Didier/G-4776-2012</t>
  </si>
  <si>
    <t>Köhler, Peter/0000-0003-0904-8484; Parrenin, Frédéric/0000-0002-9489-3991; Masson-Delmotte, Valerie L/0000-0001-8296-381X; Barbante, Carlo/0000-0003-4177-2288; Paillard, Didier/0000-0002-9995-2794; LANDAIS, Amaelle/0000-0002-5620-5465</t>
  </si>
  <si>
    <t>French Agence Nationale de la Recherche [ANR-07-BLAN-0125, ANR-09-SYSC-001]; European Union; Agence Nationale de la Recherche (ANR) [ANR-07-BLAN-0125] Funding Source: Agence Nationale de la Recherche (ANR)</t>
  </si>
  <si>
    <t>French Agence Nationale de la Recherche(Agence Nationale de la Recherche (ANR)); European Union(European Union (EU)); Agence Nationale de la Recherche (ANR)(Agence Nationale de la Recherche (ANR))</t>
  </si>
  <si>
    <t>We thank O. Watanabe, B. Stenni, and EPICA community members for giving access to, respectively, the DF1, TALDICE, and EDML isotopic data; L. Loulergue, D. Buiron, and T. Blunier for giving access to, respectively, the EDC-EDML, TALDICE, and GRIP CH4 data; G. Dreyfus for giving access to the delta15N isotopic data; and G. Delaygue, J. Chappellaz, S. Barker, and A. Ganopolski for helpful discussions. This work greatly benefited from constructive comments by two anonymous reviewers. This work had support from the French Agence Nationale de la Recherche (project ANR-07-BLAN-0125 Dome A and ANR-09-SYSC-001 ADAGE). This work is a contribution to EPICA, a joint European Science Foundation/European Commission scientific program, funded by the European Union and by national contributions from Belgium, Denmark, France, Germany, Italy, the Netherlands, Norway, Sweden, Switzerland, and the United Kingdom. Main logistical support was provided by the Institut Paul Emile Victor and the Programma Nazionale Ricerche in Antartide at Dome C. We thank the technical teams in the field and at the different laboratories. This is EPICA publication no. 291.</t>
  </si>
  <si>
    <t>10.1126/science.1226368</t>
  </si>
  <si>
    <t>WOS:000315452000037</t>
  </si>
  <si>
    <t>Treasure, AM; Moloney, CL; Bester, MN; McQuaid, CD; Findlay, KP; Best, PB; Cowan, DA; de Bruyn, PJN; Dorrington, RA; Fagereng, A; Froneman, PW; Grantham, GH; Hunt, BPV; Meiklejohn, KI; Pakhomov, EA; Roychoudhury, AN; Ryan, PG; Smith, VR; Chown, SL; Ansorge, IJ</t>
  </si>
  <si>
    <t>Treasure, Anne M.; Moloney, Coleen L.; Bester, Marthan N.; McQuaid, Christopher D.; Findlay, Ken P.; Best, Peter B.; Cowan, Don A.; de Bruyn, P. J. Nico; Dorrington, Rosemary A.; Fagereng, Ake; Froneman, P. William; Grantham, Geoff H.; Hunt, Brian P. V.; Meiklejohn, K. Ian; Pakhomov, Evgeny A.; Roychoudhury, Alakendra N.; Ryan, Peter G.; Smith, Valdon R.; Chown, Steven L.; Ansorge, Isabelle J.</t>
  </si>
  <si>
    <t>South African research in the Southern Ocean: New opportunities but serious challenges</t>
  </si>
  <si>
    <t>SOUTH AFRICAN JOURNAL OF SCIENCE</t>
  </si>
  <si>
    <t>Southern Ocean; research; NRF; DST; SANAP</t>
  </si>
  <si>
    <t>South Africa has a long track record in Southern Ocean and Antarctic research and has recently invested considerable funds in acquiring new infrastructure for ongoing support of this research. This infrastructure includes a new base at Marion Island and a purpose-built ice capable research vessel, which greatly expand research opportunities. Despite this investment, South Africa's standing as a participant in this critical field is threatened by confusion, lack of funding, lack of consultation and lack of transparency. The research endeavour is presently bedevilled by political manoeuvring among groups with divergent interests that too often have little to do with science, while past and present contributors of research are excluded from discussions that aim to formulate research strategy. This state of affairs is detrimental to the country's aims of developing a leadership role in climate change and Antarctic research and squanders both financial and human capital.</t>
  </si>
  <si>
    <t>[Treasure, Anne M.; Ansorge, Isabelle J.] Univ Cape Town, Dept Oceanog, ZA-7925 Cape Town, South Africa; [Treasure, Anne M.; Moloney, Coleen L.; Ansorge, Isabelle J.] Univ Cape Town, Marine Res Inst Ma Re, ZA-7925 Cape Town, South Africa; [Moloney, Coleen L.] Univ Cape Town, Dept Zool, ZA-7925 Cape Town, South Africa; [Bester, Marthan N.; Findlay, Ken P.; Best, Peter B.; de Bruyn, P. J. Nico] Univ Pretoria, Mammal Res Inst, Dept Zool &amp; Entomol, ZA-0002 Pretoria, South Africa; [McQuaid, Christopher D.; Froneman, P. William] Rhodes Univ, Dept Zool &amp; Entomol, Southern Ocean Grp, ZA-6140 Grahamstown, South Africa; [Cowan, Don A.] Univ Pretoria, Dept Genet, ZA-0002 Pretoria, South Africa; [Dorrington, Rosemary A.] Rhodes Univ, Dept Biochem Microbiol &amp; Biotechnol, ZA-6140 Grahamstown, South Africa; [Fagereng, Ake] Univ Cape Town, Dept Geol Sci, ZA-7925 Cape Town, South Africa; [Grantham, Geoff H.] Council Geosci, Pretoria, South Africa; [Hunt, Brian P. V.; Pakhomov, Evgeny A.] Univ British Columbia, Dept Earth Ocean &amp; Atmospher Sci, Vancouver, BC V5Z 1M9, Canada; [Meiklejohn, K. Ian] Rhodes Univ, Dept Geog, ZA-6140 Grahamstown, South Africa; [Roychoudhury, Alakendra N.] Univ Stellenbosch, Dept Earth Sci, ZA-7600 Stellenbosch, South Africa; [Ryan, Peter G.] Univ Cape Town, Percy Fitzpatrick Inst African Ornithol, ZA-7925 Cape Town, South Africa; [Smith, Valdon R.; Chown, Steven L.] Univ Stellenbosch, Dept Bot &amp; Zool, ZA-7600 Stellenbosch, South Africa</t>
  </si>
  <si>
    <t>University of Cape Town; University of Cape Town; University of Cape Town; University of Pretoria; Rhodes University; University of Pretoria; Rhodes University; University of Cape Town; University of British Columbia; Rhodes University; Stellenbosch University; University of Cape Town; Stellenbosch University</t>
  </si>
  <si>
    <t>Treasure, AM (corresponding author), Univ Cape Town, Dept Oceanog, ZA-7701 Rondebosch, South Africa.</t>
  </si>
  <si>
    <t>anne.m.treasure@gmail.com</t>
  </si>
  <si>
    <t>Fagereng, Ake/ABF-4652-2020; ANSORGE, ISABELLE/AAY-7396-2020; Meiklejohn, Ian/F-3183-2012; McQuaid, Christopher/AAT-3725-2020; Fagereng, Ake/B-4585-2008; Moloney, Coleen/B-4363-2009; de Bruyn, P. J. Nico/E-4176-2010; Froneman, William/GLS-0460-2022; Chown, Steven L/H-3347-2011; Chown, Steven/ABD-7646-2021; Bester, Marthán N/E-5387-2010; Froneman, William/C-9085-2012; Cowan, Donald A/E-3991-2012; Grantham, Geoffrey/M-8637-2014; Findlay, Ken/A-5766-2019</t>
  </si>
  <si>
    <t>Fagereng, Ake/0000-0001-6335-8534; Meiklejohn, Ian/0000-0001-8890-2938; McQuaid, Christopher/0000-0002-3473-8308; Fagereng, Ake/0000-0001-6335-8534; Moloney, Coleen/0000-0001-6663-8814; de Bruyn, P. J. Nico/0000-0002-9114-9569; Froneman, William/0000-0003-0615-1355; Cowan, Donald A/0000-0001-8059-861X; Ansorge, Isabelle/0000-0001-7071-8147; Roychoudhury, Alakendra/0000-0002-5627-8891; Treasure, Anne/0000-0002-8345-4811; Ryan, Peter/0000-0002-3356-2056; Grantham, Geoffrey/0000-0001-9862-0547; Findlay, Ken/0000-0001-7154-8805</t>
  </si>
  <si>
    <t>ACAD SCIENCE SOUTH AFRICA A S S AF</t>
  </si>
  <si>
    <t>LYNWOOD RIDGE</t>
  </si>
  <si>
    <t>PO BOX 72135, LYNWOOD RIDGE 0040, SOUTH AFRICA</t>
  </si>
  <si>
    <t>0038-2353</t>
  </si>
  <si>
    <t>S AFR J SCI</t>
  </si>
  <si>
    <t>S. Afr. J. Sci.</t>
  </si>
  <si>
    <t>a009</t>
  </si>
  <si>
    <t>10.1590/sajs.2013/a009</t>
  </si>
  <si>
    <t>203LS</t>
  </si>
  <si>
    <t>WOS:000323295300002</t>
  </si>
  <si>
    <t>Otto, C; Shemenski, R; Scott, JM; Hartshorn, J; Bishop, S; Viegas, S</t>
  </si>
  <si>
    <t>Otto, Christian; Shemenski, Ron; Scott, Jessica M.; Hartshorn, Jeanette; Bishop, Sheryl; Viegas, Steven</t>
  </si>
  <si>
    <t>Evaluation of Tele-ultrasound as a Tool in Remote Diagnosis and Clinical Management at the Amundsen-Scott South Pole Station and the McMurdo Research Station</t>
  </si>
  <si>
    <t>TELEMEDICINE AND E-HEALTH</t>
  </si>
  <si>
    <t>telemedicine; telehealth; technology</t>
  </si>
  <si>
    <t>MACH 20; TECHNOLOGY</t>
  </si>
  <si>
    <t>Background: A large number of Antarctic stations do not utilize ultrasound for medical care. Regular use of ultrasound imaging at South Pole and McMurdo Stations first began in October 2002. To date, there has been no evaluation of medical events requiring ultrasound examination from this remote environment. Additionally, the importance of tele-ultrasound for clinical management in Antarctica has not yet been assessed. We therefore conducted a retrospective analysis of all ultrasound exams performed at South Pole and McMurdo Stations between October 2002 and October 2003. Subjects and Methods: Radiology reports and patient charts were reviewed for pre- and post-ultrasound diagnosis and treatment. Results: Sixty-six ultrasound exams were conducted on 49 patients. Of the exams, 94.0% were interpreted by the store-and-forward method, whereas 6.0% were interpreted in real-time format. Abdominal, genitourinary, and gynecology ultrasound exams accounted for 63.6% of exams. Ultrasound examination prevented an intercontinental aeromedical evacuation in 25.8% of cases, and had a significant effect on the diagnosis and management of illness in patients at South Pole and McMurdo research stations. Conclusions: These findings indicate that diagnostic ultrasound has significant benefits for medical care at Antarctic stations and that tele-ultrasound is a valuable addition to remote medical care for isolated populations with limited access to tertiary-healthcare facilities.</t>
  </si>
  <si>
    <t>[Otto, Christian] Univ Texas Med Branch, Grad Sch Biomed Sci, Galveston, TX 77555 USA; [Otto, Christian; Scott, Jessica M.] Univ Space Res Assoc, Houston, TX 77058 USA; [Otto, Christian] Baylor Coll Med, Sect Emergency Med, Houston, TX 77030 USA; [Shemenski, Ron] Portage River Locums LLC, Oak Harbor, OH USA; [Hartshorn, Jeanette] Univ Texas Med Branch, Dept Neurol, Galveston, TX 77555 USA; [Bishop, Sheryl] Univ Texas Med Branch, Sch Nursing, Galveston, TX 77555 USA; [Viegas, Steven] Adv Orthopaed &amp; Sports Med, Houston, TX USA</t>
  </si>
  <si>
    <t>University of Texas System; University of Texas Medical Branch Galveston; Universities Space Research Association (USRA); Baylor College of Medicine; University of Texas System; University of Texas Medical Branch Galveston; University of Texas System; University of Texas Medical Branch Galveston</t>
  </si>
  <si>
    <t>Otto, C (corresponding author), Univ Space Res Assoc, 3600 Bay Area Blvd, Houston, TX 77058 USA.</t>
  </si>
  <si>
    <t>otto@dsls.usra.edu</t>
  </si>
  <si>
    <t>Scott, Jessica/0000-0002-4845-5800</t>
  </si>
  <si>
    <t>1530-5627</t>
  </si>
  <si>
    <t>1556-3669</t>
  </si>
  <si>
    <t>TELEMED E-HEALTH</t>
  </si>
  <si>
    <t>Telemed. e-Health</t>
  </si>
  <si>
    <t>10.1089/tmj.2012.0111</t>
  </si>
  <si>
    <t>Health Care Sciences &amp; Services</t>
  </si>
  <si>
    <t>105ID</t>
  </si>
  <si>
    <t>WOS:000316059300008</t>
  </si>
  <si>
    <t>Eilertsen, MH; Malaquias, MAE</t>
  </si>
  <si>
    <t>Eilertsen, Mari H.; Malaquias, Manuel Antonio E.</t>
  </si>
  <si>
    <t>Systematic revision of the genus Scaphander (Gastropoda, Cephalaspidea) in the Atlantic Ocean, with a molecular phylogenetic hypothesis</t>
  </si>
  <si>
    <t>ZOOLOGICAL JOURNAL OF THE LINNEAN SOCIETY</t>
  </si>
  <si>
    <t>Atlantic Ocean; biogeography; Cephalaspidea; deep-sea; Gastropoda; phylogeny; Scaphander; systematics</t>
  </si>
  <si>
    <t>EUTHYNEURAN GASTROPODS; DEEP-SEA; OPISTHOBRANCHIA; MOLLUSCA; EVOLUTION; PLATYHELMINTHES; CLASSIFICATION; LIGNARIUS; INFERENCE; DIVERSE</t>
  </si>
  <si>
    <t>The genus Scaphander (Gastropoda, Cephalaspidea) is a group of predominantly deep-sea, soft-bottom snails with extant species distributed worldwide from the Arctic to the Antarctic. There are approximately 45 species described worldwide, of which about 18 are considered to be valid. The systematics of Scaphander has traditionally been shell-based, but shell characters often show high intraspecific variability, and this led to a high number of nominal names available of unclear taxonomic status. The main objectives of this article are to revise the systematics of the Atlantic species of Scaphander, and to produce an identification key and a molecular phylogeny to aid with species delimitation. The validity of species was assessed following an integrative approach combining the study of type material and original descriptions, shells, morpho-anatomical characters, and molecular phylogenetics. Anatomical structures were documented by drawings, macro-photography, and scanning electron microscopy (SEM). Two mitochondrial (COI and 16SrRNA) and one nuclear (28SrRNA) genes were sequenced, and Bayesian molecular phylogenetic hypotheses were produced. Representatives of the Cephalaspidean genera Bulla and Haminoea were included to test the monophyly of Scaphander. Eight species of Scaphander were recognized in the Atlantic Ocean. Three species are restricted to the western Atlantic (Scaphander clavus, Scaphander darius, and Scaphander watsoni), one is distributed only in the eastern Atlantic (Scaphander lignarius), one is endemic to the Azores (Scaphander gracilis; this species is only known from shells), and three have amphi-Atlantic distributions (Scaphander bathymophilus, Scaphander nobilis, and Scaphander punctostriatus). Shell characters and the morphology of the male reproductive system were found to be the best diagnostic characters for species recognition. The molecular phylogeny confirms the monophyly of Scaphander, and is largely congruent with species delimitation based on morpho-anatomical characters.(c) 2013 The Linnean Society of London, Zoological Journal of the Linnean Society, 2013, 167, 389-429. doi: 10.1111/zoj.12013</t>
  </si>
  <si>
    <t>[Eilertsen, Mari H.; Malaquias, Manuel Antonio E.] Univ Bergen, Univ Museum Bergen, Phylogenet Systemat &amp; Evolut Res Grp, N-5020 Bergen, Norway</t>
  </si>
  <si>
    <t>University of Bergen</t>
  </si>
  <si>
    <t>Malaquias, MAE (corresponding author), Univ Bergen, Univ Museum Bergen, Phylogenet Systemat &amp; Evolut Res Grp, PB 7800, N-5020 Bergen, Norway.</t>
  </si>
  <si>
    <t>manuel.malaquias@um.uib.no</t>
  </si>
  <si>
    <t>Malaquias, Manuel/N-2450-2019; Eilertsen, Mari Heggernes/N-1026-2013; Eilertsen, Mari Heggernes/J-2505-2019</t>
  </si>
  <si>
    <t>Malaquias, Manuel/0000-0002-9668-945X; Eilertsen, Mari Heggernes/0000-0002-7904-3104</t>
  </si>
  <si>
    <t>Artsdatabanken [56-10, 70184219]; Meltzer Foundation</t>
  </si>
  <si>
    <t>Artsdatabanken; Meltzer Foundation</t>
  </si>
  <si>
    <t>This work was funded by Artsdatabanken (project number: 56-10, prosjekt 70184219) and a student grant from the Meltzer Foundation awarded to the first author, and also benefited from material collected by the Norwegian National programme MAREANO.</t>
  </si>
  <si>
    <t>0024-4082</t>
  </si>
  <si>
    <t>ZOOL J LINN SOC-LOND</t>
  </si>
  <si>
    <t>Zool. J. Linn. Soc.</t>
  </si>
  <si>
    <t>10.1111/zoj.12013</t>
  </si>
  <si>
    <t>114NX</t>
  </si>
  <si>
    <t>WOS:000316749600003</t>
  </si>
  <si>
    <t>Wu, JJ; Liang, C; Han, JX; Hu, ZJ; Huang, DH; Hu, HQ; Fang, Y; Jiao, LC</t>
  </si>
  <si>
    <t>Wu, Jiaji; Liang, Chong; Han, Jianxiang; Hu, Zejun; Huang, Dehong; Hu, Hongqiao; Fang, Yong; Jiao, Licheng</t>
  </si>
  <si>
    <t>A two-stage lossless compression algorithm for aurora image using weighted motion compensation and context-based model</t>
  </si>
  <si>
    <t>OPTICS COMMUNICATIONS</t>
  </si>
  <si>
    <t>Aurora image; Lossless compression; Motion compensation; Context-based prediction</t>
  </si>
  <si>
    <t>VIDEO</t>
  </si>
  <si>
    <t>Addressing the transmission and storage problems of aurora images that Arctic Yellow River Station of China faces, the present paper proposes a two-stage lossless compression algorithm based on weighted motion compensation and context-based modeling. As no specialized compression algorithms for aurora images are available, proposing a new algorithm that offers a satisfactory lossless compression performance for aurora images is necessary. The proposed algorithm utilizes the weighted motion compensation to obtain the motion vector based on the unusual movement characteristics of aurora images. Subsequently, the context-based model is combined with the motion vector. Experimental results indicated that the proposed algorithm outperformed the state-of-the-art lossless compression methods. (c) 2012 Elsevier B.V. All rights reserved.</t>
  </si>
  <si>
    <t>[Wu, Jiaji; Liang, Chong; Han, Jianxiang; Jiao, Licheng] Xidian Univ, Minist Educ China, Key Lab Intelligent Percept &amp; Image Understanding, Xian 710071, Peoples R China; [Hu, Zejun; Huang, Dehong; Hu, Hongqiao] Polar Res Inst China, SOA Key Lab Polar Sci, Shanghai 200136, Peoples R China; [Fang, Yong] NW A&amp;F Univ, Coll Informat Engn, Yangling 712100, Shaanxi, Peoples R China</t>
  </si>
  <si>
    <t>Xidian University; Polar Research Institute of China; Northwest A&amp;F University - China</t>
  </si>
  <si>
    <t>Wu, JJ (corresponding author), Xidian Univ, Minist Educ China, Key Lab Intelligent Percept &amp; Image Understanding, Xian 710071, Peoples R China.</t>
  </si>
  <si>
    <t>wujj@mail.xidian.edu.cn; huzejun@pric.gov.cn</t>
  </si>
  <si>
    <t>Jiao, Licheng/JOZ-0842-2023; Hu, Ze-Jun/X-8090-2019</t>
  </si>
  <si>
    <t>Jiao, Licheng/0000-0003-3354-9617; Hu, Ze-Jun/0000-0003-2448-2094</t>
  </si>
  <si>
    <t>National Natural Science Foundation of China [61077009, 41031064, 61001100, 61001206]; Fundamental Research Funds for the Central Universities [K50510020002]; Ocean Public Welfare Scientific Research Project, State Oceanic Administration People's Republic of China [201005017]</t>
  </si>
  <si>
    <t>National Natural Science Foundation of China(National Natural Science Foundation of China (NSFC)); Fundamental Research Funds for the Central Universities(Fundamental Research Funds for the Central Universities); Ocean Public Welfare Scientific Research Project, State Oceanic Administration People's Republic of China</t>
  </si>
  <si>
    <t>This work is supported by National Natural Science Foundation of China (nos.61077009, 41031064, 61001100, and 61001206), the Fundamental Research Funds for the Central Universities (K50510020002) and the Ocean Public Welfare Scientific Research Project, State Oceanic Administration People's Republic of China (no.201005017). Data issued by the Data-sharing Platform of Polar Science (http://www.chinare.org.cn) maintained by Polar Research Institute of China (PRIC) and Chinese National Arctic and Antarctic Data Center (CN-NADC).</t>
  </si>
  <si>
    <t>0030-4018</t>
  </si>
  <si>
    <t>1873-0310</t>
  </si>
  <si>
    <t>OPT COMMUN</t>
  </si>
  <si>
    <t>Opt. Commun.</t>
  </si>
  <si>
    <t>10.1016/j.optcom.2012.10.012</t>
  </si>
  <si>
    <t>Optics</t>
  </si>
  <si>
    <t>058DC</t>
  </si>
  <si>
    <t>WOS:000312613300004</t>
  </si>
  <si>
    <t>Caramés, A; Concheyro, A</t>
  </si>
  <si>
    <t>Carames, Andrea; Concheyro, Andrea</t>
  </si>
  <si>
    <t>LATE CENOZOIC FORAMINIFERA FROM DIAMICTITES OF CAPE LAMB, VEGA ISLAND, ANTARCTIC PENINSULA</t>
  </si>
  <si>
    <t>AMEGHINIANA</t>
  </si>
  <si>
    <t>Foraminifera; Diamictite; James Ross Island Basin; Late Cenozoic; Antarctica</t>
  </si>
  <si>
    <t>JAMES-ROSS-ISLAND; BENTHIC FORAMINIFERA; INTERGLACIAL EVENTS; ICE-SHEET; PLIOCENE; MIOCENE; SEA; OLIGOCENE; DEPOSITS; SEDIMENTOLOGY</t>
  </si>
  <si>
    <t>Foraminiferal assemblages recovered from Cape Lamb sediments on Vega Island are examined and illustrated herein. The foraminifera were discovered in Cenozoic debris and palagonitic breccia lithofacies that crop out at the southwestern tip of Cape Lamb. Among all the Cenozoic diamictite deposits recognized in this island, the studied sediments are the youngest and the most fossiliferous. Pectinids, brachiopods, and microfaunas are exceptionally well preserved and indicate little or no transport. The foraminiferal assemblage is dominated by infaunal species, with the most abundant including Globocassidulina biora, Cribroelphidium sp. aff. E. excavatum, and Cassidulinoides parkerianus, and the epifaunal Cibicides refulgens. These foraminifera suggest a normal inner shelf marine environment. Microfossils and macrofauna, stratigraphical evidence observed in the field and published isotopic ages from the nearby Cape Lamb suggest a Pleistocene age for this deposit.</t>
  </si>
  <si>
    <t>[Carames, Andrea; Concheyro, Andrea] IDEAN Consejo Nacl Invest Cient &amp; Tecn, Buenos Aires, DF, Argentina; [Concheyro, Andrea] Univ Buenos Aires, Fac Ciencias Exactas &amp; Nat, Dept Ciencias Geol, RA-1428 Buenos Aires, DF, Argentina; [Concheyro, Andrea] Inst Antartico Argentino, Buenos Aires, DF, Argentina</t>
  </si>
  <si>
    <t>Caramés, A (corresponding author), IDEAN Consejo Nacl Invest Cient &amp; Tecn, Buenos Aires, DF, Argentina.</t>
  </si>
  <si>
    <t>carames@gl.fcen.uba.ar; andrea@gl.fcen.uba.ar</t>
  </si>
  <si>
    <t>ANPCYT-PICTO-Antartida [07-36166]; PICTO DNA [2010-00112]</t>
  </si>
  <si>
    <t>ANPCYT-PICTO-Antartida; PICTO DNA</t>
  </si>
  <si>
    <t>This paper is contribution number R-63 of the Instituto de Estudios Andinos 'Don Pablo Groeber' (IDEAN). This work was supported by grant ANPCYT-PICTO-Antartida 07-36166 and PICTO DNA 2010-00112</t>
  </si>
  <si>
    <t>ASOCIACION PALEONTOLOGICA ARGENTINA</t>
  </si>
  <si>
    <t>BUENOS AIRES</t>
  </si>
  <si>
    <t>MAIPU 645, 1ER PISO, 1006 BUENOS AIRES, ARGENTINA</t>
  </si>
  <si>
    <t>0002-7014</t>
  </si>
  <si>
    <t>1851-8044</t>
  </si>
  <si>
    <t>Ameghiniana</t>
  </si>
  <si>
    <t>FEB 28</t>
  </si>
  <si>
    <t>10.5710/AMGH.7.2.2013.588</t>
  </si>
  <si>
    <t>193JF</t>
  </si>
  <si>
    <t>WOS:000322555400007</t>
  </si>
  <si>
    <t>Grilli, R; Legrand, M; Kukui, A; Méjean, G; Preunkert, S; Romanini, D</t>
  </si>
  <si>
    <t>Grilli, Roberto; Legrand, Michel; Kukui, Alexandre; Mejean, Guillaume; Preunkert, Suzanne; Romanini, Daniele</t>
  </si>
  <si>
    <t>First investigations of IO, BrO, and NO2 summer atmospheric levels at a coastal East Antarctic site using mode-locked cavity enhanced absorption spectroscopy</t>
  </si>
  <si>
    <t>DUMONT DURVILLE; SULFUR; OH</t>
  </si>
  <si>
    <t>IO, BrO, and NO2 were measured for the first time at Dumont d'Urville (East Antarctic coast) during summer 2011/2012 by using a near-UV-Visible laser spectrometer based on mode-locked cavity-enhanced absorption spectroscopy. IO mixing ratios ranged from the 2 sigma detection limit (0.04 pptv) up to 0.15 pptv. BrO remained close or below the detection limit (2 pptv) of the instrument. Daily averaged NO2 values ranged between the detection limit (10 pptv) and 60 pptv being far higher than levels of a few pptv commonly observed in the remote marine boundary layer. Data are discussed and compared with those available for another coastal Antarctic station (Halley, West Antarctica). It is shown that the oxidative capacity of the atmospheric boundary layer at coastal Antarctic sites is quite different in nature from West to East Antarctica, with the halogen chemistry being promoted at West and the OH chemistry at East. Citation: Grilli, R., M. Legrand, A. Kukui, G. Mejean, S. Preunkert, and D. Romanini (2013), First investigations of IO, BrO, and NO2 summer atmospheric levels at a coastal East Antarctic site using mode-locked cavity enhanced absorption spectroscopy, Geophys. Res. Lett., 40, 791-796, doi: 10.1002/grl.50154.</t>
  </si>
  <si>
    <t>[Grilli, Roberto; Mejean, Guillaume; Romanini, Daniele] UJF Grenoble 1, CNRS, LIPhy UMR 5588, Grenoble, France; [Legrand, Michel; Preunkert, Suzanne] UJF Grenoble 1, CNRS, Lab Glaciol &amp; Geophys Environm LGGE UMR 5183, Grenoble, France; [Kukui, Alexandre] Lab Atmospheres Milieux Observat Spatiales LATMOS, Paris, France; [Kukui, Alexandre] Lab Phys &amp; Chim Environm &amp; Espace LPC2E UMR CNRS, Orleans, France</t>
  </si>
  <si>
    <t>Communaute Universite Grenoble Alpes; Universite Grenoble Alpes (UGA); Centre National de la Recherche Scientifique (CNRS); CNRS - Institute of Physics (INP); Communaute Universite Grenoble Alpes; Universite Grenoble Alpes (UGA); Centre National de la Recherche Scientifique (CNRS); Sorbonne Universite; Universite Paris Saclay; Centre National de la Recherche Scientifique (CNRS)</t>
  </si>
  <si>
    <t>Legrand, M (corresponding author), Univ Grenoble 1, Lab Glaciol &amp; Geophys Environm, CNRS, 54 Rue Molieres,BP 96, F-38402 St Martin Dheres, France.</t>
  </si>
  <si>
    <t>legrand@lgge.obs.ujf-grenoble.fr</t>
  </si>
  <si>
    <t>Legrand, Michel/AAU-4678-2020; Kukui, Alexandre/K-6643-2012</t>
  </si>
  <si>
    <t>Grilli, Roberto/0000-0001-5636-264X; Kukui, Alexandre/0000-0002-3657-0414</t>
  </si>
  <si>
    <t>ANR (Agence National de Recherche) [ANR-09-BLAN-0016, ANR-09-BLAN-0226]; Institut Polaire Francais-Paul Emile Victor (IPEV) [414]; Agence Nationale de la Recherche (ANR) [ANR-09-BLAN-0226, ANR-09-BLAN-0016] Funding Source: Agence Nationale de la Recherche (ANR)</t>
  </si>
  <si>
    <t>ANR (Agence National de Recherche)(Agence Nationale de la Recherche (ANR)); Institut Polaire Francais-Paul Emile Victor (IPEV); Agence Nationale de la Recherche (ANR)(Agence Nationale de la Recherche (ANR))</t>
  </si>
  <si>
    <t>This work was funded by the ANR (Agence National de Recherche) contract ANR-09-BLAN-0016 (project MoCaMAR) and ANR-09-BLAN-0226 (project OPALE). National financial support and field logistic supplies for the summer campaign were provided by Institut Polaire Francais-Paul Emile Victor (IPEV) within program 414. We thank Meteo France who provides us meteorological data and the two anonymous reviewers for their helpful comments. The authors gratefully acknowledge the NOAA Air Resources Laboratory (ARL) for the provision of the HYSPLIT transport and dispersion model used in this publication. Thanks to the Physical Sciences Division of the NOAA/OAR/ESRL PSD, Boulder, Colorado, USA, for the open access to the NOAA_OI_SST_V2 sea ice data.</t>
  </si>
  <si>
    <t>10.1002/grl.50154</t>
  </si>
  <si>
    <t>129IE</t>
  </si>
  <si>
    <t>WOS:000317831800024</t>
  </si>
  <si>
    <t>Gorodetskaya, IV; Van Lipzig, NPM; Van den Broeke, MR; Mangold, A; Boot, W; Reijmer, CH</t>
  </si>
  <si>
    <t>Gorodetskaya, I. V.; Van Lipzig, N. P. M.; Van den Broeke, M. R.; Mangold, A.; Boot, W.; Reijmer, C. H.</t>
  </si>
  <si>
    <t>Meteorological regimes and accumulation patterns at Utsteinen, Dronning Maud Land, East Antarctica: Analysis of two contrasting years</t>
  </si>
  <si>
    <t>SURFACE MASS-BALANCE; AUTOMATIC WEATHER STATIONS; RESCALING HUMIDITY SENSORS; SNOW ACCUMULATION; SOUTH-POLE; TEMPORAL VARIABILITY; TEMPERATURES WELL; ENERGY-BALANCE; CIRCULATION; SIGNALS</t>
  </si>
  <si>
    <t>Since February 2009, an automatic weather station (AWS) has been operating near Utsteinen Nunatak, north of the Sor Rondane Mountains, in Dronning Maud Land at the ascent to the East Antarctic Plateau. This paper gives an assessment of the meteorological conditions, radiative fluxes, and snow accumulation for the first 2 years of operation, 2009 to 2010, analyzed in terms of meteorological regimes. Three major meteorological regimes-cold katabatic, warm synoptic, and transitional synoptic-are identified using cluster analysis based on five parameters derived from the AWS measurements (wind speed, specific humidity, near-surface temperature inversion, surface pressure, and incoming longwave flux indicative of cloud forcing). For its location, the relatively mild climate at Utsteinen can be explained by the high frequency of synoptic events (observed 41%-48% of the time), and a lack of drainage of cold air from the plateau due to mountain sheltering. During the cold katabatic regime, a strong surface cooling leads to a strong near-surface temperature inversion buildup. A large difference in accumulation is recorded by the AWS for the first 2 years: 235 mm water equivalent in 2009 and 27 mm water equivalent in 2010. Several large accumulation events during the warm synoptic regime occurring mainly in winter were responsible for the majority of the accumulation in 2009. Mostly, small accumulation events occurred during 2010, frequently followed by snow removal. This interannual variability in snow accumulation at the site is related to the intensity of the local synoptic events as recorded by meteorological regime characteristics. Citation: Gorodetskaya, I. V., N. P. M. Van Lipzig, M. R. Van den Broeke, A. Mangold, W. Boot, and C. H. Reijmer (2013), Meteorological regimes and accumulation patterns at Utsteinen, Dronning Maud Land, East Antarctica: Analysis of two contrasting years, J. Geophys. Res. Atmos., 118, 1700-1715, doi:10.1002/jgrd.50177.</t>
  </si>
  <si>
    <t>[Gorodetskaya, I. V.; Van Lipzig, N. P. M.] Catholic Univ Louvain, Dept Earth &amp; Environm Sci, B-3001 Heverlee, Belgium; [Van den Broeke, M. R.; Boot, W.; Reijmer, C. H.] Univ Utrecht, Inst Marine &amp; Atmospher Res Utrecht, NL-3508 TC Utrecht, Netherlands; [Mangold, A.] Royal Meteorol Inst Belgium, B-1180 Brussels, Belgium</t>
  </si>
  <si>
    <t>Universite Catholique Louvain; Utrecht University; Royal Meteorological Institute of Belgium</t>
  </si>
  <si>
    <t>Gorodetskaya, IV (corresponding author), Catholic Univ Louvain, Dept Earth &amp; Environm Sci, Celestijnenlaan 200E, B-3001 Heverlee, Belgium.</t>
  </si>
  <si>
    <t>Irina.Gorodetskaya@ees.kuleuven.be</t>
  </si>
  <si>
    <t>Reijmer, Carleen H/G-8736-2011; van Lipzig, Nicole/ABF-2964-2021; Van den Broeke, Michiel R./F-7867-2011; Gorodetskaya, Irina/K-1987-2015</t>
  </si>
  <si>
    <t>Reijmer, Carleen H/0000-0001-8299-3883; van Lipzig, Nicole/0000-0003-2899-4046; Van den Broeke, Michiel R./0000-0003-4662-7565; Gorodetskaya, Irina/0000-0002-2294-7823</t>
  </si>
  <si>
    <t>Belgian Science Policy [EA/01/04A]; NSF [ANT-0838834]</t>
  </si>
  <si>
    <t>Belgian Science Policy(Belgian Federal Science Policy Office); NSF(National Science Foundation (NSF))</t>
  </si>
  <si>
    <t>We thank the Belgian Science Policy for funding the HYDRANT project (EA/01/04A) and International Polar Foundation (IPF) for logistical support at the PE Station. Many thanks to Erik Verhagen (IPF) and Stefan Kneifel (University of Cologne, Germany) for help with the instrument maintenance. Special thanks to Alain Trullemans, Sanne Bosteels, and Rene Robert for their help in the fieldwork. The authors appreciate the support of the Antarctic Meteorological Research Center analysis, University of Wisconsin-Madison, USA (Matthew Lazzara and Elena Wilmott), NSF grant ANT-0838834, for satellite images used in the analysis. Many thanks to Maria Tsukernik (Brown University, USA) for useful discussions on moisture transport. Snow measurements along the PE-Brattnipane stake line were possible thanks to the scientific/equipment support via Laboratoire de Glaciologie et Geophysique de l'Environnement (France) GLACIO-CLIM-SAMBA project and logistical support of the IPF.</t>
  </si>
  <si>
    <t>FEB 27</t>
  </si>
  <si>
    <t>10.1002/jgrd.50177</t>
  </si>
  <si>
    <t>129LM</t>
  </si>
  <si>
    <t>WOS:000317841000010</t>
  </si>
  <si>
    <t>Dayton, PK; Kim, S; Jarrell, SC; Oliver, JS; Hammerstrom, K; Fisher, JL; O'Connor, K; Barber, JS; Robilliard, G; Barry, J; Thurber, AR; Conlan, K</t>
  </si>
  <si>
    <t>Dayton, Paul K.; Kim, Stacy; Jarrell, Shannon C.; Oliver, John S.; Hammerstrom, Kamille; Fisher, Jennifer L.; O'Connor, Kevin; Barber, Julie S.; Robilliard, Gordon; Barry, James; Thurber, Andrew R.; Conlan, Kathy</t>
  </si>
  <si>
    <t>Recruitment, Growth and Mortality of an Antarctic Hexactinellid Sponge, Anoxycalyx joubini</t>
  </si>
  <si>
    <t>MCMURDO-SOUND; COMMUNITIES; PATTERNS; CLIMATE; PHYTOPLANKTON; PREDATORS; BIOLOGY; SEA</t>
  </si>
  <si>
    <t>Polar ecosystems are sensitive to climate forcing, and we often lack baselines to evaluate changes. Here we report a nearly 50-year study in which a sudden shift in the population dynamics of an ecologically important, structure-forming hexactinellid sponge, Anoxycalyx joubini was observed. This is the largest Antarctic sponge, with individuals growing over two meters tall. In order to investigate life history characteristics of Antarctic marine invertebrates, artificial substrata were deployed at a number of sites in the southern portion of the Ross Sea between 1967 and 1975. Over a 22-year period, no growth or settlement was recorded for A. joubini on these substrata; however, in 2004 and 2010, A. joubini was observed to have settled and grown to large sizes on some but not all artificial substrata. This single settlement and growth event correlates with a region-wide shift in phytoplankton productivity driven by the calving of a massive iceberg. We also report almost complete mortality of large sponges followed over 40 years. Given our warming global climate, similar system-wide changes are expected in the future.</t>
  </si>
  <si>
    <t>[Dayton, Paul K.; Jarrell, Shannon C.] Univ Calif San Diego, Scripps Inst Oceanog, La Jolla, CA 92093 USA; [Kim, Stacy; Oliver, John S.; Hammerstrom, Kamille; O'Connor, Kevin] Moss Landing Marine Labs, Moss Landing, CA 95039 USA; [Fisher, Jennifer L.] Oregon State Univ, Hatfield Marine Sci Ctr, Newport, OR 97365 USA; [Barber, Julie S.] Swinomish Indian Tribal Community, La Conner, WA USA; [Robilliard, Gordon] Cardno Entrix, Gig Harbor, WA USA; [Barry, James] Monterey Bay Aquarium Res Inst, Moss Landing, CA USA; [Thurber, Andrew R.] Oregon State Univ, Coll Earth Ocean &amp; Atmospher Sci, Corvallis, OR 97331 USA; [Conlan, Kathy] Canadian Museum Nat, Ottawa, ON K1P 6P4, Canada</t>
  </si>
  <si>
    <t>University of California System; University of California San Diego; Scripps Institution of Oceanography; Moss Landing Marine Laboratories; Oregon State University; Monterey Bay Aquarium Research Institute; Oregon State University</t>
  </si>
  <si>
    <t>Dayton, PK (corresponding author), Univ Calif San Diego, Scripps Inst Oceanog, La Jolla, CA 92093 USA.</t>
  </si>
  <si>
    <t>pdayton@ucsd.edu</t>
  </si>
  <si>
    <t>Barber, Julie/AAH-1823-2020; Barber, Julie S/V-7557-2017</t>
  </si>
  <si>
    <t>Barber, Julie/0000-0002-5394-0747;</t>
  </si>
  <si>
    <t>Division of Polar Programs, National Science Foundation [25264A-416451-440005]; Directorate For Geosciences; Division Of Polar Programs [0842064] Funding Source: National Science Foundation; Office of Polar Programs (OPP); Directorate For Geosciences [0841538, 1103428] Funding Source: National Science Foundation</t>
  </si>
  <si>
    <t>Division of Polar Programs, National Science Foundation; Directorate For Geosciences; Division Of Polar Programs(National Science Foundation (NSF)NSF - Directorate for Geosciences (GEO)); Office of Polar Programs (OPP); Directorate For Geosciences(National Science Foundation (NSF)NSF - Directorate for Geosciences (GEO))</t>
  </si>
  <si>
    <t>This research was funded by the Division of Polar Programs, National Science Foundation, over the years. Grant number: 25264A-416451-440005. The funders had no role in study design, data collection and analysis, decision to publish, or preparation of the manuscript.</t>
  </si>
  <si>
    <t>e56939</t>
  </si>
  <si>
    <t>10.1371/journal.pone.0056939</t>
  </si>
  <si>
    <t>098BN</t>
  </si>
  <si>
    <t>WOS:000315519000048</t>
  </si>
  <si>
    <t>Schüller, M; Hutchings, PA</t>
  </si>
  <si>
    <t>Schueller, Myriam; Hutchings, Pat A.</t>
  </si>
  <si>
    <t>New species of Terebellides (Polychaeta: Trichobranchidae) from the deep Southern Ocean, with a key to all described species</t>
  </si>
  <si>
    <t>deep sea; speciation; Antarctica; Weddell Sea; phylogeny; identification key</t>
  </si>
  <si>
    <t>ATLANTIC; DIVERSITY; WATERS; REDESCRIPTION; REVISION; TAXONOMY; PATTERNS; PACIFIC</t>
  </si>
  <si>
    <t>The genus Terebellides is, despite its often low abundances, a common and diverse element of benthic soft sediment communities at all depths. In recent years, careful examination of specimens has resulted in numerous descriptions of new species of Terebellides increasing the number of species in the genus to over forty. For the Southern Ocean currently only two species are considered valid, both recorded for shelf and slope depths. Here, we present findings of eleven new Antarctic species originating from depths between 480 m and 4720 m. Six of these are formally described (T. canopus sp. n., T. crux sp. n., T. mira sp. n., T. rigel sp. n., T. sirius sp. n., and T. toliman, sp. n.). One species, T. crux sp. n., bears two segments with geniculate hooks, a trait already known for the genus but conflicting with the original generic diagnosis. To include this trait the generic diagnosis of Terebellides is amended. An identification key for all species of Terebellides is given, as well as a maximum parsimony phylogeny of the genus based on morphological characters.</t>
  </si>
  <si>
    <t>[Schueller, Myriam] Ruhr Univ Bochum, D-44780 Bochum, Germany; [Hutchings, Pat A.] Australian Museum, Sydney, NSW 2010, Australia</t>
  </si>
  <si>
    <t>Ruhr University Bochum; Australian Museum</t>
  </si>
  <si>
    <t>Schüller, M (corresponding author), Ruhr Univ Bochum, Univ Str 150, D-44780 Bochum, Germany.</t>
  </si>
  <si>
    <t>myriam.schueller@freenet.de; Pat.Hutchings@austmus.gov.au</t>
  </si>
  <si>
    <t>German Science Foundation (DFG) [SCHU 2443-2 (1-3)]</t>
  </si>
  <si>
    <t>German Science Foundation (DFG)(German Research Foundation (DFG))</t>
  </si>
  <si>
    <t>We should like to thank Sue Lindsay for preparing material for the SEM and taking the photos. Also we are grateful to all participants of the expeditions ANDEEP I-III and ANDEEP-SYSTCO for their effort in sampling, and the German Center for Marine Biodiversity at the University of Hamburg for providing the samples. The study was funded by the German Science Foundation (DFG), project SCHU 2443-2 (1-3). This is ANDEEP publication number 160.</t>
  </si>
  <si>
    <t>FEB 26</t>
  </si>
  <si>
    <t>10.11646/zootaxa.3619.1.1</t>
  </si>
  <si>
    <t>094JM</t>
  </si>
  <si>
    <t>WOS:000315258800001</t>
  </si>
  <si>
    <t>Cruz, SM; Hooten, M; Huyvaert, KP; Proaño, CB; Anderson, DJ; Afanasyev, V; Wikelski, M</t>
  </si>
  <si>
    <t>Cruz, Sebastian M.; Hooten, Mevin; Huyvaert, Kathryn P.; Proano, Carolina B.; Anderson, David J.; Afanasyev, Vsevolod; Wikelski, Martin</t>
  </si>
  <si>
    <t>At-Sea Behavior Varies with Lunar Phase in a Nocturnal Pelagic Seabird, the Swallow-Tailed Gull</t>
  </si>
  <si>
    <t>VERTICAL MIGRATION; FORAGING ACTIVITY; ACTIVITY PATTERN; CYCLES; MOONLIGHT; PREDATION; AVOIDANCE; ALBATROSS; NIGHT; LIGHT</t>
  </si>
  <si>
    <t>Strong and predictable environmental variability can reward flexible behaviors among animals. We used long-term records of activity data that cover several lunar cycles to investigate whether behavior at-sea of swallow-tailed gulls Creagrus furcatus, a nocturnal pelagic seabird, varied with lunar phase in the Galapagos Islands. A Bayesian hierarchical model showed that nighttime at-sea activity of 37 breeding swallow-tailed gulls was clearly associated with changes in moon phase. Proportion of nighttime spent on water was highest during darker periods of the lunar cycle, coinciding with the cycle of the diel vertical migration (DVM) that brings prey to the sea surface at night. Our data show that at-sea behavior of a tropical seabird can vary with environmental changes, including lunar phase.</t>
  </si>
  <si>
    <t>[Cruz, Sebastian M.; Proano, Carolina B.; Wikelski, Martin] Max Planck Inst Ornithol, Dept Migrat &amp; Immunoecol, Radolfzell am Bodensee, Baden Wurttembe, Germany; [Hooten, Mevin] US Geol Survey, Colorado Cooperat Fish &amp; Wildlife Res Unit, Ft Collins, CO USA; [Hooten, Mevin; Huyvaert, Kathryn P.] Colorado State Univ, Dept Fish Wildlife &amp; Conservat Biol, Ft Collins, CO 80523 USA; [Anderson, David J.] Wake Forest Univ, Dept Biol, Winston Salem, NC 27109 USA; [Afanasyev, Vsevolod] British Antarctic Survey, Nat Environm Res Council, Cambridge, England; [Wikelski, Martin] Univ Konstanz, Constance, Baden Wurttembe, Germany</t>
  </si>
  <si>
    <t>Max Planck Society; United States Department of the Interior; United States Geological Survey; Colorado State University; Wake Forest University; UK Research &amp; Innovation (UKRI); Natural Environment Research Council (NERC); NERC British Antarctic Survey; University of Konstanz</t>
  </si>
  <si>
    <t>Cruz, SM (corresponding author), Max Planck Inst Ornithol, Dept Migrat &amp; Immunoecol, Radolfzell am Bodensee, Baden Wurttembe, Germany.</t>
  </si>
  <si>
    <t>cruz.seb@gmail.com</t>
  </si>
  <si>
    <t>Callahan, Charles D/L-1641-2013; Huyvaert, Kathryn P/A-2710-2009</t>
  </si>
  <si>
    <t>Max Planck Society; National Science Foundation [DEB 0842199]; Direct For Biological Sciences; Division Of Environmental Biology [0842199] Funding Source: National Science Foundation; NERC [bas010011] Funding Source: UKRI; Natural Environment Research Council [bas010011] Funding Source: researchfish</t>
  </si>
  <si>
    <t>Max Planck Society(Max Planck Society); National Science Foundation(National Science Foundation (NSF)); Direct For Biological Sciences; Division Of Environmental Biology(National Science Foundation (NSF)NSF - Directorate for Biological Sciences (BIO)); NERC(UK Research &amp; Innovation (UKRI)Natural Environment Research Council (NERC)); Natural Environment Research Council(UK Research &amp; Innovation (UKRI)Natural Environment Research Council (NERC))</t>
  </si>
  <si>
    <t>This work had the support from the Max Planck Society (http://www.orn.mpg.de/) and National Science Foundation (http://www.nsf.gov/) Grant No. DEB 0842199. The funders had no role in study design, data collection and analysis, decision to publish, or preparation of the manuscript.</t>
  </si>
  <si>
    <t>e56889</t>
  </si>
  <si>
    <t>10.1371/journal.pone.0056889</t>
  </si>
  <si>
    <t>098PO</t>
  </si>
  <si>
    <t>WOS:000315561400016</t>
  </si>
  <si>
    <t>Hay, CC; Morrow, E; Kopp, RE; Mitrovica, JX</t>
  </si>
  <si>
    <t>Hay, Carling C.; Morrow, Eric; Kopp, Robert E.; Mitrovica, Jerry X.</t>
  </si>
  <si>
    <t>Estimating the sources of global sea level rise with data assimilation techniques</t>
  </si>
  <si>
    <t>climate; Kalman filter</t>
  </si>
  <si>
    <t>GLACIAL ISOSTATIC-ADJUSTMENT; MANTLE VISCOSITY; ICE SHEETS; EARTH</t>
  </si>
  <si>
    <t>A rapidly melting ice sheet produces a distinctive geometry,, or fingerprint, of sea level (SL) change. Thus, a network of SL observations may, in principle, be used to infer sources of meltwater flux. We outline a formalism, based on a modified Kalman smoother, for using tide gauge observations to estimate the individual sources of global SL change. We also report on a series of detection experiments based on synthetic SL data that explore the feasibility of extracting source information from SL records. The Kalman smoother technique iteratively calculates the maximum-likelihood estimate of Greenland ice sheet (GIS) and West Antarctic ice sheet (WAIS) melt at each time step, and it accommodates data gaps while also permitting the estimation of nonlinear trends. Our synthetic tests indicate that when all tide gauge records are used in the analysis, it should be possible to estimate GIS and WAIS melt rates greater than similar to 0.3 and similar to 0.4 mm of equivalent eustatic sea level rise per year, respectively. We have also implemented a multimodel Kalman filter that allows us to account rigorously for additional contributions to SL changes and their associated uncertainty. The multimodel filter uses 72 glacial isostatic adjustment models and 3 ocean dynamic models to estimate the most likely models for these processes given the synthetic observations. We conclude that our modified Kalman smoother procedure provides a powerful method for inferring melt rates in a warming world.</t>
  </si>
  <si>
    <t>[Hay, Carling C.] Univ Toronto, Dept Phys, Toronto, ON M5S 1A7, Canada; [Morrow, Eric; Mitrovica, Jerry X.] Harvard Univ, Dept Earth &amp; Planetary Sci, Cambridge, MA 02138 USA; [Kopp, Robert E.] Rutgers State Univ, Dept Earth &amp; Planetary Sci, Piscataway, NJ 08854 USA; [Kopp, Robert E.] Rutgers State Univ, Rutgers Energy Inst, Piscataway, NJ 08854 USA</t>
  </si>
  <si>
    <t>University of Toronto; Harvard University; Rutgers University System; Rutgers University New Brunswick; Rutgers University System; Rutgers University New Brunswick</t>
  </si>
  <si>
    <t>Mitrovica, JX (corresponding author), Harvard Univ, Dept Earth &amp; Planetary Sci, 20 Oxford St, Cambridge, MA 02138 USA.</t>
  </si>
  <si>
    <t>jxm@eps.harvard.edu</t>
  </si>
  <si>
    <t>Kopp, Robert E/B-8822-2008</t>
  </si>
  <si>
    <t>Kopp, Robert/0000-0003-4016-9428; Hay, Carling/0000-0002-9240-2036</t>
  </si>
  <si>
    <t>US Department of Energy American Association for the Advancement of Science Fellowship Program; Harvard University; Canadian Institute for Advanced Research; Directorate For Geosciences; Office of Polar Programs (OPP) [1203415] Funding Source: National Science Foundation</t>
  </si>
  <si>
    <t>US Department of Energy American Association for the Advancement of Science Fellowship Program; Harvard University; Canadian Institute for Advanced Research(Canadian Institute for Advanced Research (CIFAR)); Directorate For Geosciences; Office of Polar Programs (OPP)(National Science Foundation (NSF)NSF - Directorate for Geosciences (GEO))</t>
  </si>
  <si>
    <t>Tide gauge data were provided by the Permanent Service for Mean Sea Level (www.psmsl.org). The code for the regularized expectation-maximization technique was provided by Tapio Schneider, and the code for computing the autoregressive coefficients was provided by Alois Schlogl. We thank the modeling groups, the Program for Climate Model Diagnosis and Intercomparison, and the World Climate Research Programme's (WCRP's) Working Group on Coupled Modeling for their roles in making available the WCRP Coupled Model Intercomparison Project phase 3 (CMIP3) multimodel dataset. Support for this dataset is provided by the Office of Science, US Department of Energy. We also thank the anonymous reviewers for their helpful comments. R.E.K. was supported in part by an appointment to the-US Department of Energy American Association for the Advancement of Science Fellowship Program administered by Oak Ridge Institute for Science and Education. J.X.M. acknowledges funding from Harvard University and the Canadian Institute for Advanced Research.</t>
  </si>
  <si>
    <t>10.1073/pnas.1117683109</t>
  </si>
  <si>
    <t>102JY</t>
  </si>
  <si>
    <t>WOS:000315842100007</t>
  </si>
  <si>
    <t>Chown, SL; le Roux, PC; Ramaswiela, T; Kalwij, JM; Shaw, JD; McGeoch, MA</t>
  </si>
  <si>
    <t>Chown, Steven L.; le Roux, Peter C.; Ramaswiela, Tshililo; Kalwij, Jesse M.; Shaw, Justine D.; McGeoch, Melodie A.</t>
  </si>
  <si>
    <t>Climate change and elevational diversity capacity: do weedy species take up the slack?</t>
  </si>
  <si>
    <t>climate change; elevational gradients; species-energy theory; species richness</t>
  </si>
  <si>
    <t>IMPACTS; RESPONSES; RICHNESS; ISLANDS</t>
  </si>
  <si>
    <t>Climate change leads to species range shifts and consequently to changes in diversity. For many systems, increases in diversity capacity have been forecast, with spare capacity to be taken up by a pool of weedy species moved around by humans. Few tests of this hypothesis have been undertaken, and in many temperate systems, climate change impacts may be confounded by simultaneous increases in human-related disturbance, which also promote weedy species. Areas to which weedy species are being introduced, but with little human disturbance, are therefore ideal for testing the idea. We make predictions about how such diversity capacity increases play out across elevational gradients in non-water-limited systems. Then, using modern and historical data on the elevational range of indigenous and naturalized alien vascular plant species from the relatively undisturbed sub-Antarctic Marion Island, we show that alien species have contributed significantly to filling available diversity capacity and that increases in energy availability rather than disturbance are the probable underlying cause.</t>
  </si>
  <si>
    <t>[Chown, Steven L.; le Roux, Peter C.; Ramaswiela, Tshililo; Shaw, Justine D.] Univ Stellenbosch, Ctr Invas Biol, ZA-7602 Matieland, South Africa; [Chown, Steven L.; McGeoch, Melodie A.] Monash Univ, Sch Biol Sci, Clayton, Vic 3800, Australia; [Kalwij, Jesse M.] Univ Tartu, Inst Ecol &amp; Earth Sci, EE-51005 Tartu, Estonia</t>
  </si>
  <si>
    <t>Stellenbosch University; Monash University; University of Tartu; Tartu University Institute of Ecology &amp; Earth Sciences</t>
  </si>
  <si>
    <t>Chown, SL (corresponding author), Univ Stellenbosch, Ctr Invas Biol, POB X1, ZA-7602 Matieland, South Africa.</t>
  </si>
  <si>
    <t>le Roux, Peter Christiaan/E-7784-2011; Kalwij, Jesse/H-2571-2012; Chown, Steven/ABD-7646-2021; Chown, Steven/H-3347-2011; McGeoch, Melodie/F-8353-2011</t>
  </si>
  <si>
    <t>le Roux, Peter Christiaan/0000-0002-7941-7444; Kalwij, Jesse/0000-0002-8685-9603; Chown, Steven/0000-0001-6069-5105; Shaw, Justine/0000-0002-9603-2271; McGeoch, Melodie/0000-0003-3388-2241</t>
  </si>
  <si>
    <t>South African National Research Foundation [SNA2007042400003]; European Regional Development Fund (Centre of Excellence FIBIR)</t>
  </si>
  <si>
    <t>South African National Research Foundation(National Research Foundation - South Africa); European Regional Development Fund (Centre of Excellence FIBIR)(European Union (EU))</t>
  </si>
  <si>
    <t>We acknowledge support from South African National Research Foundation Grant SNA2007042400003, and, for J.M.K., from the European Regional Development Fund (Centre of Excellence FIBIR). The manuscript was improved by helpful comments from the anonymous reviewers.</t>
  </si>
  <si>
    <t>FEB 23</t>
  </si>
  <si>
    <t>10.1098/rsbl.2012.0806</t>
  </si>
  <si>
    <t>070MB</t>
  </si>
  <si>
    <t>WOS:000313509400015</t>
  </si>
  <si>
    <t>Arango, CP; Brenneis, G</t>
  </si>
  <si>
    <t>Arango, Claudia P.; Brenneis, Georg</t>
  </si>
  <si>
    <t>New species of Australian Pseudopallene (Pycnogonida: Callipallenidae) based on live colouration, morphology and DNA</t>
  </si>
  <si>
    <t>SEA SPIDERS ARTHROPODA; PHYLOGENY; POSITION; ISLANDS; REEF</t>
  </si>
  <si>
    <t>Callipallenid sea spiders are commonly found in southern Australian waters. The genera Pseudopallene and Stylopallene are frequent epibionts of arborescent bryozoan colonies of Orthoscuticella spp. and Amathia spp. Based on external morphology, colouration patterns, and sequence divergence of nuclear and mitochondrial markers, we differentiate species of Pseudopallene and Stylopallene from southeast Tasmania, New South Wales and Victoria. In this paper we describe five species new to science: P. tasmania, P. gracilis, P. constricta, P. flava and P. harrisi, and propose the 'variabilis'-complex, which is yet to be resolved based on additional material. Also, two species previously known from Southern Australia are reported as new records for Tasmania. The use of molecular data in resolving species identities of Australian Pycnogonida appears crucial, particularly in the understanding of the amazing, yet undiscovered diversity of brightly colourful callipallenid species. The genus Pseudopallene previously known from 20 species distributed in both southern and northern hemispheres now includes 14 Australian endemic species and at least one species complex yet to be resolved.</t>
  </si>
  <si>
    <t>[Arango, Claudia P.] Queensland Museum, Nat Environm Program, Brisbane, Qld 4101, Australia; [Brenneis, Georg] Humboldt Univ, Inst Biol Vergleichende Zool, D-10115 Berlin, Germany</t>
  </si>
  <si>
    <t>Queensland Museum; Humboldt University of Berlin</t>
  </si>
  <si>
    <t>Arango, CP (corresponding author), Queensland Museum, Nat Environm Program, POB 3300, Brisbane, Qld 4101, Australia.</t>
  </si>
  <si>
    <t>claudia.arango@qm.qld.gov.au; georg.brenneis@gmx.de</t>
  </si>
  <si>
    <t>Brenneis, Georg/AAQ-9561-2021; /A-5531-2008</t>
  </si>
  <si>
    <t>/0000-0003-1098-830X; Brenneis, Georg/0000-0003-1202-1899</t>
  </si>
  <si>
    <t>Australian Biological Resources Study (ABRS) [204-61]; Australian Antarctic Science Grants [AA3010]; Studienstiftung des deutschen Volkes; Deutsche Forschungsgemeinschaft [Scho 442/13-1]</t>
  </si>
  <si>
    <t>Australian Biological Resources Study (ABRS); Australian Antarctic Science Grants; Studienstiftung des deutschen Volkes; Deutsche Forschungsgemeinschaft(German Research Foundation (DFG))</t>
  </si>
  <si>
    <t>Many thanks to K. Gowlett-Holmes and M. Baron at Eaglehawk Neck for field guidance and advice, to M. Harris from Shellharbour Dive and his team of divers for invaluable support, to D. Staples for help collecting specimens back in 2003 and to G. Diaz-Pulido for many hours of fieldwork. We are grateful to H. Dastych and M. Koch from the Zoological Museum Hamburg for their help with the re-investigation of the P. ambigua holotype. GB thanks G. Scholtz for the continued support of his work. The critical comments and suggestions of R. Bamber, A. Soler Membrives and an anonymous reviewer helped to improve the manuscript. Collection of animals was made possible by permits of the Tasmanian Department of Primary Industries, Parks, Water and Environment (permit nos. 6039 and 9255) and New South Wales Government Industry and Investment (no. P09/0084). CPA was supported by the Australian Biological Resources Study (ABRS, grant 204-61) and the Australian Antarctic Science Grants (AA3010), GB was in part supported by the Studienstiftung des deutschen Volkes and funded by the Deutsche Forschungsgemeinschaft (Scho 442/13-1).</t>
  </si>
  <si>
    <t>FEB 22</t>
  </si>
  <si>
    <t>093LE</t>
  </si>
  <si>
    <t>WOS:000315192600001</t>
  </si>
  <si>
    <t>Hassler, CS; Legiret, FE; Butler, ECV</t>
  </si>
  <si>
    <t>Hassler, Christel S.; Legiret, Francois-Eric; Butler, Edward C. V.</t>
  </si>
  <si>
    <t>Measurement of iron chemical speciation in seawater at 4 °C: The use of competitive ligand exchange-adsorptive cathodic stripping voltammetry</t>
  </si>
  <si>
    <t>Fe; Chemical speciation; Voltammetry; Seawater; Low temperature; Organic ligand; Complexation</t>
  </si>
  <si>
    <t>NATURAL ORGANIC-LIGANDS; MARINE-PHYTOPLANKTON; COPPER COMPLEXATION; COMPLEXING LIGANDS; DISSOLVED IRON; FE; WATERS; BIOAVAILABILITY; IRON(III); EQUILIBRATION</t>
  </si>
  <si>
    <t>Iron is mostly bound to poorly characterised organic ligands; thus, organic ligands are paramount in defining Fe biogeochemical cycling and its control on oceanic primary productivity. Since 1994, Fe chemical speciation has been determined by Competitive Ligand Exchange-Adsorptive Cathodic Stripping Voltammetry (CLE-AdCSV) at room temperature. However, chemical speciation is strongly dependent on temperature and some organic ligands can be temperature sensitive. Here, we compare the use of the CLE-AdCSV at room temperature and at 4 degrees C a temperature closer to that found in the Southern Ocean, one of the largest iron-limited regions. For both temperatures, similar detection limits and total Fe concentrations were found. However, at 4 degrees C the analytical detection window (alpha(Fe(TAC)2)) was shifted by 1.4-fold towards the detection of weaker ligands, resulting in up to 2-fold lower ligand concentrations as well as a 2- to 5-fold and 10- to 70-fold lower conditional stability constants with inorganic Fe (Fe') and Fe(III), respectively. As a result, the Fe' concentration at 4 degrees C was 2-fold greater, resulting in direct implication for Fe bioavailability. Results show that difference in Fe chemical speciation at 4 degrees C was not solely explained by temperature effect on thermodynamics with the exchange ligands or the diffusion of the electroactive complex towards the Hg drop. Lowering analytical window during analysis at room temperature is proposed as a first estimate of temperature effect on iron chemical speciation. (C) 2013 Elsevier B.V. All rights reserved.</t>
  </si>
  <si>
    <t>[Hassler, Christel S.] Univ Technol Sydney, Broadway, NSW 2007, Australia; [Hassler, Christel S.; Legiret, Francois-Eric; Butler, Edward C. V.] CSIRO Wealth Oceans Res Flagship, Hobart, Tas 7000, Australia; [Hassler, Christel S.; Legiret, Francois-Eric; Butler, Edward C. V.] CSIRO Marine &amp; Atmospher Res, Hobart, Tas 7000, Australia</t>
  </si>
  <si>
    <t>University of Technology Sydney; Commonwealth Scientific &amp; Industrial Research Organisation (CSIRO); Commonwealth Scientific &amp; Industrial Research Organisation (CSIRO)</t>
  </si>
  <si>
    <t>Hassler, CS (corresponding author), Univ Geneva, Inst FA Forel, 10 Rte Suisse, CH-1290 Versoix, Switzerland.</t>
  </si>
  <si>
    <t>Hassler.Christel@gmail.com; fe.legiret@soton.ac.uk; e.butler@aims.gov.au</t>
  </si>
  <si>
    <t>Butler, Edward/0000-0002-6660-3985; Hassler, Christel/0000-0002-8976-5469</t>
  </si>
  <si>
    <t>Australian Antarctic Science Projects [2720, 2793, 2900]; CSIRO OCE; UTS</t>
  </si>
  <si>
    <t>Australian Antarctic Science Projects; CSIRO OCE(Commonwealth Scientific &amp; Industrial Research Organisation (CSIRO)); UTS</t>
  </si>
  <si>
    <t>We thank Andrew Bowie, Tomas Remenyi and Roslyn Watson for water sampling during the SAZ-Sense and SR3 CASO/ GEOTRACES V6 voyages; Sylvia Sander for discussion on the Fe chemical speciation calculation; Jeroen de Jong and two anonymous reviewers for comments on the manuscript. The sample collection was made possible by Australian Antarctic Science Projects 2720, 2793 and 2900. CSH was supported by a CSIRO OCE and a UTS Chancellor Post-doctoral Fellowship.</t>
  </si>
  <si>
    <t>FEB 20</t>
  </si>
  <si>
    <t>10.1016/j.marchem.2012.12.007</t>
  </si>
  <si>
    <t>106TJ</t>
  </si>
  <si>
    <t>WOS:000316167300007</t>
  </si>
  <si>
    <t>Spada, G; Bamber, JL; Hurkmans, RTWL</t>
  </si>
  <si>
    <t>Spada, G.; Bamber, J. L.; Hurkmans, R. T. W. L.</t>
  </si>
  <si>
    <t>The gravitationally consistent sea- level fingerprint of future terrestrial ice loss</t>
  </si>
  <si>
    <t>MASS-BALANCE; RISE</t>
  </si>
  <si>
    <t>We solve the sea-level equation to investigate the pattern of the gravitationally self-consistent sea-level variations (fingerprints) corresponding to modeled scenarios of future terrestrial ice melt. These were obtained from separate ice dynamics and surface mass balance models for the Greenland and Antarctic ice sheets and by a regionalized mass balance model for glaciers and ice caps. For our mid-range scenario, the ice melt component of total sea-level change attains its largest amplitude in the equatorial oceans, where we predict a cumulative sea-level rise of similar to 25 cm and rates of change close to 3mm/yr from ice melt alone by 2100. According to our modeling, in low-elevation densely populated coastal zones, the gravitationally consistent sea-level variations due to continental ice loss will range between 50 and 150% of the global mean. This includes the effects of glacial-isostatic adjustment, which mostly contributes across the lateral forebulge regions in North America. While the mid range ocean-averaged elastic-gravitational sea-level variations compare with those associated with thermal expansion and ocean circulation, their combination shows a complex regional pattern, where the former component dominates in the Equatorial Pacific Ocean and the latter in the Arctic Ocean. Citation: Spada G., J. L. Bamber, and R. T. W. L. Hurkmans (2012), The gravitationally consistent sea-level fingerprint of future terrestrial ice loss, Geophys. Res. Lett., 40, 482-486, doi:10.1029/2012GL053000.</t>
  </si>
  <si>
    <t>[Spada, G.] Univ Urbino Carlo Bo, Dipartimento Sci Base &amp; Fondamenti DiSBeF, Urbino, Italy; [Bamber, J. L.; Hurkmans, R. T. W. L.] Univ Bristol, Bristol Glaciol Ctr, Bristol BS8 1TH, Avon, England</t>
  </si>
  <si>
    <t>University of Urbino; University of Bristol</t>
  </si>
  <si>
    <t>Spada, G (corresponding author), Univ Urbino Carlo Bo, Dipartimento Sci Base &amp; Fondamenti DiSBeF, Urbino, Italy.</t>
  </si>
  <si>
    <t>giorgio.spada@gmail.com</t>
  </si>
  <si>
    <t>Bamber, Jonathan/C-7608-2011</t>
  </si>
  <si>
    <t>Bamber, Jonathan/0000-0002-2280-2819; Hurkmans, Ruud/0009-0005-4125-2698; Spada, Giorgio/0000-0001-7615-4709</t>
  </si>
  <si>
    <t>European Commission [226375, 104]</t>
  </si>
  <si>
    <t>European Commission(European Union (EU)European Commission Joint Research Centre)</t>
  </si>
  <si>
    <t>Work funded by the European Commission's 7th Framework Program through grant number 226375 (ice2sea contribution number 104). We thank David Vaughan, Erik Ivins, Rianne Giessen, and an anonymous reviewer for helpful suggestions. All figures have been drawn using GMT [Wessel and Smith, 1998].</t>
  </si>
  <si>
    <t>FEB 16</t>
  </si>
  <si>
    <t>10.1029/2012GL053000</t>
  </si>
  <si>
    <t>129HX</t>
  </si>
  <si>
    <t>WOS:000317831000004</t>
  </si>
  <si>
    <t>Sigl, M; McConnell, JR; Layman, L; Maselli, O; McGwire, K; Pasteris, D; Dahl-Jensen, D; Steffensen, JP; Vinther, B; Edwards, R; Mulvaney, R; Kipfstuhl, S</t>
  </si>
  <si>
    <t>Sigl, Michael; McConnell, Joseph R.; Layman, Lawrence; Maselli, Olivia; McGwire, Ken; Pasteris, Daniel; Dahl-Jensen, Dorthe; Steffensen, Jorgen Peder; Vinther, Bo; Edwards, Ross; Mulvaney, Robert; Kipfstuhl, Sepp</t>
  </si>
  <si>
    <t>A new bipolar ice core record of volcanism from WAIS Divide and NEEM and implications for climate forcing of the last 2000 years</t>
  </si>
  <si>
    <t>PAST 2 KYR; EXPLOSIVE VOLCANISM; TAUPO ERUPTION; HIGH-RESOLUTION; NEW-ZEALAND; SOUTHERN-HEMISPHERE; C-14 CALIBRATION; WEST ANTARCTICA; EAST ANTARCTICA; TREE-RINGS</t>
  </si>
  <si>
    <t>Volcanism is a natural climate forcing causing short-term variations in temperatures. Histories of volcanic eruptions are needed to quantify their role in climate variability and assess human impacts. We present two new seasonally resolved, annually dated non-sea-salt sulfur records from polar ice cores-WAIS Divide (WDC06A) from West Antarctica spanning 408 B. C. E. to 2003 C. E. and NEEM (NEEM-2011-S1) from Greenland spanning 78 to 1997 C. E.-both analyzed using high-resolution continuous flow analysis coupled to two mass spectrometers. The high dating accuracy allowed placing the large bi-hemispheric deposition event ascribed to the eruption of Kuwae in Vanuatu (previously thought to be 1452/1453 C. E. and used as a tie-point in ice core dating) into the year 1458/1459 C. E. This new age is consistent with an independent ice core timescale from Law Dome and explains an apparent delayed response in tree rings to this volcanic event. A second volcanic event is detected in 1453 C. E. in both ice cores. We show for the first time ice core signals in Greenland and Antarctica from the strong eruption of Taupo in New Zealand in 232 C. E. In total, 133 volcanic events were extracted from WDC06A and 138 from NEEM-2011-S1, with 50 ice core signals-predominantly from tropical source volcanoes-identified simultaneously in both records. We assess the effect of large bipolar events on temperature-sensitive tree ring proxies. These two new volcanic records, synchronized with available ice core records to account for spatial variability in sulfate deposition, provide a basis for improving existing time series of volcanic forcing.</t>
  </si>
  <si>
    <t>[Sigl, Michael; McConnell, Joseph R.; Layman, Lawrence; Maselli, Olivia; McGwire, Ken; Pasteris, Daniel] Desert Res Inst, Div Hydrol Sci, Reno, NV 89512 USA; [Dahl-Jensen, Dorthe; Steffensen, Jorgen Peder; Vinther, Bo] Univ Copenhagen, Niels Bohr Inst, Ctr Ice &amp; Climate, DK-2100 Copenhagen, Denmark; [Edwards, Ross] Curtin Univ Technol, Dept Phys, Perth, WA, Australia; [Mulvaney, Robert] British Antarctic Survey, Cambridge CB3 0ET, Cambs, England; [Kipfstuhl, Sepp] Alfred Wegener Inst Polar &amp; Marine Res, Bremerhaven, Germany</t>
  </si>
  <si>
    <t>Nevada System of Higher Education (NSHE); Desert Research Institute NSHE; University of Copenhagen; Niels Bohr Institute; Curtin University; UK Research &amp; Innovation (UKRI); Natural Environment Research Council (NERC); NERC British Antarctic Survey; Helmholtz Association; Alfred Wegener Institute, Helmholtz Centre for Polar &amp; Marine Research</t>
  </si>
  <si>
    <t>Sigl, M (corresponding author), Desert Res Inst, 89512 Raggio Pkwy, Reno, NV 89512 USA.</t>
  </si>
  <si>
    <t>msigl@dri.edu</t>
  </si>
  <si>
    <t>Steffensen, Jorgen Peder/JFS-7831-2023; Maselli, Olivia/A-6687-2013; Dahl-Jensen, Dorthe/AAO-6951-2020; Mulvaney, Robert/K-3929-2012; Edwards, Ross/B-1433-2013</t>
  </si>
  <si>
    <t>Steffensen, Jorgen Peder/0000-0002-5516-1093; Dahl-Jensen, Dorthe/0000-0002-1474-1948; Mulvaney, Robert/0000-0002-5372-8148; Sigl, Michael/0000-0002-9028-9703; Edwards, Ross/0000-0002-9233-8775; Vinther, Bo/0000-0002-6078-771X</t>
  </si>
  <si>
    <t>NSF Office of Polar Programs [0538427, 0839093, 0909541]; NSF-University of New Hampshire [0230396, 0440817, 0944348, 0944266]; National Science Foundation; Belgium (FNRS-CFB); Belgium (FWO); Canada (NRCan/GSC); China (CAS); Denmark (FIST); France (IPEV); France (CNRS/INSU); France (CEA); France (ANR); Germany (AWI); Iceland (RannIs); Japan (NIPR); Korea (KOPRI); Netherlands (NWO/ALW); Sweden (VR); Switzerland (SNF); United Kingdom (NERC); USA (US NSF, Office of Polar Programs); Natural Environment Research Council [bas0100024] Funding Source: researchfish; Directorate For Geosciences; Office of Polar Programs (OPP) [0538427] Funding Source: National Science Foundation; Office of Polar Programs (OPP); Directorate For Geosciences [0909541, 0944348, 0839093] Funding Source: National Science Foundation; NERC [bas0100024] Funding Source: UKRI</t>
  </si>
  <si>
    <t>NSF Office of Polar Programs(National Science Foundation (NSF)); NSF-University of New Hampshire; National Science Foundation(National Science Foundation (NSF));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Programs);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t>
  </si>
  <si>
    <t>Support for this research was provided by grants 0538427, 0839093, and 0909541 from the NSF Office of Polar Programs. We thank the numerous students and scientists involved in the ice core collection and analysis at the Desert Research Institute and at the field locations. The authors appreciate the support of the WAIS Divide Science Coordination Office at the Desert Research Institute of Reno Nevada for the collection and distribution of the WAIS Divide ice core and related tasks (K. Taylor, NSF Grants 0230396, 0440817, 0944348; and 0944266-University of New Hampshire). The National Science Foundation Office of Polar Programs funds the Ice Drilling Program Office and Ice Drilling Design and Operations group for coring activities; the National Ice Core Laboratory, which curated the WAIS Divide ice cores and performed core processing, is funded by the National Science Foundation; we thank Raytheon Polar Services for logistics support in Antarctica; and the 109th New York Air National Guard for airlift in Antarctica and Greenland. We also appreciate the assistance of the NEEM community for logistics, drilling, science, and other support. In particular, we thank S.-B. Hansen, T. Popp, D. Mandeno, M. Leonhardt, and A. Moy for drilling the NEEM S1 core.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Matthew Salzer and Jan Esper provided tree ring data.</t>
  </si>
  <si>
    <t>10.1029/2012JD018603</t>
  </si>
  <si>
    <t>129LC</t>
  </si>
  <si>
    <t>WOS:000317839700002</t>
  </si>
  <si>
    <t>Roy, M; McManus, J; Goñi, MA; Chase, Z; Borgeld, JC; Wheatcroft, RA; Muratli, JM; Megowan, MR; Mix, A</t>
  </si>
  <si>
    <t>Roy, Moutusi; McManus, James; Goni, Miguel A.; Chase, Zanna; Borgeld, Jeffry C.; Wheatcroft, Robert A.; Muratli, Jesse M.; Megowan, Meghan R.; Mix, Alan</t>
  </si>
  <si>
    <t>Reactive iron and manganese distributions in seabed sediments near small mountainous rivers off Oregon and California (USA)</t>
  </si>
  <si>
    <t>Iron; Manganese; Continental shelf; Oregon; California</t>
  </si>
  <si>
    <t>ORGANIC-MATTER; CONTINENTAL-SHELF; MARINE-SEDIMENTS; MINERAL SURFACES; PHYTOPLANKTON GROWTH; DISSOLVED MANGANESE; ACCUMULATION RATES; PACIFIC-NORTHWEST; MARGIN SEDIMENTS; COASTAL WATERS</t>
  </si>
  <si>
    <t>We examined the spatial distribution of sedimentary reactive iron (Fe-R) and manganese (Mn-R) along the continental shelf near the mouth of the Umpqua River, Oregon (USA). A well-defined muddy (silt + clay) depocenter of fluvial origin characterizes this part of the Oregon margin. Reactive Fe and Mn contents are elevated within the silt-rich landward edge of the depocenter. Away from this depocenter, sediments are predominantly sandy both along the inner-shelf (&lt; similar to 100 m depth) and mid-shelf (similar to 100-150 m depth) and have lower concentrations of reactive metals compared to the depocenter. Sediments are also muddy along the slope (&gt; similar to 150 m depth) and have elevated Fe-R and Mn-R. Based on their correlation with sediment grain size, it appears that Fe-R and to a lesser extent Mn-R, are associated with mud size sediments. Reactive metal concentration is also positively correlated with organic carbon (OC) content, indicating a potentially common source. Seabed sediments from five other small, mountainous river systems (Klamath, Eel, Navarro, Russian, and Salinas) located south of Umpqua show the same general relationship between Fe-R and OC. Although both Fe-R and Mn-R exhibit similar relationships to grain size and OC, the relationships with Mn-R exhibit considerable scatter. Comparison of Umpqua River suspended sediment data with the seabed data suggests that Mn-R is more prone to loss from sediment particles during transit to the seabed as compared to Fe-R, and this difference explains why Fe-R maintains a reasonably tight relationship with organic carbon and particle size along the seafloor relative to Mn-R. (C) 2012 Elsevier Ltd. All rights reserved.</t>
  </si>
  <si>
    <t>[Roy, Moutusi; McManus, James; Goni, Miguel A.; Wheatcroft, Robert A.; Muratli, Jesse M.; Megowan, Meghan R.; Mix, Alan] Oregon State Univ, CEOAS, Corvallis, OR 97331 USA; [Chase, Zanna] Univ Tasmania, Inst Marine &amp; Antarctic Studies, Hobart, Tas 7001, Australia; [Borgeld, Jeffry C.] Humboldt State Univ, Dept Oceanog, Arcata, CA USA</t>
  </si>
  <si>
    <t>Oregon State University; University of Tasmania; California State University System; California State Polytechnic University, Humboldt</t>
  </si>
  <si>
    <t>McManus, J (corresponding author), Oregon State Univ, CEOAS, Corvallis, OR 97331 USA.</t>
  </si>
  <si>
    <t>jmcmanus@coas.oregonstate.edu</t>
  </si>
  <si>
    <t>McManus, James/GSM-7165-2022; Goni, Miguel/AAE-3737-2020; Chase, Zanna/E-9232-2013; Goni, Miguel/E-4456-2014</t>
  </si>
  <si>
    <t>Chase, Zanna/0000-0001-5060-779X; Goni, Miguel/0000-0001-7682-8064</t>
  </si>
  <si>
    <t>US National Science Foundation (NSF) [0929339]; NSF [0628487, 0628490]; Gordon and Betty Moore Foundation; Directorate For Geosciences; Division Of Earth Sciences [0628487, 0628490] Funding Source: National Science Foundation; Directorate For Geosciences; Division Of Ocean Sciences [0929339, 1259292] Funding Source: National Science Foundation; Division Of Ocean Sciences; Directorate For Geosciences [0962077] Funding Source: National Science Foundation</t>
  </si>
  <si>
    <t>US National Science Foundation (NSF)(National Science Foundation (NSF)); NSF(National Science Foundation (NSF)); Gordon and Betty Moore Foundation(Gordon and Betty Moore Foundation); Directorate For Geosciences; Division Of Earth Sciences(National Science Foundation (NSF)NSF - Directorate for Geosciences (GEO)); Directorate For Geosciences; Division Of Ocean Sciences(National Science Foundation (NSF)NSF - Directorate for Geosciences (GEO)); Division Of Ocean Sciences; Directorate For Geosciences(National Science Foundation (NSF)NSF - Directorate for Geosciences (GEO))</t>
  </si>
  <si>
    <t>US National Science Foundation (NSF) Grant 0929339 supported the participation of MR, JM, JMM, and MRM during this research, and NSF Grant 0628487 to MG and RW and 0628490 to JB supported their contributions. The Gordon and Betty Moore Foundation supported the participation of AM. We are also appreciative of the many individuals that have assisted with the laboratory and field components of this research, in particular the captain and crew of the RV Wecoma assisted with the field sampling. ICP-MS facility support at Oregon State University's W.M. Keck Collaboratory was provided by Andy Ungerer. We also appreciate the helpful suggestions provided by two anonymous reviewers.</t>
  </si>
  <si>
    <t>FEB 15</t>
  </si>
  <si>
    <t>10.1016/j.csr.2012.12.012</t>
  </si>
  <si>
    <t>106RV</t>
  </si>
  <si>
    <t>WOS:000316163300006</t>
  </si>
  <si>
    <t>Licht, KJ; Palmer, EF</t>
  </si>
  <si>
    <t>Licht, K. J.; Palmer, E. F.</t>
  </si>
  <si>
    <t>Erosion and transport by Byrd Glacier, Antarctica during the Last Glacial Maximum</t>
  </si>
  <si>
    <t>Provenance; Till; Detrital zircon; Petrography</t>
  </si>
  <si>
    <t>CENTRAL TRANSANTARCTIC MOUNTAINS; PLEISTOCENE-HOLOCENE RETREAT; DETRITAL-ZIRCON AGES; ICE-SHEET SYSTEM; EASTERN ROSS SEA; 40AR/39AR AGES; MASS-BALANCE; PROVENANCE; SEDIMENT; TILL</t>
  </si>
  <si>
    <t>Glacial till samples from seven, modern-Holocene Byrd Glacier moraines were characterized using particle size analysis, sand petrography and detrital zircon geochronology and compared to Ross Sea tills deposited during the Last Glacial Maximum. The goal was to identify the paleoflow path for Byrd Glacier and assess the use of multiple provenance techniques. The coarse sand fraction of Byrd Glacier tills is dominated by lithic fragments of adjacent bedrock outcrops, except samples from the Lonewolf Nunataks, which have a higher proportion of mineral to lithic fragments, as well as a recognizable exotic component. Cluster analysis shows that Byrd Glacier tills, with the exception of the two Lonewolf Nunataks sites, do not cluster strongly with Ross Sea samples because they have a higher proportion of lithic fragments. This indicates that comminution must be an active subglacial process beneath East Antarctic outlet glaciers. Byrd Glacier tills are also typically coarser grained that Ross Sea tills and their maturity is a reflection of both glacial processes and rock type. Measured U/Pb ages of detrital zircons from Byrd Glacier tills range from Triassic to Archean (240-3540 Ma) with a dominance of grains 530-600 Ma. Ross Sea till samples show spatial variability in U/Pb age distributions, with the core sites west of the 180 degrees longitude line showing similarity to most Byrd Glacier tills, whereas core NBP9407-39, east of 180 degrees long., is dominated by similar to 100 Ma grains. Ross Sea tills also contain a recognizable detrital zircon fraction eroded inland of the Transantarctic Mountains. Both provenance methods indicate that the ice flow line for Byrd Glacier during the LGM was to the east of Ross Island and extended on either side of Ross Bank, with the majority of ice flowing to the Ross Sea's Central Basin. Our analysis shows that sand petrography and detrital zircon U/Pb age spectra provide complementary datasets that produce similar ice flow reconstructions and reveal valuable information about glacial processes and ice covered bedrock. (C) 2012 Elsevier Ltd. All rights reserved.</t>
  </si>
  <si>
    <t>[Licht, K. J.; Palmer, E. F.] Indiana Univ Purdue Univ, Dept Earth Sci, Indianapolis, IN 46202 USA</t>
  </si>
  <si>
    <t>Indiana University System; Indiana University-Purdue University Indianapolis</t>
  </si>
  <si>
    <t>Licht, KJ (corresponding author), Indiana Univ Purdue Univ, Dept Earth Sci, Indianapolis, IN 46202 USA.</t>
  </si>
  <si>
    <t>klicht@iupui.edu</t>
  </si>
  <si>
    <t>Licht, Kathy/0000-0002-2233-2853</t>
  </si>
  <si>
    <t>NSF-OPP [OPP-0440885]; Directorate For Geosciences; Division Of Earth Sciences [1032156] Funding Source: National Science Foundation</t>
  </si>
  <si>
    <t>NSF-OPP(National Science Foundation (NSF)NSF - Directorate for Geosciences (GEO)); Directorate For Geosciences; Division Of Earth Sciences(National Science Foundation (NSF)NSF - Directorate for Geosciences (GEO))</t>
  </si>
  <si>
    <t>This research was supported by a grant from NSF-OPP to IUPUI (OPP-0440885). We are grateful to field team members D. Brecke, A. Barth, P. Braddock, and J. Goodge, as well as Crazy Jim Haffey of Ken Borek Air, Ltd. and Raytheon Polar Services. We also appreciate assistance provided by Jeff Swope, Beth Welke and by the Arizona LaserChron Center with detrital zircon analyses. We are grateful to R. McKay and M. Flowerdew for constructive comments that improved the manuscript.</t>
  </si>
  <si>
    <t>10.1016/j.quascirev.2012.11.017</t>
  </si>
  <si>
    <t>090XR</t>
  </si>
  <si>
    <t>WOS:000315013800003</t>
  </si>
  <si>
    <t>Putnam, AE; Schaefer, JM; Denton, GH; Barrell, DJA; Birkel, SD; Andersen, BG; Kaplan, MR; Finkel, RC; Schwartz, R; Doughty, AM</t>
  </si>
  <si>
    <t>Putnam, Aaron E.; Schaefer, Joerg M.; Denton, George H.; Barrell, David J. A.; Birkel, Sean D.; Andersen, Bjorn G.; Kaplan, Michael R.; Finkel, Robert C.; Schwartz, Roseanne; Doughty, Alice M.</t>
  </si>
  <si>
    <t>The Last Glacial Maximum at 44°S documented by a 10Be moraine chronology at Lake Ohau, Southern Alps of New Zealand</t>
  </si>
  <si>
    <t>Last Glacial Maximum; Southern Ocean; Glacier; Geomorphology; Be-10; Surface-exposure dating; Cosmogenic nuclide; Paleoclimatology; Southern Alps; New Zealand; Antarctica; Patagonia; Glaciology; Snowline; Last Glacial termination</t>
  </si>
  <si>
    <t>FRANZ-JOSEF GLACIER; ATMOSPHERIC CO2; CLIMATE-CHANGE; COSMOGENIC-NUCLIDE; RADIOCARBON CHRONOLOGY; QUATERNARY GLACIERS; PRODUCTION-RATES; UINTA MOUNTAINS; MASS-BALANCE; POLAR OCEAN</t>
  </si>
  <si>
    <t>Determining whether glaciers registered the classic Last Glacial Maximum (LGM; similar to 26,500-similar to 19,000 yrs ago) coevally between the hemispheres can help to discriminate among hypothesized drivers of ice-age climate. Here, we present a record of glacier behavior from the Southern Alps of New Zealand during the 'local LGM' (LLGM). We used Be-10 surface-exposure dating methods and detailed glacial geomorphologic mapping to produce a robust chronology of well-preserved terminal moraines deposited during the LLGM near Lake Ohau on central South Island. We then used a glaciological model to estimate a LLGM glacier snowline and atmospheric temperature from the Ohau glacier record. Seventy-three Be-10 surface-exposure ages place culminations of terminal moraine construction, and hence completions of glacier advances to positions outboard of present-day Lake Ohau, at 138,600 +/- 10,600 yrs, 32,520 +/- 970 yrs ago, 27,400 +/- 1300 yrs ago, 22,510 +/- 660 yrs ago, and 18,220 +/- 500 yrs ago. Recessional moraines document glacier recession into the Lake Ohau trough by 17,690 +/- 350 yrs ago. Exposure of an ice-molded bedrock bench located inboard of the innermost LLGM moraines by 17,380 +/- 510 yrs ago indicates that the ice tongue had receded about 40% of its overall length by that time. Comparing our chronology with distances of retreat suggests that the Ohau glacier terminus receded at a mean net rate of about 77 m yr(-1) and its surface lowered by 200 m between 17,690 and 17,380 yrs ago. A long-term continuation of ice retreat in the Ohau glacier catchment is implied by moraine records at the head of Irishman Stream valley, a tributary of the Ohau glacier valley. The Irishman Stream cirque glacier advanced to produce a set of Lateglacial moraines at 13,000 +/- 500 yrs ago, implying that the cirque glacier was less extensive prior to that advance. We employed a glaciological model, fit to these mapped and dated LLGM moraines, to derive snowline elevations and temperature parameters from the Ohau glacier record. The modeling experiments indicate that a snowline lowering of 920 +/- 50 m and temperature depression of 6.25 +/- 0.5 degrees C below modern values allows for the Ohau glacier to grow to an equilibrium position within the LGM moraine belt Taken together with a glaciological simulation reported from the Irishman Stream valley, snowlines and temperatures increased by at least similar to 520 m and similar to 3.6 degrees C, respectively, between similar to 18,000 and similar to 13,000 yrs ago. Climate parameters derived from the Ohau glacier reconstruction are similar to those derived from glacier records from Patagonia, to air temperature indicators from Antarctica, as well as to sea-surface temperature and stratification signatures of the Southern Ocean. We think that the best explanation for the observed southern LLGM is that southern winter duration modulated Southern Ocean sea ice, which in turn influenced Southern Ocean stratification and made the surface ocean cooler. Orbitally induced cooling of the Southern Ocean provides an explanation for the LLGM in the Southern Alps having been coincident with the northern LGM. We argue further that the global effect of North Atlantic stadials led to disturbance of Southern Ocean stratification, southward shifts of the subtropical front, and retreat of Southern Alps glaciers. Collapse of Southern Ocean stratification during Heinrich Stadial-1, along with attendant sea-surface warming, triggered the onset of the Last Glacial termination in the Southern Alps of New Zealand. (C) 2012 Elsevier Ltd. All rights reserved.</t>
  </si>
  <si>
    <t>[Putnam, Aaron E.; Schaefer, Joerg M.; Kaplan, Michael R.; Schwartz, Roseanne] Lamont Doherty Earth Observ, Palisades, NY 10944 USA; [Putnam, Aaron E.; Denton, George H.; Birkel, Sean D.] Univ Maine, Climate Change Inst, Dept Earth Sci, Orono, ME 04469 USA; [Schaefer, Joerg M.] Columbia Univ, Dept Earth &amp; Environm Sci, New York, NY 10027 USA; [Barrell, David J. A.] GNS Sci, Dunedin 9054, New Zealand; [Andersen, Bjorn G.] Univ Oslo, Dept Geosci, N-0316 Oslo, Norway; [Finkel, Robert C.] Univ Calif Berkeley, Dept Earth &amp; Planetary Sci, Berkeley, CA 95064 USA; [Doughty, Alice M.] Victoria Univ Wellington, Sch Earth Sci, Antarctic Res Ctr, Wellington, New Zealand</t>
  </si>
  <si>
    <t>Columbia University; University of Maine System; University of Maine Orono; Columbia University; GNS Science - New Zealand; University of Oslo; University of California System; University of California Berkeley; Victoria University Wellington</t>
  </si>
  <si>
    <t>Putnam, AE (corresponding author), Lamont Doherty Earth Observ, 61 Rt 9W, Palisades, NY 10944 USA.</t>
  </si>
  <si>
    <t>aputnam@Ideo.columbia.edu</t>
  </si>
  <si>
    <t>Kaplan, Michael R/D-4720-2011; Birkel, Sean/W-2504-2019</t>
  </si>
  <si>
    <t>Putnam, Aaron/0000-0002-5358-1473</t>
  </si>
  <si>
    <t>Gary C. Comer Science and Education Foundation (CSEF); Quesada Family Foundation; National Oceanographic and Atmospheric Administration (NOAA); National Science Foundation [EAR-1102782, EAR-0345835, EAR-0745781]; CSEF; NOAA; University of Maine; Lamont-Doherty Earth Observatory (LDEO); Directorate For Geosciences; Division Of Earth Sciences [1102782] Funding Source: National Science Foundation</t>
  </si>
  <si>
    <t>Gary C. Comer Science and Education Foundation (CSEF); Quesada Family Foundation; National Oceanographic and Atmospheric Administration (NOAA)(National Oceanic Atmospheric Admin (NOAA) - USA); National Science Foundation(National Science Foundation (NSF)); CSEF; NOAA(National Oceanic Atmospheric Admin (NOAA) - USA); University of Maine; Lamont-Doherty Earth Observatory (LDEO); Directorate For Geosciences; Division Of Earth Sciences(National Science Foundation (NSF)NSF - Directorate for Geosciences (GEO))</t>
  </si>
  <si>
    <t>This work was supported by funding from the Gary C. Comer Science and Education Foundation (CSEF), the Quesada Family Foundation, the National Oceanographic and Atmospheric Administration (NOAA), and by National Science Foundation grants EAR-1102782, EAR-0345835 and EAR-0745781. D.M. Sigman, S. Barker, W.S. Broecker, R.F. Anderson, T.J. Hughes, P. Huybers, B.L. Hall, G.R.M. Bromley, M.J. Vandergoes, P. Upton, and R.B. Alley provided helpful discussions. In particular, we are grateful to J.D. Hays for engaging discussions about the role of polar ocean stratification in ice-age cycles. N.R. Golledge, A.N. Mackintosh, B. Anderson, and T.J.H. Chinn contributed helpful insights into glaciological modeling in the Southern Alps. S. Barker kindly provided data from core TNO57-21. B. Lemieux-Dudon provided the updated EPICA Dome C chronology. K. Ladig and S. Travis helped with fieldwork. J. Frisch assisted with laboratory work. We are grateful to the Kees family (Ohau Station), F. Hawkins, M. Lindsay, J. Papich, G. Burrows (Ribbonwood Station), S. and H. Williamson (Glenbrook Station), J. and K. Wigley (Glen Lyon Station), and the Department of Conservation - Te Papa Atawhai, Te Runanga o Ngai Tahu, for permitting us access to their land. T. and K. Ritchie of Lake Ruataniwha Holiday Park provided excellent accommodation during long field seasons. V. Jomelli and an anonymous reviewer provided helpful suggestions that improved the paper. A.E. Putnam was supported by CSEF, NOAA, a University of Maine teaching assistantship, and a Lamont-Doherty Earth Observatory (LDEO) postdoctoral fellowship while conducting this research. GNS Science's Direct Crown Funded Programme 'Global Change through Time' supported D.J.A.B. This is LDEO contribution #7629.</t>
  </si>
  <si>
    <t>10.1016/j.quascirev.2012.10.034</t>
  </si>
  <si>
    <t>WOS:000315013800008</t>
  </si>
  <si>
    <t>First Evidence of Life Under Antarctic Ice</t>
  </si>
  <si>
    <t>088YS</t>
  </si>
  <si>
    <t>WOS:000314874400009</t>
  </si>
  <si>
    <t>Jensen, MA; Fitzgibbon, QP; Carter, CG; Adams, LR</t>
  </si>
  <si>
    <t>Jensen, Mark A.; Fitzgibbon, Quinn P.; Carter, Chris G.; Adams, Louise R.</t>
  </si>
  <si>
    <t>The effect of stocking density on growth, metabolism and ammonia-N excretion during larval ontogeny of the spiny lobster Sagmariasus verreauxi</t>
  </si>
  <si>
    <t>Energetics; O:N ratio; Ontogeny; Oxygen consumption; Phyllosoma; Spiny lobster</t>
  </si>
  <si>
    <t>JASUS-EDWARDSII LARVAE; PAGURUS-BERNHARDUS DECAPODA; PANULIRUS-CYGNUS GEORGE; SOUTHERN ROCK LOBSTER; EARLY-LIFE STAGES; OXYGEN-CONSUMPTION; RESPIRATORY METABOLISM; PHYLLOSOMA LARVAE; NEW-ZEALAND; BIOCHEMICAL-COMPOSITION</t>
  </si>
  <si>
    <t>Stocking density is a critical factor affecting performance of aquatic organisms in culture, however, its influence on energy utilisation has rarely been considered. Energy partitioning is particularly important for spiny lobster phyllosoma, which must accumulate sufficient energy reserves for metamorphosis and the non-feeding puerulus stage. The current study is the first to examine the energetics of spiny lobsters throughout the entire phyllosoma phase and determined the physiological influence of density. Growth and development, oxygen consumption and ammonia-N excretion rates were measured in Sagmariasus verreauxi phyllosoma that were cultured at High Density (HD) and Low Density (LD) from hatch to puerulus. Phyllosoma growth and development was more advanced in LD phyllosoma after 108 day in culture and mass of LD instar 17 phyllosoma was greater. There were no differences in routine metabolic rate (R-r) and ammonia-N excretion of phyllosoma between densities. However, the O:N ratio decreased in final instar phyllosoma demonstrating a shift towards higher protein catabolism. Routine metabolic rate also increased in late stage phyllosoma, possibly due to higher energy requirements in preparation for metamorphosis and increased swimming activity. The R-r of spiny lobster larvae was significantly lower than that of other crustacean larvae, which may be a characteristic of their extended larval phase, slower growth rate, and larger body size. The study demonstrated late stage phyllosoma have higher weight specific energy requirements than the preceding larval stages and exhibit a metabolic shift towards protein catabolism, suggesting an increased importance of storing lipid as an energy reserve for the puerulus stage. Crown Copyright (C) 2012 Published by Elsevier B.V. All rights reserved.</t>
  </si>
  <si>
    <t>[Jensen, Mark A.; Fitzgibbon, Quinn P.; Carter, Chris G.] Univ Tasmania, Inst Marine &amp; Antarctic Studies, Hobart, Tas 7001, Australia; [Adams, Louise R.] Univ Tasmania, Natl Ctr Marine Conservat &amp; Resource Sustainabil, Australian Maritime Coll, Launceston, Tas 7250, Australia</t>
  </si>
  <si>
    <t>University of Tasmania; University of Tasmania; Australian Maritime College</t>
  </si>
  <si>
    <t>Jensen, MA (corresponding author), Univ Tasmania, Inst Marine &amp; Antarctic Studies, Private Bag 49, Hobart, Tas 7001, Australia.</t>
  </si>
  <si>
    <t>Mark.Jensen@utas.edu.au</t>
  </si>
  <si>
    <t>Carter, Chris Guy/A-3438-2008; Adams, Louise/AAH-4511-2020</t>
  </si>
  <si>
    <t>Carter, Chris Guy/0000-0001-5210-1282; Adams, Louise/0000-0001-5535-5253; Fitzgibbon, Quinn/0000-0002-1104-3052</t>
  </si>
  <si>
    <t>Fisheries Research and Development Corporation [2006/235]; Australian Research Council [LP0775480]; IMAS and UTAS School of Aquaculture TPRS; Australian Research Council [LP0775480] Funding Source: Australian Research Council</t>
  </si>
  <si>
    <t>Fisheries Research and Development Corporation; Australian Research Council(Australian Research Council); IMAS and UTAS School of Aquaculture TPRS; Australian Research Council(Australian Research Council)</t>
  </si>
  <si>
    <t>Thanks to Associate Professor Stephen Battaglene for institutional support and the rock lobster propagation, technical staff at IMAS for technical assistance and the supply of experimental animals. We would like to thank the anonymous reviewers for their input in improving the manuscript. Rock lobster propagation research at IMAS was supported by the Fisheries Research and Development Corporation (project number 2006/235) and the Australian Research Council Linkage Project funding scheme (project number LP0775480). This research was also funded by an IMAS and UTAS School of Aquaculture TPRS co-funded scholarship.</t>
  </si>
  <si>
    <t>10.1016/j.aquaculture.2012.10.033</t>
  </si>
  <si>
    <t>071EK</t>
  </si>
  <si>
    <t>WOS:000313569100007</t>
  </si>
  <si>
    <t>Jensen, MA; Carter, CG; Adams, LR; Fitzgibbon, QP</t>
  </si>
  <si>
    <t>Jensen, Mark A.; Carter, Chris G.; Adams, Louise R.; Fitzgibbon, Quinn P.</t>
  </si>
  <si>
    <t>Growth and biochemistry of the spiny lobster Sagmariasus verreauxi cultured at low and high density from hatch to puerulus</t>
  </si>
  <si>
    <t>C:N ratio; Lipid; Ontogeny; Phyllosoma; Protein; Spiny lobster</t>
  </si>
  <si>
    <t>SOUTHERN ROCK LOBSTER; ELEMENTAL COMPOSITION C; EARLY LARVAL STAGES; JASUS-EDWARDSII; CHEMICAL-COMPOSITION; PHYLLOSOMA LARVAE; METABOLIC-ACTIVITY; CONTINENTAL-SHELF; STOCKING DENSITY; AMERICAN LOBSTER</t>
  </si>
  <si>
    <t>Stocking density is an important factor affecting the competency of later stage lecithotrophic spiny lobster larvae, yet its influence on biochemical composition has rarely been considered. Biochemical analysis of phyllosoma during ontogeny provides information on the energy storage requirements of late instar phyllosoma and their ability to survive metamorphosis and achieve the energetic demands of the puerulus stage. The current study is the first to examine biochemical composition of spiny lobsters through the entire larval phase. Survival, growth, development, and biochemical composition were measured in Sagmariasus verreauxi phyllosoma that were cultured at High Density (HD) and Low Density (LD) from hatch to puerulus. Protein measured directly by Lowry was considerably lower than crude protein as calculated from nitrogen (N) content using Nx6.25, suggesting that a conversion factor of 6.25 was too high. Survival of phyllosoma was significantly higher in the HD treatment after instar 9 due to high mortalities of LD phyllosoma caused by high ozonation during instar 9. However, HD phyllosoma were less susceptible to the high ozonation event possibly due to the larger biomass in HD tanks. Phyllosoma growth and development were more advanced in LD phyllosoma after 108 d. Instar 17 LD phyllosoma were also significantly larger than instar 17 HD phyllosoma. The C: N ratio confirmed proportionally more lipid than protein was accumulated during larval development before a significant decrease in lipid reserves between instar 17 and the puerulus stage by over 21% to fuel the process of metamorphosis and the non-feeding puerulus stage. The study demonstrated the larval phase of S. verreauxi is important for accumulating lipid reserves to fuel metamorphosis and the puerulus stage and provides a more complete picture of the culture requirements of spiny lobsters during ontogeny, particularly for the rarely studied late phyllosoma instars. Crown Copyright (C) 2012 Published by Elsevier B.V. All rights reserved.</t>
  </si>
  <si>
    <t>[Jensen, Mark A.; Carter, Chris G.; Fitzgibbon, Quinn P.] Inst Marine &amp; Antarctic Studies, Hobart, Tas 7001, Australia; [Adams, Louise R.] Univ Tasmania, Natl Ctr Marine Conservat &amp; Resource Sustainabil, Australian Maritime Coll, Launceston, Tas 7250, Australia</t>
  </si>
  <si>
    <t>Jensen, MA (corresponding author), Inst Marine &amp; Antarctic Studies, Private Bag 49, Hobart, Tas 7001, Australia.</t>
  </si>
  <si>
    <t>Mark.Jensen@utas.edu.au; Chris.Carter@utas.edu.au; Louise.Ward@utas.edu.au; Quinn.Fitzgibbon@utas.edu.au</t>
  </si>
  <si>
    <t>Thanks to Dr Robin Barnes and the staff and students at NCMCRS for the use of laboratory equipment and space. Thanks to Dr Thomas Rodemann for biochemical assistance and the use of equipment at CSL. Also, to Associate Professor Stephen Battaglene for institutional support and the rock lobster propagation technical staff at IMAS for technical assistance and the supply of experimental animals. We would like to thank the anonymous reviewers for their input in improving the manuscript. Rock lobster propagation research at IMAS was supported by the Fisheries Research and Development Corporation (project number 2006/235) and the Australian Research Council Linkage Project funding scheme (project number LP0775480). This research was also funded by an IMAS and UTAS School of Aquaculture TPRS co-funded scholarship.</t>
  </si>
  <si>
    <t>10.1016/j.aquaculture.2012.11.025</t>
  </si>
  <si>
    <t>WOS:000313569100023</t>
  </si>
  <si>
    <t>Swann, GEA; Pike, J; Snelling, AM; Leng, MJ; Williams, MC</t>
  </si>
  <si>
    <t>Swann, George E. A.; Pike, Jennifer; Snelling, Andrea M.; Leng, Melanie J.; Williams, Maria C.</t>
  </si>
  <si>
    <t>Seasonally resolved diatom δ18O records from the West Antarctic Peninsula over the last deglaciation</t>
  </si>
  <si>
    <t>Antarctic; biogenic silica; ENSO; isotope; melting; oxygen</t>
  </si>
  <si>
    <t>SOUTHERN-OCEAN SEDIMENTS; LARSEN ICE SHELF; PALMER-DEEP; OXYGEN ISOTOPES; BIOGENIC SILICA; CLIMATE-CHANGE; SEA-ICE; SURFACE-TEMPERATURE; MARINE DIATOMS; EL-NINO</t>
  </si>
  <si>
    <t>Understanding the response of the Antarctic ice sheets during the rapid climatic change that accompanied the last deglaciation has implications for establishing the susceptibility of these regions to future 21st Century warming. A unique diatom delta O-18 record derived from a high-resolution deglacial seasonally laminated core section off the west Antarctic Peninsula (WAP) is presented here. By extracting and analysing single species samples from individual laminae, season-specific isotope records were separately generated to show changes in glacial discharge to the coastal margin during spring and summer months. As well as documenting significant intra-annual seasonal variability during the deglaciation, with increased discharge occurring in summer relative to spring, further intra-seasonal variations are apparent between individual taxa linked to the environment that individual diatom species live in. Whilst deglacial delta O-18 are typically lower than those for the Holocene, indicating glacial discharge to the core site peaked at this time, inter-annual and inter-seasonal alternations in excess of 3% suggest significant variability in the magnitude of these inputs. These deglacial variations in glacial discharge are considerably greater than those seen in the modern day water column and would have altered both the supply of oceanic warmth to the WAP as well as regional marine/atmospheric interactions. In constraining changes in glacial discharge over the last deglaciation, the records provide a future framework for investigating links between annually resolved records of glacial dynamics and ocean/climate variability along the WAP. (C) 2012 Elsevier B.V. All rights reserved.</t>
  </si>
  <si>
    <t>[Swann, George E. A.] Univ Nottingham, Sch Geog, Nottingham NG7 2RD, England; [Pike, Jennifer; Williams, Maria C.] Cardiff Univ, Sch Earth &amp; Ocean Sci, Cardiff CF10 3AT, S Glam, Wales; [Snelling, Andrea M.; Leng, Melanie J.] British Geol Survey, NERC Isotope Geosci Lab, Keyworth NG12 5GG, Notts, England; [Leng, Melanie J.] Univ Leicester, Dept Geol, Leicester LE1 7RH, Leics, England</t>
  </si>
  <si>
    <t>University of Nottingham; Cardiff University; UK Research &amp; Innovation (UKRI); Natural Environment Research Council (NERC); NERC British Geological Survey; University of Leicester</t>
  </si>
  <si>
    <t>Swann, GEA (corresponding author), Univ Nottingham, Sch Geog, Univ Pk, Nottingham NG7 2RD, England.</t>
  </si>
  <si>
    <t>george.swann@nottingham.ac.uk</t>
  </si>
  <si>
    <t>Pike, Jennifer/D-2589-2009; Swann, George/B-2794-2011</t>
  </si>
  <si>
    <t>Pike, Jennifer/0000-0001-9415-6003; Swann, George/0000-0002-4750-9504</t>
  </si>
  <si>
    <t>Natural Environment Research Council (NERC) [NE/G004137/1, NE/G004811/1]; Cardiff Undergraduate Research Opportunity Programme (CUROP); NERC [NE/G004137/1, NE/G004811/1, nigl010001] Funding Source: UKRI; Natural Environment Research Council [NE/G004137/1, NE/G004811/1, nigl010001] Funding Source: researchfish</t>
  </si>
  <si>
    <t>Natural Environment Research Council (NERC)(UK Research &amp; Innovation (UKRI)Natural Environment Research Council (NERC)); Cardiff Undergraduate Research Opportunity Programme (CUROP); NERC(UK Research &amp; Innovation (UKRI)Natural Environment Research Council (NERC)); Natural Environment Research Council(UK Research &amp; Innovation (UKRI)Natural Environment Research Council (NERC))</t>
  </si>
  <si>
    <t>We thank Hilary Sloane for assistance with the isotope analyses, Anna Haworth and Eleanor Maddison for assistance with the drafting Figs. 1 and 3 respectively and the staff at the IODP Gulf Coast Core Repository for providing samples and assistance with sampling ODP Site 1098. This research was supported by Natural Environment Research Council (NERC) Grants NE/G004137/1 to M.J.L and G.E.A.S., NE/G004811/1 to J.P. and funding from the Cardiff Undergraduate Research Opportunity Programme (CUROP) to M.C.W. Finally we thank the two anonymous reviewers whose constructive comments helped improved the manuscript.</t>
  </si>
  <si>
    <t>10.1016/j.epsl.2012.12.016</t>
  </si>
  <si>
    <t>120KD</t>
  </si>
  <si>
    <t>WOS:000317168300002</t>
  </si>
  <si>
    <t>Stokes, CR; Fowler, AC; Clark, CD; Hindmarsh, RCA; Spagnolo, M</t>
  </si>
  <si>
    <t>Stokes, Chris R.; Fowler, Andrew C.; Clark, Chris D.; Hindmarsh, Richard C. A.; Spagnolo, Matteo</t>
  </si>
  <si>
    <t>The instability theory of drumlin formation and its explanation of their varied composition and internal structure</t>
  </si>
  <si>
    <t>Drumlins; Instability theory; Subglacial erosion; Subglacial deposition; Ice sheets</t>
  </si>
  <si>
    <t>NEW-YORK-STATE; SUBGLACIAL GLACIOTECTONIC DEFORMATION; LATE-PLEISTOCENE DRUMLINS; SCALE GLACIAL LINEATIONS; GERMAN ALPINE FORELAND; LAURENTIDE ICE-SHEET; WESTERN IRELAND; NORTHERN-IRELAND; RIBBED MORAINE; NOVA-SCOTIA</t>
  </si>
  <si>
    <t>Despite their importance in understanding glaciological processes and constraining large-scale flow patterns in palaeo-glaciology, there is little consensus as to how drumlins are formed. Attempts to solve the 'drumlin problem' often fail to address how they are created from an initially flat surface in the absence of obvious cores or obstacles. This is a key strength of the instability theory, which has been described in a suite of physically-based mathematical models and proposes that the coupled flow of ice and till causes spontaneous formation of relief in the till surface. Encouragingly, model predictions of bedform height and length are consistent with observations and, furthermore, the theory has been applied to a range of subglacial bedforms and not just drumlins. However, it has yet to confront the myriad observations relating to the composition and internal structure of drumlins and this could be seen as a major deficiency. This paper is a first attempt to assess whether the instability theory is compatible with the incredible diversity of sediments and structures found within drumlins. We summarise the underlying principles of the theory and then describe and attempt to explain the main types of drumlin composition (e.g. bedrock, till, glaciofluvial sediments, and combinations thereof). Contrary to a view which suggests that the presence of some sedimentary sequences (e.g. horizontally stratified cores) is inconsistent with the theory, we suggest that one would actually expect a diverse range of constituents depending on the inheritance of sediments that pre-date drumlin formation, the duration and variability of ice flow, and the balance between erosion and deposition (till continuity) at the ice bed interface. We conclude that the instability theory is compatible with (and potentially strengthened by) what is known about drumlin composition and, as such, offers the most complete and promising solution to the drumlin problem to date. (C) 2012 Elsevier Ltd. All rights reserved.</t>
  </si>
  <si>
    <t>[Stokes, Chris R.] Univ Durham, Dept Geog, Durham DH1 3LE, England; [Fowler, Andrew C.] Univ Limerick, Dept Math &amp; Stat, MACSI, Limerick, Ireland; [Fowler, Andrew C.] Math Inst, OCIAM, Oxford OX1 3LB, England; [Clark, Chris D.] Univ Sheffield, Dept Geog, Sheffield S10 2TN, S Yorkshire, England; [Hindmarsh, Richard C. A.] British Antarctic Survey, Cambridge CB3 0ET, England; [Spagnolo, Matteo] Univ Aberdeen, Sch Geosci, Aberdeen AB9 1FX, Scotland</t>
  </si>
  <si>
    <t>Durham University; University of Limerick; University of Oxford; University of Sheffield; UK Research &amp; Innovation (UKRI); Natural Environment Research Council (NERC); NERC British Antarctic Survey; University of Aberdeen</t>
  </si>
  <si>
    <t>Stokes, CR (corresponding author), Univ Durham, Dept Geog, Durham DH1 3LE, England.</t>
  </si>
  <si>
    <t>c.r.stokes@durham.ac.uk</t>
  </si>
  <si>
    <t>Hindmarsh, Richard/N-1195-2019; Spagnolo, Matteo/G-2415-2011; Fowler, Andrew/I-5868-2014; Stokes, Chris/A-1957-2011; clark, chris/C-3830-2009</t>
  </si>
  <si>
    <t>Hindmarsh, Richard/0000-0003-1633-2416; Spagnolo, Matteo/0000-0002-2753-338X; Stokes, Chris/0000-0003-3355-1573; clark, chris/0000-0002-1021-6679</t>
  </si>
  <si>
    <t>UK Natural Environment Research [NE/D011175/1]; Philip Leverhulme Prize; Mathematics Applications Consortium for Science and Industry; Science Foundation Ireland mathematics initiative [06/MI/005]; Natural Environment Research Council [bas0100027, NE/D011175/1] Funding Source: researchfish; NERC [NE/J008095/1, bas0100027, NE/D011175/1, NE/J008087/1] Funding Source: UKRI</t>
  </si>
  <si>
    <t>UK Natural Environment Research; Philip Leverhulme Prize(Leverhulme Trust); Mathematics Applications Consortium for Science and Industry; Science Foundation Ireland mathematics initiative(Science Foundation Ireland); Natural Environment Research Council(UK Research &amp; Innovation (UKRI)Natural Environment Research Council (NERC)); NERC(UK Research &amp; Innovation (UKRI)Natural Environment Research Council (NERC))</t>
  </si>
  <si>
    <t>This work was supported by a UK Natural Environment Research grant (NE/D011175/1). CRS also wishes to acknowledge financial support from a Philip Leverhulme Prize. ACF acknowledges the support of the Mathematics Applications Consortium for Science and Industry (www.macsi.ul.ie) funded by the Science Foundation Ireland mathematics initiative grant 06/MI/005. We also acknowledge the work of the Editor, Neil Glasser, and constructive reviews from Doug Benn and an anonymous reviewer.</t>
  </si>
  <si>
    <t>10.1016/j.quascirev.2012.11.011</t>
  </si>
  <si>
    <t>WOS:000315013800006</t>
  </si>
  <si>
    <t>Fitzgerald, LA; Petersen, ER; Leary, DH; Nadeau, LJ; Soto, CM; Ray, RI; Little, BJ; Ringeisen, BR; Johnson, GR; Vora, GJ; Biffinger, JC</t>
  </si>
  <si>
    <t>Fitzgerald, Lisa A.; Petersen, Emily R.; Leary, Dagmar H.; Nadeau, Lloyd J.; Soto, Carissa M.; Ray, Richard I.; Little, Brenda J.; Ringeisen, Bradley R.; Johnson, Glenn R.; Vora, Gary J.; Biffinger, Justin C.</t>
  </si>
  <si>
    <t>Shewanella frigidimarina microbial fuel cells and the influence of divalent cations on current output</t>
  </si>
  <si>
    <t>22nd Anniversary World Congress on Biosensors / Summer School on Printed Biosensors and Electronics</t>
  </si>
  <si>
    <t>MAY 15-18, 2012</t>
  </si>
  <si>
    <t>Cancun, MEXICO</t>
  </si>
  <si>
    <t>Shewanella frigidimarina; Shewanella oneidensis MR-1; Microbial fuel cell; Extracellular electron transfer</t>
  </si>
  <si>
    <t>EXTRACELLULAR ELECTRON-TRANSFER; OUTER-MEMBRANE CYTOCHROMES; ONEIDENSIS MR-1; SOLUBLE CYTOCHROMES; STATISTICAL-MODEL; REDUCTION; IDENTIFICATION; ELECTRICITY; GEOBACTER; MTRC</t>
  </si>
  <si>
    <t>The genes involved in the proposed pathway for Shewanella extracellular electron transfer (EET) are highly conserved. While extensive studies involving EET from a fresh water Shewanella microbe (S. oneidensis MR-1) to soluble and insoluble electron acceptors have been published, only a few reports have examined EET from marine strains of Shewanella. Thus, Shewanella frigidimarina (an isolate from Antarctic Sea ice) was used within miniature microbial fuel cells (mini-MFC) to evaluate potential power output. During the course of this study several distinct differences were observed between S. oneidensis MR-1 and S. frigidimarina under comparable conditions. The maximum power density with S. frigidimarina was observed when the anolyte was half-strength marine broth (1/2 MB) (0.28 mu W/cm(2)) compared to Luria-Bertani (LB) (0.07 mu W/cm(2)) or a defined growth minimal medium (MM) (0.02 mu W/cm(2)). The systematic modification of S. frigidimarina cultured in 1/2 MB and LB with divalent cations shows that a maximum current output can be generated independent of internal ionic ohmic losses and the presence of external mediators. Published by Elsevier B.V.</t>
  </si>
  <si>
    <t>[Fitzgerald, Lisa A.; Ringeisen, Bradley R.; Biffinger, Justin C.] USN, Div Chem, Res Lab, Washington, DC 20375 USA; [Petersen, Emily R.] Nova Res Inc, Alexandria, VA 22308 USA; [Leary, Dagmar H.] NRL, Natl Res Council, Washington, DC 20375 USA; [Nadeau, Lloyd J.; Johnson, Glenn R.] USAF, Res Lab, Tyndall Afb, FL 32403 USA; [Soto, Carissa M.; Vora, Gary J.] USN, Ctr Bio Mol Sci &amp; Engn, Res Lab, Washington, DC 20375 USA; [Ray, Richard I.; Little, Brenda J.] USN, Res Lab, Div Oceanog, John C Stennis Space Ctr, MS 39529 USA</t>
  </si>
  <si>
    <t>United States Department of Defense; United States Navy; Naval Research Laboratory; Nova Research, Inc.; National Academies of Sciences, Engineering &amp; Medicine; United States Department of Defense; United States Navy; Naval Research Laboratory; United States Department of Defense; United States Air Force; United States Department of Defense; United States Navy; Naval Research Laboratory; United States Department of Defense; United States Navy; Naval Research Laboratory</t>
  </si>
  <si>
    <t>Biffinger, JC (corresponding author), USN, Div Chem, Res Lab, 4555 Overlook Ave SW, Washington, DC 20375 USA.</t>
  </si>
  <si>
    <t>justin.biffinger@nrl.navy.mil</t>
  </si>
  <si>
    <t>Vora, Gary J./AAT-7842-2021</t>
  </si>
  <si>
    <t>Vora, Gary J./0000-0002-0657-8597; , Lisa/0000-0002-2716-4908</t>
  </si>
  <si>
    <t>10.1016/j.bios.2012.06.039</t>
  </si>
  <si>
    <t>061CX</t>
  </si>
  <si>
    <t>WOS:000312825800017</t>
  </si>
  <si>
    <t>Yin, QZ</t>
  </si>
  <si>
    <t>Yin, Qiuzhen</t>
  </si>
  <si>
    <t>Insolation-induced mid-Brunhes transition in Southern Ocean ventilation and deep-ocean temperature</t>
  </si>
  <si>
    <t>MIDPLEISTOCENE TRANSITION; CARBON-DIOXIDE; CLIMATE; RECORD; HEMISPHERE; ATLANTIC; FRONT</t>
  </si>
  <si>
    <t>Glacial-interglacial cycles characterized by long cold periods interrupted by short periods of warmth are the dominant feature of Pleistocene climate, with the relative intensity and duration of past and future interglacials being of particular interest for civilization. The interglacials after 430,000 years ago were characterized by warmer climates(1,2) and higher atmospheric concentrations of carbon dioxide(3) than the interglacials before, but the cause of this climatic transition (the so-called mid-Brunhes event (MBE)) is unknown. Here I show, on the basis of model simulations, that in response to insolation changes only, feedbacks between sea ice, temperature, evaporation and salinity caused vigorous pre-MBE Antarctic bottom water formation and Southern Ocean ventilation. My results also show that strong westerlies increased the pre-MBE overturning in the Southern Ocean via an increased latitudinal insolation gradient created by changes in eccentricity during austral winter and by changes in obliquity during austral summer. The stronger bottom water formation led to a cooler deep ocean during the older interglacials. These insolation-induced differences in the deep-sea temperature and in the Southern Ocean ventilation between the more recent interglacials and the older ones were not expected, because there is no straightforward systematic difference in the astronomical parameters between the Interglacials before and after 430,000 years ago(4). Rather than being a real 'event', the apparent MBE seems to have resulted from a series of individual interglacial responses including notable exceptions to the general pattern to various combinations of insolation conditions. Consequently, assuming no anthropogenic interference, future interglacials may have pre- or post-MBE characteristics without there being a systematic change in forcings. These findings are a first step towards understanding the magnitude change of the interglacial carbon dioxide concentration around 430,000 years ago.</t>
  </si>
  <si>
    <t>Catholic Univ Louvain, Earth &amp; Life Inst, Georges Lemaitre Ctr Earth &amp; Climate Res, B-1348 Louvain, Belgium</t>
  </si>
  <si>
    <t>Universite Catholique Louvain</t>
  </si>
  <si>
    <t>Yin, QZ (corresponding author), Catholic Univ Louvain, Earth &amp; Life Inst, Georges Lemaitre Ctr Earth &amp; Climate Res, Chemin Cyclotron 2, B-1348 Louvain, Belgium.</t>
  </si>
  <si>
    <t>qiuzhen.yin@uclouvain.be</t>
  </si>
  <si>
    <t>Yin, Qiuzhen/0000-0002-7189-8335</t>
  </si>
  <si>
    <t>European Research Council [227348]; Belgian National Fund for Scientific Research (FRS-FNRS); S. A. Electrabel, Belgium; European Research Council (ERC) [227348] Funding Source: European Research Council (ERC)</t>
  </si>
  <si>
    <t>European Research Council(European Research Council (ERC)); Belgian National Fund for Scientific Research (FRS-FNRS)(Fonds de la Recherche Scientifique - FNRS); S. A. Electrabel, Belgium; European Research Council (ERC)(European Research Council (ERC)Spanish Government)</t>
  </si>
  <si>
    <t>Thanks to A. Berger, M. Crucifix, A. Ganopolski and D. Paillard for their comments on the previous draft of this paper, to A. Mouchet for her help on the water age calculation in LOVECLIM, and to A. Timmermann for his comments on the results. Thanks also to N. Herold for help with English. This work is supported by the European Research Council Advanced Grant EMIS (no. 227348 of the Programme 'Ideas'). The author is supported by the Belgian National Fund for Scientific Research (FRS-FNRS). Access to computer facilities was made easier through sponsorship from S. A. Electrabel, Belgium.</t>
  </si>
  <si>
    <t>FEB 14</t>
  </si>
  <si>
    <t>10.1038/nature11790</t>
  </si>
  <si>
    <t>092QS</t>
  </si>
  <si>
    <t>WOS:000315137700036</t>
  </si>
  <si>
    <t>Vicente, F; Fontoura, P; Cesari, M; Rebecchi, L; Guidetti, R; Serrano, A; Bertolani, R</t>
  </si>
  <si>
    <t>Vicente, Filipe; Fontoura, Paulo; Cesari, Michele; Rebecchi, Lorena; Guidetti, Roberto; Serrano, Artur; Bertolani, Roberto</t>
  </si>
  <si>
    <t>Integrative taxonomy allows the identification of synonymous species and the erection of a new genus of Echiniscidae (Tardigrada, Heterotardigrada)</t>
  </si>
  <si>
    <t>Diploechiniscus gen. nov.; Diploechiniscus oihonnae comb. nov.; DNA barcoding; 18S; phylogeny; morphology</t>
  </si>
  <si>
    <t>MAXIMUM-LIKELIHOOD; PHYLOGENY; EUTARDIGRADA</t>
  </si>
  <si>
    <t>The taxonomy of tardigrades is challenging as these animals demonstrate a limited number of useful morphological characters, therefore several species descriptions are supported by only minor differences. For example, Echiniscus oihonnae and Echiniscus multispinosus are separated exclusively by the absence or presence of dorsal spines at position Bd. Doubts were raised on the validity of these two species, which were often sampled together. Using an integrative approach, based on genetic and morphological investigations, we studied two new Portuguese populations, and compared these with archived collections. We have determined that the two species must be considered synonymous with Echiniscus oihonnae the senior synonym. Our study showed generally low genetic distances of cox1 gene (with a maximum of 4.1%), with specimens displaying both morphologies sharing the same haplotype, and revealed character Bd to be variable. Additionally, a more detailed morphological and phylogenetic study based on the 18S gene uncovered a new evolutionary line within the Echiniscidae, which justified the erection of Diploechiniscus gen. nov. The new genus is in a sister group relationship with Echiniscus and is, for the moment, composed of a single species.</t>
  </si>
  <si>
    <t>[Vicente, Filipe; Serrano, Artur] Univ Lisbon, Fac Sci, Ctr Environm Biol, P-1749016 Lisbon, Portugal; [Vicente, Filipe; Serrano, Artur] Univ Lisbon, Fac Sci, Dept Anim Biol, P-1749016 Lisbon, Portugal; [Fontoura, Paulo] Univ Porto, Fac Sci, Eco Ethol Res Unit FCT 331 94, P-4169007 Oporto, Portugal; [Fontoura, Paulo] Univ Porto, Fac Sci, Dept Biol, P-4169007 Oporto, Portugal; [Vicente, Filipe; Cesari, Michele; Rebecchi, Lorena; Guidetti, Roberto] Univ Modena &amp; Reggio Emilia, Dept Life Sci, I-41125 Modena, Italy; [Bertolani, Roberto] Univ Modena &amp; Reggio Emilia, Dept Educ &amp; Human Sci, I-42121 Reggio Emilia, Italy</t>
  </si>
  <si>
    <t>Universidade de Lisboa; Universidade de Lisboa; Universidade do Porto; Universidade do Porto; Universita di Modena e Reggio Emilia; Universita di Modena e Reggio Emilia</t>
  </si>
  <si>
    <t>Cesari, M (corresponding author), Univ Lisbon, Fac Sci, Ctr Environm Biol, Campo Grande C2, P-1749016 Lisbon, Portugal.</t>
  </si>
  <si>
    <t>fjvicente@fc.ul.pt; pfontoura@fc.up.pt; michele.cesari@unimore.it; lorena.rebecchi@unimore.it; roberto.guidetti@unimore.it; roberto.bertolani@unimore.it</t>
  </si>
  <si>
    <t>Serrano, Artur Raposo Moniz/P-6425-2015; Fontoura, Paulo/B-5814-2009; Guidetti, Roberto/H-2855-2012; Cesari, Michele/AAS-4964-2020; Rebecchi, Lorena/E-1653-2015</t>
  </si>
  <si>
    <t>Fontoura, Paulo/0000-0001-7266-3119; Guidetti, Roberto/0000-0001-6079-2538; Cesari, Michele/0000-0001-8857-3791; Rebecchi, Lorena/0000-0001-5610-806X; Serrano, Artur/0000-0003-4282-6073</t>
  </si>
  <si>
    <t>Fundacao para a Ciencia e a Tecnologia, Portugal [BD/39234/2007, Pest-OE/MAR/UI0331/2011]; European Distributed Institute of Taxonomy (EDIT); Fondazione Cassa di Risparmio di Modena (Italy); University of Modena and Reggio Emilia (Modena, Italy)</t>
  </si>
  <si>
    <t>Fundacao para a Ciencia e a Tecnologia, Portugal(Fundacao para a Ciencia e a Tecnologia (FCT)); European Distributed Institute of Taxonomy (EDIT); Fondazione Cassa di Risparmio di Modena (Italy); University of Modena and Reggio Emilia (Modena, Italy)</t>
  </si>
  <si>
    <t>This study was partially supported by the Fundacao para a Ciencia e a Tecnologia, Portugal, with a grant (BD/39234/2007) to the first author and by the program Pest-OE/MAR/UI0331/2011 to the research of the second author, and also by the European Distributed Institute of Taxonomy (EDIT) within the program ATBI: All Taxa Biodiversity Inventories in the Gemer Area, Slovakia. The research is also part of the project MoDNA supported by Fondazione Cassa di Risparmio di Modena (Italy) and the University of Modena and Reggio Emilia (Modena, Italy). The authors wish to thank Dr. Cesar Garcia (Botanical Garden, Lisbon) for providing the moss samples from the Portuguese locality of Moita do Conqueiro, and Museo Civico di Storia Naturale di Verona for the availability of the slides of the Maucci collection. They also wish to thank Sandra McInnes, of the British Antarctic Survey, for her critical support and the English revision. The authors are also thankful to the two anonymous referees for their helpful comments and suggestions.</t>
  </si>
  <si>
    <t>10.11646/zootaxa.3613.6.3</t>
  </si>
  <si>
    <t>089SS</t>
  </si>
  <si>
    <t>WOS:000314930900003</t>
  </si>
  <si>
    <t>Goutte, A; Cherel, Y; Houssais, MN; Klein, V; Ozouf-Costaz, C; Raccurt, M; Robineau, C; Massé, G</t>
  </si>
  <si>
    <t>Goutte, Aurelie; Cherel, Yves; Houssais, Marie-Noelle; Klein, Vincent; Ozouf-Costaz, Catherine; Raccurt, Mireille; Robineau, Camille; Masse, Guillaume</t>
  </si>
  <si>
    <t>Diatom-Specific Highly Branched Isoprenoids as Biomarkers in Antarctic Consumers</t>
  </si>
  <si>
    <t>POLAR MARINE ECOSYSTEMS; SEA-ICE CONDITIONS; EUPHAUSIA-SUPERBA; ADELIE PENGUINS; FOOD-WEB; TERRE-ADELIE; SOUTHERN; VARIABILITY; SEABIRD; KRILL</t>
  </si>
  <si>
    <t>The structure, functioning and dynamics of polar marine ecosystems are strongly influenced by the extent of sea ice. Ice algae and pelagic phytoplankton represent the primary sources of nutrition for higher trophic-level organisms in seasonally ice-covered areas, but their relative contributions to polar marine consumers remain largely unexplored. Here, we investigated the potential of diatom-specific lipid markers and highly branched isoprenoids (HBIs) for estimating the importance of these two carbon pools in an Antarctic pelagic ecosystem. Using GC-MS analysis, we studied HBI biomarkers in key marine species over three years in Adelie Land, Antarctica: euphausiids (ice krill Euphausia crystallorophias and Antarctic krill E. superba), fish (bald notothens Pagothenia borchgrevinki and Antarctic silverfish Pleuragramma antarcticum) and seabirds (Adelie penguins Pygoscelis adeliae, snow petrels Pagodroma nivea and cape petrels Daption capense). This study provides the first evidence of the incorporation of HBI lipids in Antarctic pelagic consumers. Specifically, a di-unsaturated HBI (diene) of sea ice origin was more abundant in ice-associated species than in pelagic species, whereas a tri-unsaturated HBI (triene) of phytoplanktonic origin was more abundant in pelagic species than in ice-associated species. Moreover, the relative abundances of diene and triene in seabird tissues and eggs were higher during a year of good sea ice conditions than in a year of poor ice conditions. In turn, the higher contribution of ice algal derived organic matter to the diet of seabirds was related to earlier breeding and higher breeding success. HBI biomarkers are a promising tool for estimating the contribution of organic matter derived from ice algae in pelagic consumers from Antarctica.</t>
  </si>
  <si>
    <t>[Goutte, Aurelie; Houssais, Marie-Noelle; Klein, Vincent; Robineau, Camille; Masse, Guillaume] Univ Paris 06, UMR CNRS 7159, Lab Oceanog &amp; Climat Experimentat &amp; Approches Num, Paris, France; [Cherel, Yves] Ctr Etud Biol Chize, UPR 1934 CNRS, Beauvoir Sur Niort, France; [Ozouf-Costaz, Catherine] Museum Natl Hist Nat, UMR CNRS 7138, F-75231 Paris, France; [Raccurt, Mireille] Univ Lyon, UMR CNRS 5023, Villeurbanne, France; [Masse, Guillaume] CNRS, Takuvik, PQ, Canada; [Masse, Guillaume] Univ Laval, UMI 3376, Takuvik, PQ, Canada</t>
  </si>
  <si>
    <t>Sorbonne Universite; Museum National d'Histoire Naturelle (MNHN); Museum National d'Histoire Naturelle (MNHN); Centre National de la Recherche Scientifique (CNRS); Universite Claude Bernard Lyon 1; Laval University</t>
  </si>
  <si>
    <t>Goutte, A (corresponding author), Univ Paris 06, UMR CNRS 7159, Lab Oceanog &amp; Climat Experimentat &amp; Approches Num, Paris, France.</t>
  </si>
  <si>
    <t>agoutte@gmail.com</t>
  </si>
  <si>
    <t>Goutte, Aurelie/JZT-6808-2024; Goutte, Aurelie/F-7572-2017</t>
  </si>
  <si>
    <t>Chiaradia, Andre/0000-0002-6178-4211; Goutte, Aurelie/0000-0001-8322-5843</t>
  </si>
  <si>
    <t>European Research Council (ICEPROXY) [203441]; French Insitut Paul-Emile Victor (IPEV) [1010, 1124, 131, 1039, 109]; European Research Council (ERC) [203441] Funding Source: European Research Council (ERC)</t>
  </si>
  <si>
    <t>European Research Council (ICEPROXY); French Insitut Paul-Emile Victor (IPEV); European Research Council (ERC)(European Research Council (ERC)Spanish Government)</t>
  </si>
  <si>
    <t>This work was funded by the European Research Council (ICEPROXY, project number 203441) and the French Insitut Paul-Emile Victor (IPEV projects No 1010, G. Masse; No1124, G. Lecointre; No 131, C. Duchamp; No 1039, J-Y. Toullec and No109, H. Weimerskirch). The funders had no role in study design, data collection and analysis, decision to publish, or preparation of the manuscript.</t>
  </si>
  <si>
    <t>FEB 13</t>
  </si>
  <si>
    <t>e56504</t>
  </si>
  <si>
    <t>10.1371/journal.pone.0056504</t>
  </si>
  <si>
    <t>104DM</t>
  </si>
  <si>
    <t>WOS:000315970300173</t>
  </si>
  <si>
    <t>Rybalka, N; Wolf, M; Andersen, RA; Friedl, T</t>
  </si>
  <si>
    <t>Rybalka, Nataliya; Wolf, Matthias; Andersen, Robert A.; Friedl, Thomas</t>
  </si>
  <si>
    <t>Congruence of chloroplast- and nuclear-encoded DNA sequence variations used to assess species boundaries in the soil microalga Heterococcus (Stramenopiles, Xanthophyceae)</t>
  </si>
  <si>
    <t>BMC EVOLUTIONARY BIOLOGY</t>
  </si>
  <si>
    <t>Soil algae; Heterococcus; Xanthophyceae; psbA/rbcL spacer; ITS2; Systematics; Molecular phylogeny; Species concept</t>
  </si>
  <si>
    <t>TERRESTRIAL HABITATS; CHLOROPHYTA; PHYLOGENY; EVOLUTION; ALIGNMENT; ALGAE; RBCL; DIVERSITY; HISTORY; TOOL</t>
  </si>
  <si>
    <t>Background: Heterococcus is a microalgal genus of Xanthophyceae (Stramenopiles) that is common and widespread in soils, especially from cold regions. Species are characterized by extensively branched filaments produced when grown on agarized culture medium. Despite the large number of species described exclusively using light microscopic morphology, the assessment of species diversity is hampered by extensive morphological plasticity. Results: Two independent types of molecular data, the chloroplast-encoded psbA/rbcL spacer complemented by rbcL gene and the internal transcribed spacer 2 of the nuclear rDNA cistron (ITS2), congruently recovered a robust phylogenetic structure. With ITS2 considerable sequence and secondary structure divergence existed among the eight species, but a combined sequence and secondary structure phylogenetic analysis confined to helix II of ITS2 corroborated relationships as inferred from the rbcL gene phylogeny. Intra-genomic divergence of ITS2 sequences was revealed in many strains. The 'monophyletic species concept', appropriate for microalgae without known sexual reproduction, revealed eight different species. Species boundaries established using the molecular-based monophyletic species concept were more conservative than the traditional morphological species concept. Within a species, almost identical chloroplast marker sequences (genotypes) were repeatedly recovered from strains of different origins. At least two species had widespread geographical distributions; however, within a given species, genotypes recovered from Antarctic strains were distinct from those in temperate habitats. Furthermore, the sequence diversity may correspond to adaptation to different types of habitats or climates. Conclusions: We established a method and a reference data base for the unambiguous identification of species of the common soil microalgal genus Heterococcus which uses DNA sequence variation in markers from plastid and nuclear genomes. The molecular data were more reliable and more conservative than morphological data.</t>
  </si>
  <si>
    <t>[Rybalka, Nataliya; Friedl, Thomas] Univ Gottingen, Expt Phycol &amp; Culture Collect Algae SAG, D-37073 Gottingen, Germany; [Rybalka, Nataliya] Univ Kiel, Inst Bot, D-24118 Kiel, Germany; [Wolf, Matthias] Univ Wurzburg, Bioctr, Dept Bioinformat, D-97074 Wurzburg, Germany; [Andersen, Robert A.] Univ Washington, Friday Harbor Labs, Friday Harbor, WA 98250 USA</t>
  </si>
  <si>
    <t>University of Gottingen; University of Kiel; University of Wurzburg; University of Washington</t>
  </si>
  <si>
    <t>Friedl, T (corresponding author), Univ Gottingen, Expt Phycol &amp; Culture Collect Algae SAG, Untere Karspule 2A, D-37073 Gottingen, Germany.</t>
  </si>
  <si>
    <t>tfriedl@uni-goettingen.de</t>
  </si>
  <si>
    <t>Friedl, Thomas/AAQ-4606-2021; Rybalka, Nataliya/K-7693-2019; Wolf, Matthias/A-5580-2008; Rybalka, Nataliya/AAX-1258-2020; Friedl, Thomas/AAS-4403-2021</t>
  </si>
  <si>
    <t>Friedl, Thomas/0000-0002-4070-776X; Wolf, Matthias/0000-0003-2004-1806; Rybalka, Nataliya/0000-0002-3250-3679;</t>
  </si>
  <si>
    <t>Christiane Nusslein-Volhard-Stiftung (CNV); L'Oreal-UNESCO For Women in Science Award; National Science Foundation [DEB-0949211]; Deutsche Forschungsgemeinschaft (DFG) [FR 905/13-2,3]</t>
  </si>
  <si>
    <t>Christiane Nusslein-Volhard-Stiftung (CNV); L'Oreal-UNESCO For Women in Science Award; National Science Foundation(National Science Foundation (NSF)); Deutsche Forschungsgemeinschaft (DFG)(German Research Foundation (DFG))</t>
  </si>
  <si>
    <t>NR acknowledges the various support provided by Professor Rudiger Schulz, Kiel University, Germany. This work would not have been possible without the generous financial support of grants extended by the Christiane Nusslein-Volhard-Stiftung (CNV) and the L'Oreal-UNESCO For Women in Science Award to NR; RAA acknowledges National Science Foundation support for grant DEB-0949211. NR acknowledges Professors Maria Olech (Jagiellonian University, Krakow, Poland, and Polish Academy of Sciences) and Andrzej Massalski (Jan Kochanowski University, Kielce, Poland) for provision of Antarctic soil samples and strain B10. Dr. Katrin I. Mohr is acknowledged for provision of four strains she isolated from freshwater; development and analyses of these strains were made possible through a grant of the Deutsche Forschungsgemeinschaft (DFG) extended to T.F. (FR 905/13-2,3). NR and TF acknowledge the assistance in purification, and maintenance of the studied culture strains as well as provision of reference strains from the SAG culture collection, by Ilse Kunkel, Marlis Heinemann, Hella Timmermann and Dr. Maike Lorenz. Robert Rockstuhl helped in isolating strains from Antarctic soil samples.</t>
  </si>
  <si>
    <t>1471-2148</t>
  </si>
  <si>
    <t>BMC EVOL BIOL</t>
  </si>
  <si>
    <t>BMC Evol. Biol.</t>
  </si>
  <si>
    <t>10.1186/1471-2148-13-39</t>
  </si>
  <si>
    <t>Evolutionary Biology; Genetics &amp; Heredity</t>
  </si>
  <si>
    <t>102CV</t>
  </si>
  <si>
    <t>WOS:000315821900001</t>
  </si>
  <si>
    <t>Tozzi, R; De Santis, A; Gaya-Piqué, LR</t>
  </si>
  <si>
    <t>Tozzi, Roberta; De Santis, Angelo; Gaya-Pique, Luis-Ricardo</t>
  </si>
  <si>
    <t>Antarctic geomagnetic reference model updated to 2010 and provisionally to 2012</t>
  </si>
  <si>
    <t>Spherical cap harmonic analysis; Magnetic mapping; Geomagnetic secular variation; Antarctica</t>
  </si>
  <si>
    <t>CAP HARMONIC-ANALYSIS; EARTHS MAGNETIC-FIELD; COMPREHENSIVE MODELS; ANOMALIES; REPRESENTATION; SATELLITE; CHAMP</t>
  </si>
  <si>
    <t>The Antarctic Reference Model (ARM) has been here updated using recent geomagnetic data measured over the Antarctic continent from both ground observatories and satellites. This regional geomagnetic model is based on a Spherical Cap Harmonic Analysis (SCHA) of geomagnetic field measurements over a polar cap of 30 degrees half-angle centred at the geographic South Pole, fixing the maximum spatial expansion index k(max) = 8 and the maximum temporal order of polynomials q(max) = 4. The importance of updating ARM model lies, for instance, in its usefulness for the reduction of magnetic surveys, performed during the period of model validity over the Antarctica, or for geomagnetic anomaly field estimations. Moreover, so far, ARM still remains the only regional reference magnetic model specifically constructed for the Antarctic continent. The present updated version can be considered valid from 1955.5 to 2010.0 with predictive coefficients up to 2012.0. The model includes the most recent available data but, in contrast to previous versions not only does it take advantage of a stricter selection of satellite data in order to consider even quieter periods of external magnetic activity, but it also includes ground observatory data previous to 1960 going back to 1955.8. Like the previous versions, the new updated model has been tested and compared with major global models to show its reliability over the region under investigation. (c) 2012 Elsevier B.V. All rights reserved.</t>
  </si>
  <si>
    <t>[Tozzi, Roberta; De Santis, Angelo] Ist Nazl Geofis &amp; Vulcanol, Rome, Italy; [De Santis, Angelo] Univ G DAnnunzio, Chieti, Italy; [Gaya-Pique, Luis-Ricardo] Comprehens Nucl Test Ban Treaty Org PrepCom, On Site Inspect Div, Vienna, Austria</t>
  </si>
  <si>
    <t>Istituto Nazionale Geofisica e Vulcanologia (INGV); G d'Annunzio University of Chieti-Pescara</t>
  </si>
  <si>
    <t>Tozzi, R (corresponding author), Ist Nazl Geofis &amp; Vulcanol, Rome, Italy.</t>
  </si>
  <si>
    <t>roberta.tozzi@ingv.it</t>
  </si>
  <si>
    <t>De Santis, Angelo/AAG-2895-2021; Tozzi, Roberta/ABP-8925-2022</t>
  </si>
  <si>
    <t>Tozzi, Roberta/0000-0002-1836-4078</t>
  </si>
  <si>
    <t>Programma Nazionale Ricerche in Antartide (PNRA) in the framework of the ARM (ARM I) project; Programma Nazionale Ricerche in Antartide (PNRA) in the framework of the ARM (ARM II) project</t>
  </si>
  <si>
    <t>We are grateful to all people that have been involved in the support of the databases used in this work. In particular the staff of Orsted Project Office and the Orsted Science Data Centre at the Danish Meteorological Institute for Orsted data, of Information Systems and Data Center at GFZ for Champ data, of BGS for annual means of the geomagnetic field and that of OMNIWeb at Goddard Space Flight Center for magnetic indices. This work has been funded by the Programma Nazionale Ricerche in Antartide (PNRA) in the framework of the ARM (ARM I and ARM II) projects. The Authors would like to thank also Dr. Enkelejda Qamili for some useful discussions and two anonymous reviewers whose comments helped improve the manuscript. Figures were drawn using the Generic Mapping Tools (Wessel and Smith, 1998).</t>
  </si>
  <si>
    <t>FEB 11</t>
  </si>
  <si>
    <t>10.1016/j.tecto.2012.06.034</t>
  </si>
  <si>
    <t>094BU</t>
  </si>
  <si>
    <t>WOS:000315238800003</t>
  </si>
  <si>
    <t>Kim, HR; von Frese, RRB</t>
  </si>
  <si>
    <t>Kim, Hyung Rae; von Frese, Ralph R. B.</t>
  </si>
  <si>
    <t>Localized analysis of polar geomagnetic jerks</t>
  </si>
  <si>
    <t>Geomagnetic jerk; Slepian analysis; Regional modeling; gufm1; Polar regions; Time-lag</t>
  </si>
  <si>
    <t>EARTHS MAGNETIC-FIELD; SECULAR VARIATION; MODEL; SATELLITE; CHAMP</t>
  </si>
  <si>
    <t>A new method is introduced to find the relatively sudden temporal changes or jerks of the geomagnetic field over the polar regions. Geomagnetic jerk events during the 20th century have mostly been identified from direct measurements at mid-latitude geomagnetic observatories. Recently, however, global magnetic spherical harmonic models like CM4 and CHAOS have been found effective in identifying the Antarctic events of 1969, 1978, 1985, 1991 and 2003 that were followed by jerks in the Arctic region with time delays of one to three years. The present study extends these events into earlier decades from 1900 to 1985 using the global harmonic model gufm1 with localized spherical coefficients or Slepian functions for the polar regions. Power spectral minima for the localized coefficients correlate with and thus help identify the abrupt changes in geomagnetic secular acceleration models. The time delay between the Antarctic and Arctic geomagnetic jerks was also confirmed. (c) 2012 Elsevier B.V. All rights reserved.</t>
  </si>
  <si>
    <t>[Kim, Hyung Rae] Kongju Nat Univ, Dept Geoenvironm Sci, Gongju, Chungnam, South Korea; [von Frese, Ralph R. B.] Ohio State Univ, Sch Earth Sci, Columbus, OH 43210 USA</t>
  </si>
  <si>
    <t>Kongju National University; University System of Ohio; Ohio State University</t>
  </si>
  <si>
    <t>Kim, HR (corresponding author), Kongju Nat Univ, Dept Geoenvironm Sci, Gongju, Chungnam, South Korea.</t>
  </si>
  <si>
    <t>kimhr@kongju.ac.kr</t>
  </si>
  <si>
    <t>SUNOL, CRISTINA/K-8302-2014</t>
  </si>
  <si>
    <t>Kim, Hyung Rae/0000-0002-6576-9457</t>
  </si>
  <si>
    <t>Korea Research Foundation Grant; Korean Government (MOEHRD, Basic Research Promotion Fund) [KRF-20080430KJ]</t>
  </si>
  <si>
    <t>Korea Research Foundation Grant(National Research Foundation of Korea); Korean Government (MOEHRD, Basic Research Promotion Fund)(Ministry of Education &amp; Human Resources Development (MOEHRD), Republic of KoreaKorean Government)</t>
  </si>
  <si>
    <t>We thank Dr. F. Simons for making available numerous Matlab codes on his website (www.princeton.edu/geosciences/people/simons) that were modified for this study. We also are grateful to two reviewers for improving the manuscript. Elements of this research were supported by the Korea Research Foundation Grant funded by the Korean Government (MOEHRD, Basic Research Promotion Fund) (KRF-20080430KJ).</t>
  </si>
  <si>
    <t>10.1016/j.tecto.2012.06.038</t>
  </si>
  <si>
    <t>WOS:000315238800004</t>
  </si>
  <si>
    <t>Yegorova, T; Bakhmutov, V</t>
  </si>
  <si>
    <t>Yegorova, Tamara; Bakhmutov, Vladimir</t>
  </si>
  <si>
    <t>Crustal structure of the Antarctic Peninsula sector of the Gondwana margin around Anvers Island from geophysical data</t>
  </si>
  <si>
    <t>Magnetic anomalies; Gravity anomalies; Controlled source seismology; Crustal studies of the Antarctic</t>
  </si>
  <si>
    <t>LAND SHEAR ZONE; PALMER-LAND; MAGNETIC-ANOMALIES; WEST ANTARCTICA; PACIFIC MARGIN; GRAHAM LAND; GRAVITY; LITHOSPHERE; SATELLITE; ACCRETION</t>
  </si>
  <si>
    <t>We investigated the crustal structure of the northern Antarctic Peninsula (AP) - a composite magmatic arc terrane at the Pacific margin of Gondwana. It was formed in Mesozoic-Cenozoic by collision/accretion of allochthonous terranes to the Gondwana margin during subduction and progressive ridge collision of former Phoenix Plate under the AP. The AP is distinguished by belts of high-amplitude, gravity and magnetic anomalies, inferred to indicate the presence of plutons of mafic composition comprising the huge AP batholith. For a better understanding of the lithosphere structure and tectonic processes of the AP continental margin we performed 2D gravity and magnetic modeling along line III-III, which crosses the margin south of Anvers Island. Our model incorporates data on seismic refraction (DSS-13) and reflection (line 8545-03) profiles and physical property data. Our modeling shows that the crust of the AP margin near Anvers Island is of continental type and comprises two crustal domains, which were welded together during mid-Cretaceous collision. On the east there is a thick (similar to 40 km), high-velocity/density continental crust of the Gondwana margin, which occupies the AP inner shelf and mainland, and Larsen Ice Shelf. The space between the Gondwanian block and oceanic crust of the Bellingshausen Sea is occupied by thinner (similar to 26 km) crust of lower densities of supposed accreted terrane, characterized by gravity anomalies caused probably by accretional tectonics as a result of Cretaceous subduction. Two belts of magnetic anomalies forming the PMA (Pacific Margin Anomaly) probably belong to different crustal domains: the western belt of the PMA relates to accretional block, while the eastern belt of the PMA corresponds to the Gondwana margin block. This may represent an evidence that the PMA relates to a tectono-magmatic event occurred after collision of Gondwana margin and accreted terrane (in mid-Cretaceous) and had been imprinted on already formed continental margin. (c) 2012 Elsevier B.V. All rights reserved.</t>
  </si>
  <si>
    <t>[Yegorova, Tamara; Bakhmutov, Vladimir] Natl Acad Sci Ukraine, Inst Geophys, UA-03680 Kiev, Ukraine</t>
  </si>
  <si>
    <t>National Academy of Sciences Ukraine; Subbotin Institute of Geophysics, National Academy of Sciences of Ukraine</t>
  </si>
  <si>
    <t>Yegorova, T (corresponding author), Natl Acad Sci Ukraine, Inst Geophys, 32 Pr Palladina, UA-03680 Kiev, Ukraine.</t>
  </si>
  <si>
    <t>egorova@igph.kiev.ua</t>
  </si>
  <si>
    <t>Volodymyr, Bakhmutov/A-8508-2019</t>
  </si>
  <si>
    <t>Bakhmutov, Vladimir/0000-0003-3804-9953</t>
  </si>
  <si>
    <t>State Fund for Fundamental Researches of Ukraine [F40/72-2011]</t>
  </si>
  <si>
    <t>State Fund for Fundamental Researches of Ukraine(State Fund for Fundamental Research (SFFR))</t>
  </si>
  <si>
    <t>This work was financially supported by the State Fund for Fundamental Researches of Ukraine (research project F40/72-2011 between State Fund for Fundamental Researches of Ukraine and Russian Foundation for Basic Research). The authors thank Dr. A.P.M. Vaughan (British Antarctic Survey) and an anonymous reviewer for their valuable suggestions which improve the paper.</t>
  </si>
  <si>
    <t>10.1016/j.tecto.2012.09.029</t>
  </si>
  <si>
    <t>WOS:000315238800008</t>
  </si>
  <si>
    <t>Catalán, M; Galindo-Zaldivar, J; Davila, JM; Martos, YM; Maldonado, A; Gambôa, L; Schreider, AA</t>
  </si>
  <si>
    <t>Catalan, Manuel; Galindo-Zaldivar, Jesus; Martin Davila, Jose; Martos, Yasmina M.; Maldonado, Andres; Gamboa, Luiz; Schreider, Anatoly A.</t>
  </si>
  <si>
    <t>Initial stages of oceanic spreading in the Bransfield Rift from magnetic and gravity data analysis</t>
  </si>
  <si>
    <t>Back-arc basin; Potential fields; Crustal structure; Pacific margin anomaly; Northern Antarctic Peninsula</t>
  </si>
  <si>
    <t>TECTONIC IMPLICATIONS; CRUSTAL STRUCTURE; BASIN; SEA; ANTARCTICA; ANOMALIES; MARGIN; TRANSITION; EVOLUTION; STRAIT</t>
  </si>
  <si>
    <t>Bransfield Basin, a 500-km-long and 100-km-wide extensional structure with a well-marked NE-SW orientation, is considered a back-arc basin developed since the Pliocene and associated with subduction of the former Phoenix Plate below the South Shetland Islands Block. Extension also occurs in this area as a consequence of the end of the sinistral fault zone that deforms the South Scotia Ridge. On the basis of potential field data from marine cruises, we provide new magnetic and Bouguer gravity maps of the area at sea level. We have characterized the central magnetic anomaly by using Euler deconvolution method, spectral analysis and forward modeling obtaining a thin (1.5 km) and shallow (4 km b.s.I.) layer, and a low total magnetization (2.6 A/m). The forward modeling was constrained on basis of previous seismic refraction studies. Our models show two situations. The first presents a uniform density values along the entire crust in the basin. This would be compatible with rifting in a more advanced stage, or even an oceanic crust in its earliest stages, while the second would support the existence of a stretched, thinned and altered crust through the injection of volcanic material. In the light of these models, analysis of the new potential field maps presented in this work and information from previous studies we consider that the Central Bransfield Basin is in a rifting in its latest stages or presents an incipient oceanic crust formed by recent oceanic spreading. (c) 2012 Elsevier B.V. All rights reserved.</t>
  </si>
  <si>
    <t>[Catalan, Manuel; Martin Davila, Jose] Real Inst, Cadiz 11100, Spain; [Catalan, Manuel; Martin Davila, Jose] Observ Armada, Cadiz 11100, Spain; [Galindo-Zaldivar, Jesus; Martos, Yasmina M.; Maldonado, Andres] Inst Andaluz Ciencias Tierra CSIC UGR, Armilla 18100, Spain; [Galindo-Zaldivar, Jesus] Univ Granada, Dept Geodinam, Granada 18002, Spain; [Gamboa, Luiz] Univ Fluminense, BR-24220900 Niteroi, RJ, Brazil; [Schreider, Anatoly A.] Russian Acad Sci, PP Shirshov Oceanol Inst, Moscow 117997, Russia</t>
  </si>
  <si>
    <t>Consejo Superior de Investigaciones Cientificas (CSIC); CSIC - Instituto Andaluz de Ciencias de la Tierra (IACT); University of Granada; University of Granada; Russian Academy of Sciences; Shirshov Institute of Oceanology</t>
  </si>
  <si>
    <t>Catalán, M (corresponding author), Real Inst, Cadiz 11100, Spain.</t>
  </si>
  <si>
    <t>mcatalan@roa.es; jgalindo@ugr.es; mdavila@roa.es; yasmartos@ugr.es; amaklona@ugr.es; luizgamboa@gmail.com</t>
  </si>
  <si>
    <t>Sazhneva, Alexandra/HPG-9897-2023; Gamboa, Luiz/AAL-5904-2021; Galindo-Zaldivar, Jesus/K-3640-2012; Catalan, Manuel/R-6956-2018</t>
  </si>
  <si>
    <t>Galindo-Zaldivar, Jesus/0000-0002-3493-2637; Catalan, Manuel/0000-0001-9691-7101</t>
  </si>
  <si>
    <t>predoctoral fellowship of the Ministerio de Ciencia e Innovacion of Spain (FPI); [CSD2006-0041]; [P09-RNM-5388]; [2010RU0037]; [CGL2010-21048]; [CTM2011-30241-C02-02]; [RNM 148]</t>
  </si>
  <si>
    <t>predoctoral fellowship of the Ministerio de Ciencia e Innovacion of Spain (FPI); ; ; ; ; ;</t>
  </si>
  <si>
    <t>All figures were elaborated using GMT software (Wessel and Smith, 1998). We thank Dr. Miquel Canals for providing us the full swath bathymety corresponding to the Central and Eastern Bransfield Basin. This research was supported by projects CSD2006-0041, P09-RNM-5388, 2010RU0037, CGL2010-21048, CTM2011-30241-C02-02, and RNM 148, and by a predoctoral fellowship of the Ministerio de Ciencia e Innovacion of Spain (FPI).</t>
  </si>
  <si>
    <t>10.1016/j.tecto.2012.09.016</t>
  </si>
  <si>
    <t>WOS:000315238800010</t>
  </si>
  <si>
    <t>Gohl, K; Denk, A; Eagles, G; Wobbe, F</t>
  </si>
  <si>
    <t>Gohl, Karsten; Denk, Astrid; Eagles, Graeme; Wobbe, Florian</t>
  </si>
  <si>
    <t>Deciphering tectonic phases of the Amundsen Sea Embayment shelf, West Antarctica, from a magnetic anomaly grid</t>
  </si>
  <si>
    <t>Aeromagnetics; Data processing; Pine Island Bay; Gondwana breakup; Bellingshausen Plate; West Antarctic Rift System</t>
  </si>
  <si>
    <t>PINE ISLAND GLACIER; ICE-SHEET; THURSTON ISLAND; MARGIN; EVOLUTION; PACIFIC; RECONSTRUCTION; HISTORY; RIFT</t>
  </si>
  <si>
    <t>The Amundsen Sea Embayment (ASE), with Pine Island Bay (PIB) in the eastern embayment, is a key location to understanding tectonic processes of the Pacific margin of West Antarctica. NB has for a long time been suggested to contain the crustal boundary between the Thurston Island block and the Marie Byrd Land block. Plate tectonic reconstructions have shown that the initial rifting and breakup of New Zealand from West Antarctica occurred between Chatham Rise and the eastern Marie Byrd Land at the ASE. Recent concepts have discussed the possibility of PIB being the site of one of the eastern branches of the West Antarctic Rift System (WARS). About 30,000 km of aeromagnetic data - collected opportunistically by ship-based helicopter flights - and tracks of ship-borne magnetics were recorded over the ASE shelf during two RV Polarstern expeditions in 2006 and 2010. Grid processing, Euler deconvolution and 2D modelling were applied for the analysis of magnetic anomaly patterns, identification of structural lineaments and characterisation of magnetic source bodies. The grid clearly outlines the boundary zone between the inner shelf with outcropping basement rocks and the sedimentary basins of the middle to outer shelf. Distinct zones of anomaly patterns and lineaments can be associated with at least three tectonic phases from (1) magmatic emplacement zones of Cretaceous rifting and breakup (100-85 Ma), to (2) a southern distributed plate boundary zone of the Bellingshausen Plate (80-61 Ma) and (3) activities of the WARS indicated by NNE-SSW trending lineaments (55-30 Ma?). The analysis and interpretation are also used for constraining the directions of some of the flow paths of past grounded ice streams across the shelf. (c) 2012 Elsevier B.V. All rights reserved.</t>
  </si>
  <si>
    <t>[Gohl, Karsten; Denk, Astrid; Wobbe, Florian] Alfred Wegener Inst Polar &amp; Marine Res, D-27568 Bremerhaven, Germany; [Denk, Astrid] Univ Cologne, Inst Geophys &amp; Meteorol, D-50674 Cologne, Germany; [Eagles, Graeme] Royal Holloway Univ London, Dept Earth Sci, Egham TW20 0EX, Surrey, England</t>
  </si>
  <si>
    <t>Helmholtz Association; Alfred Wegener Institute, Helmholtz Centre for Polar &amp; Marine Research; University of Cologne; University of London; Royal Holloway University London</t>
  </si>
  <si>
    <t>Gohl, K (corresponding author), Alfred Wegener Inst Polar &amp; Marine Res, Dept Geosci, Alten Hafen 26, D-27568 Bremerhaven, Germany.</t>
  </si>
  <si>
    <t>karsten.gohl@awi.de; astrid.denk@ifg.uni-tuebingen.de; g.eagles@gl.rhul.ac.uk; florian.wobbe@awi.de</t>
  </si>
  <si>
    <t>Gohl, Karsten/0000-0002-9558-2116; Eagles, Graeme/0000-0001-5325-0810</t>
  </si>
  <si>
    <t>Alfred Wegener Institute</t>
  </si>
  <si>
    <t>Many thanks to the ship crews, the helicopter pilots of Heli-Service GmbH and the geophysical teams for their support of acquiring the magnetic data during RV Polarstern expeditions ANT-XXIII/4 (2006) and ANT-XXVI/3 (2010). We, in particular, thank Volker Leinweber, Sonja Suckro and Christina Mayr for their engagement in the helicopter-magnetic team of 2006. The collaboration with Prof. B. Tezkan of the University of Cologne in co-supervising A. Denk's Diploma/MSc thesis, of which parts contributed to this paper, is gratefully acknowledged. This project is entirely supported by institutional funds of the Alfred Wegener Institute.</t>
  </si>
  <si>
    <t>10.1016/j.tecto.2012.06.036</t>
  </si>
  <si>
    <t>WOS:000315238800011</t>
  </si>
  <si>
    <t>Behrendt, JC</t>
  </si>
  <si>
    <t>Behrendt, John C.</t>
  </si>
  <si>
    <t>The aeromagnetic method as a tool to identify Cenozoic magmatism in the West Antarctic Rift System beneath the West Antarctic Ice Sheet - A review; Thiel subglacial volcano as possible source of the ash layer in the WAISCORE</t>
  </si>
  <si>
    <t>Magnetic anomaly; Glacier; Radar ice sounding; Antarctica; Rift; Volcanism</t>
  </si>
  <si>
    <t>CRUSTAL STRUCTURE; ANOMALIES; PATTERNS; COLLAPSE; ERUPTION; GEOLOGY</t>
  </si>
  <si>
    <t>The West Antarctic Ice Sheet (WAIS) flows through the volcanically active West Antarctic Rift System (WARS). The aeromagnetic method has been the most useful geophysical tool for identification of subglacial volcanic rocks, since 1959-64 surveys, particularly combined with 1978 radar ice-sounding. The unique 1991-97 Central West Antarctica (CWA) aerogeophysical survey covering 354,000 km(2) over the WAIS, (5-km line-spaced, orthogonal lines of aeromagnetic, radar ice-sounding, and aerogravity measurements), still provides invaluable information on subglacial volcanic rocks, particularly combined with the older aeromagnetic profiles. These data indicate numerous 100-&gt; 1000 nT, 5-50-km width, shallow-source, magnetic anomalies over an area greater than 1.2 x 10(6) km(2), mostly from subglacial volcanic sources. I interpreted the CWA anomalies as defining about 1000 volcanic centers requiring high remanent normal magnetizations in the present field direction. About 400 anomaly sources correlate with bed topography. At least 80% of these sources have less than 200 m relief at the WAIS bed. They appear modified by moving ice, requiting a younger age than the WAIS (about 25 Ma). Exposed volcanoes in the WARS are &lt; 34 Ma, but at least four are active. If a few buried volcanic centers are active, subglacial volcanism may well affect the WAIS regime. Aerogeophysical data (Blankenship et al., 1993, Mt. Casertz; Corr and Vaughan, 2008, near Hudson Mts.) indicated active subglacial volcanism. Magnetic data indicate a caldera and a surrounding low in the WAISCORE vicinity possibly the result of a shallow Curie isotherm. High heat flow reported from temperature logging in the WAISCORE (Conway et al., 2011; Clow, personal commun.) and a volcanic ash layer (Dunbar, 2012) are consistent with this interpretation. A subaerially erupted subglacial volcano, (Mt Thiel), about 100 km distant, may be the ash source. The present rapid changes resulting from global warming, could be accelerated by subglacial volcanism. Published by Elsevier B.V.</t>
  </si>
  <si>
    <t>[Behrendt, John C.] Univ Colorado, Inst Arctic &amp; Alpine Res INSTAAR, Boulder, CO 80309 USA; [Behrendt, John C.] US Geol Survey, Fed Ctr, Lakewood, CO 80225 USA</t>
  </si>
  <si>
    <t>University of Colorado System; University of Colorado Boulder; United States Department of the Interior; United States Geological Survey</t>
  </si>
  <si>
    <t>Behrendt, JC (corresponding author), Univ Colorado, Inst Arctic &amp; Alpine Res INSTAAR, CB450, Boulder, CO 80309 USA.</t>
  </si>
  <si>
    <t>john.behrendt@colorado.edu</t>
  </si>
  <si>
    <t>The National Science Foundation; U.S. Geological Survey</t>
  </si>
  <si>
    <t>The National Science Foundation(National Science Foundation (NSF)); U.S. Geological Survey(United States Geological Survey)</t>
  </si>
  <si>
    <t>I thank my many co-authors cited and other colleagues with whom I have worked in Antarctica over the past 55 years. Nelia Dunbar suggested the origin of the ash layer with a subglacial subaerially erupted volcano. Gary Clow shared his preliminary temperature measurements in the WAISCORE. Wesley LeMasurier has contributed many hours discussing our various interpretations. In particular I wish to acknowledge Edward Thiel, who made the first aeromagnetic survey flights over the WAIS in 1959, and who was killed in an Antarctic aeromagnetic survey crash (along with four others) in 1961. The National Science Foundation and the U.S. Geological Survey provided funding and logistic support for this work.</t>
  </si>
  <si>
    <t>10.1016/j.tecto.2012.06.035</t>
  </si>
  <si>
    <t>WOS:000315238800012</t>
  </si>
  <si>
    <t>Riedel, S; Jacobs, J; Jokat, W</t>
  </si>
  <si>
    <t>Riedel, S.; Jacobs, J.; Jokat, W.</t>
  </si>
  <si>
    <t>Interpretation of new regional aeromagnetic data over Dronning Maud Land (East Antarctica)</t>
  </si>
  <si>
    <t>Airborne magnetic; Subglacial geology; Dronning Maud Land; Antarctica</t>
  </si>
  <si>
    <t>GRENVILLE-AGE; ANNANDAGSTOPPANE GRANITE; SOUTH-AFRICA; BREAK-UP; TECTONICS; EVOLUTION; EVENTS; CRATON; METAMORPHISM; CONSTRAINTS</t>
  </si>
  <si>
    <t>The geology of Dronning Maud Land (East Antarctica) is so far deduced from isolated outcrops along the coast and from a major coast parallel escarpment surmounting the thick ice sheet. Large parts of Dronning Maud Land are, however, hidden underneath thick ice. In this study we attempt to connect geological information with aeromagnetic data in order to unveil the sub-glacial geology of this part of East Antarctica. During four austral summer campaigns (2001-2005) in Dronning Maud Land, new aeromagnetic data were gathered across an area of 1.2 million square kilometers of which a portion of 65% was previously unexplored. In total 100,000 line kilometers were flown over Dronning Maud Land between 14 degrees W/20 degrees E and 70 degrees S/78.5 degrees S. A striking result was the discovery of a pronounced magnetic anomaly, named here Forster Magnetic Anomaly, east of the Jutulstraumen. It starts at approximately 72 degrees S/007 degrees E and strikes in southwesterly direction as far south as 75 degrees S/1 degrees W. The Forster Magnetic Anomaly likely forms a major tectonic block boundary and/or a suture zone within the East African-Antarctic Orogen (EAAO). The shape and distribution of other magnetic anomalies are discussed in the context of the Proterozoic to Mesozoic geological history of this part of Antarctica. (c) 2012 Elsevier B.V. All rights reserved.</t>
  </si>
  <si>
    <t>[Riedel, S.; Jokat, W.] Alfred Wegener Inst Polar &amp; Marine Res, Bremerhaven, Germany; [Riedel, S.] Univ Kiel, Kiel, Germany; [Jacobs, J.] Univ Bergen, Dept Earth Sci, N-5020 Bergen, Norway</t>
  </si>
  <si>
    <t>Helmholtz Association; Alfred Wegener Institute, Helmholtz Centre for Polar &amp; Marine Research; University of Kiel; University of Bergen</t>
  </si>
  <si>
    <t>Riedel, S (corresponding author), Univ Kiel, Kiel, Germany.</t>
  </si>
  <si>
    <t>sven.riedel@geophysik.uni-kiel.de</t>
  </si>
  <si>
    <t>Jokat, Wilfried/0000-0002-7793-5854</t>
  </si>
  <si>
    <t>German Research Foundation (DFG) [Di 473/17-1, Jo 191/8-1]</t>
  </si>
  <si>
    <t>This paper is a contribution to the VISA-project, funded by the German Research Foundation (DFG) under grants Di 473/17-1 and Jo 191/8-1. We thank the DLR aircraft crew and OPTIMARE Sensorsysteme AG, namely Tobias Boebel, for their assistance during the airborne surveys.</t>
  </si>
  <si>
    <t>10.1016/j.tecto.2012.10.011</t>
  </si>
  <si>
    <t>WOS:000315238800014</t>
  </si>
  <si>
    <t>von Frese, RRB; Kim, HR; Leftwich, TE; Kim, JW; Golynsky, AV</t>
  </si>
  <si>
    <t>von Frese, R. R. B.; Kim, H. R.; Leftwich, T. E.; Kim, J. W.; Golynsky, A. V.</t>
  </si>
  <si>
    <t>Satellite magnetic anomalies of the Antarctic Wilkes Land impact basin inferred from regional gravity and terrain data</t>
  </si>
  <si>
    <t>Meteorite impact; Wilkes Land, Antarctica; Magsat magnetic anomalies; Orsted magnetic anomalies; CHAMP magnetic anomalies; Permian-Triassic mass extinction</t>
  </si>
  <si>
    <t>SPHERICAL-EARTH GRAVITY; DOUBLE MASS EXTINCTION; SPECTRAL CORRELATION; CONSTRAINTS; THICKNESS; BOUNDARY; FIELD; MOHO; AIR</t>
  </si>
  <si>
    <t>The GRACE gravity and subglacial terrain data of Wilkes Land are consistent with the presence of a mascon produced by giant impact perhaps at the end of the Permian. In contrast to the relatively extensive ice probing radar coverage, aeromagnetic data coverage is limited across the basin. However, Magsat, Orsted, and CHAMP satellite magnetic observations reveal the thinned crust of the impact site to be associated with the largest satellite altitude crustal magnetic anomaly of Antarctica. The underlying region of enhanced magnetization is consistent with the GRACE gravity and BEDMAP terrain data and extends into south-central Australia in a reconstructed Gondwana. The strongly magnetized crust can reflect the impact's thermal enhancement of lower crustal viscous remanent magnetization as well as the production of positively magnetized melt rocks within the fractured crust. (c) 2012 Elsevier B.V. All rights reserved.</t>
  </si>
  <si>
    <t>[von Frese, R. R. B.; Leftwich, T. E.] Ohio State Univ, Sch Earth Sci, Columbus, OH 43210 USA; [von Frese, R. R. B.; Leftwich, T. E.] Ohio State Univ, Byrd Polar Res Ctr, Columbus, OH 43210 USA; [Kim, H. R.] Kongju Natl Univ, Dept Geoenvironm Sci, Gongju, South Korea; [Kim, J. W.] Univ Calgary, Dept Geomat Engn, Calgary, AB, Canada; [Golynsky, A. V.] VNIIOkeangeologia, Dept Antarctic Geol, St Petersburg, Russia</t>
  </si>
  <si>
    <t>University System of Ohio; Ohio State University; University System of Ohio; Ohio State University; Kongju National University; University of Calgary</t>
  </si>
  <si>
    <t>von Frese, RRB (corresponding author), Ohio State Univ, Sch Earth Sci, Columbus, OH 43210 USA.</t>
  </si>
  <si>
    <t>vonfrese@osu.edu</t>
  </si>
  <si>
    <t>Kim, Hyung Rae/0000-0002-6576-9457; Golynsky, Alexander/0000-0003-2546-4082</t>
  </si>
  <si>
    <t>Office of Polar Programs of the U.S. National Science Foundation [NSF-OPP 0338005]; National Science and Engineering Research Council (NSERC) of Canada [355477-2008]; K-PORT program through the Korea Polar Research Institute (KOPRI) from the Ministry of Land, Transport and Maritime (MLTM) of South Korea [PM11080]</t>
  </si>
  <si>
    <t>Office of Polar Programs of the U.S. National Science Foundation; National Science and Engineering Research Council (NSERC) of Canada(Natural Sciences and Engineering Research Council of Canada (NSERC)); K-PORT program through the Korea Polar Research Institute (KOPRI) from the Ministry of Land, Transport and Maritime (MLTM) of South Korea</t>
  </si>
  <si>
    <t>Elements of this research were supported by the Office of Polar Programs of the U.S. National Science Foundation under research grant NSF-OPP 0338005, the National Science and Engineering Research Council (NSERC) of Canada under Discovery Grant #355477-2008 and the K-PORT program (PM11080) through the Korea Polar Research Institute (KOPRI) from the Ministry of Land, Transport and Maritime (MLTM) of South Korea.</t>
  </si>
  <si>
    <t>10.1016/j.tecto.2012.09.009</t>
  </si>
  <si>
    <t>WOS:000315238800016</t>
  </si>
  <si>
    <t>Ferraccioli, F; von Frese, R; Ghidella, M</t>
  </si>
  <si>
    <t>Ferraccioli, Fausto; von Frese, Ralph; Ghidella, Marta</t>
  </si>
  <si>
    <t>Preface</t>
  </si>
  <si>
    <t>[Ferraccioli, Fausto] British Antarctic Survey, Cambridge CB3 0ET, England; [von Frese, Ralph] Ohio State Univ, Sch Earth Sci, Columbus, OH 43210 USA; [Ghidella, Marta] Inst Antartico Argentino, Buenos Aires, DF, Argentina</t>
  </si>
  <si>
    <t>UK Research &amp; Innovation (UKRI); Natural Environment Research Council (NERC); NERC British Antarctic Survey; University System of Ohio; Ohio State University; Instituto Antartico Argentino</t>
  </si>
  <si>
    <t>Ferraccioli, F (corresponding author), British Antarctic Survey, Madingley Rd, Cambridge CB3 0ET, England.</t>
  </si>
  <si>
    <t>ffe@bas.ac.uk; von-frese.3@osu.edu; mghidella@gmail.com</t>
  </si>
  <si>
    <t>Ferraccioli, Fausto/0000-0002-9347-4736</t>
  </si>
  <si>
    <t>Natural Environment Research Council [bas0100026] Funding Source: researchfish; NERC [bas0100026] Funding Source: UKRI</t>
  </si>
  <si>
    <t>10.1016/j.tecto.2012.11.002</t>
  </si>
  <si>
    <t>WOS:000315238800001</t>
  </si>
  <si>
    <t>Golynsky, A; Bell, R; Blankenship, D; Damaske, D; Ferraccioli, F; Finn, C; Golynsky, D; Ivanov, S; Jokat, W; Masolov, V; Riedel, S; von Frese, R; Young, D</t>
  </si>
  <si>
    <t>Golynsky, A.; Bell, R.; Blankenship, D.; Damaske, D.; Ferraccioli, F.; Finn, C.; Golynsky, D.; Ivanov, S.; Jokat, W.; Masolov, V.; Riedel, S.; von Frese, R.; Young, D.</t>
  </si>
  <si>
    <t>ADMAP Working Grp</t>
  </si>
  <si>
    <t>Air and shipborne magnetic surveys of the Antarctic into the 21st century</t>
  </si>
  <si>
    <t>ADMAP; Geophysical surveys; Magnetic anomalies; Crustal studies of the Antarctic</t>
  </si>
  <si>
    <t>EARLY PALEOZOIC SUBDUCTION; DRONNING MAUD LAND; EAST ANTARCTICA; TRANSANTARCTIC MOUNTAINS; CONTINENTAL-MARGIN; GONDWANA; SATELLITE; ANOMALIES; PENINSULA; IMPRINTS</t>
  </si>
  <si>
    <t>The Antarctic geomagnetics' community remains very active in crustal anomaly mapping. More than 1.5 million line-km of new air- and shipborne data have been acquired over the past decade by the international community in Antarctica. These new data together with surveys that previously were not in the public domain significantly upgrade the ADMAP compilation. Aeromagnetic flights over East Antarctica have been concentrated in the Transantarctic Mountains, the Prince Charles Mountains - Lambert Glacier area, and western Dronning Maud Land (DML) - Coats Land. Additionally, surveys were conducted over Lake Vostok and the western part of Marie Byrd Land by the US Support Office for Aerogeophysical Research projects and over the Amundsen Sea Embayment during the austral summer of 2004/2005 by a collaborative US/UK aerogeophysical campaign. New aeromagnetic data over the Gamburtsev Subglacial Mountains (120,000 line-km), acquired within the IPY Antarctica's Gamburtsev Province project reveal fundamental geologic features beneath the East Antarctic Ice sheet critical to understanding Precambrian continental growth processes. Roughly 100,000 line-km of magnetic data obtained within the International Collaboration for Exploration of the Cryosphere through Aerogeophysical Profiling promises to shed light on subglacial lithology and identify crustal boundaries for the central Antarctic Plate. Since the 1996/97 season, the Alfred Wegener Institute has collected 90,000 km of aeromagnetic data along a 1200 km long segment of the East Antarctic coast over western DML Recent cruises by Australian, German, Japanese, Russian, British, and American researchers have contributed to long-standing studies of the Antarctic continental margin. Along the continental margin of East Antarctica west of Maud Rise to the George V Coast of Victoria Land, the Russian Polar Marine Geological Research Expedition and Geoscience Australia obtained 80,000 and 20,000 line-km, respectively, of integrated seismic, gravity and magnetic data. Additionally, US expeditions collected 128,000 line-km of shipborne magnetic data in the Ross Sea sector. (c) 2012 Elsevier B.V. All rights reserved.</t>
  </si>
  <si>
    <t>[Golynsky, A.; Golynsky, D.] VNIIOkeangeologia, St Petersburg 190121, Russia; [Bell, R.] Columbia Univ, Lamont Doherty Geol Observ, Palisades, NY 10964 USA; [Blankenship, D.; Young, D.] Univ Texas Austin, Inst Geophys, Austin, TX 78759 USA; [Damaske, D.] BGR, D-30655 Hannover, Germany; [Ferraccioli, F.] BAS, Cambridge CB3 OET, England; [Finn, C.] USGS, Denver Fed Ctr, Denver, CO 80255 USA; [Ivanov, S.; Masolov, V.] PMGE, Lomonosov 189510, Russia; [Jokat, W.; Riedel, S.] Alfred Wegener Inst, D-27568 Bremerhaven, Germany; [von Frese, R.] Ohio State Univ, Sch Earth Sci, Columbus, OH 43210 USA</t>
  </si>
  <si>
    <t>Columbia University; University of Texas System; University of Texas Austin; United States Department of the Interior; United States Geological Survey; Helmholtz Association; Alfred Wegener Institute, Helmholtz Centre for Polar &amp; Marine Research; University System of Ohio; Ohio State University</t>
  </si>
  <si>
    <t>Golynsky, A (corresponding author), VNIIOkeangeologia, 1,Angliysky Ave, St Petersburg 190121, Russia.</t>
  </si>
  <si>
    <t>sasha@vniio.nw.ru; robinb@ldeo.columbia.edu; blank@ig.utexas.edu; Detlef.Damaske@bgr.de; ffe@bas.ac.uk; cfinn@usgs.gov; Dmitry.A.Golynsky@gmail.com; antarctida@peterlink.ru; jokat@awi-bremerhaven.de; antarctida@peterlink.ru; sven.riedel@geophysik.uni-kiel.de; vonfrese@geology.ohio-state.edu; Duncan@ig.utexas.edu</t>
  </si>
  <si>
    <t>Finn, Carol A/HKN-9277-2023; Young, Duncan/G-6256-2010</t>
  </si>
  <si>
    <t>Finn, Carol A/0000-0002-6178-0405; Golynsky, Dmitry/0000-0001-8717-0894; Ferraccioli, Fausto/0000-0002-9347-4736; Young, Duncan/0000-0002-6866-8176; Jokat, Wilfried/0000-0002-7793-5854; Golynsky, Alexander/0000-0003-2546-4082</t>
  </si>
  <si>
    <t>NERC [bas0100026] Funding Source: UKRI; Natural Environment Research Council [bas0100026] Funding Source: researchfish; Directorate For Geosciences; Office of Polar Programs (OPP) [0733025]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</si>
  <si>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</si>
  <si>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10.1016/j.tecto.2012.02.017</t>
  </si>
  <si>
    <t>WOS:000315238800002</t>
  </si>
  <si>
    <t>Wendt, AS; Vaughan, APM; Ferraccioli, F; Grunow, AM</t>
  </si>
  <si>
    <t>Wendt, Anke S.; Vaughan, Alan P. M.; Ferraccioli, Fausto; Grunow, Anne M.</t>
  </si>
  <si>
    <t>Magnetic susceptibilities of rocks of the Antarctic Peninsula: Implications for the redox state of the batholith and the extent of metamorphic zones</t>
  </si>
  <si>
    <t>Magnetite-ilmenite series; Circum-Pacific; fO(2); Terrane tectonics; Magmatic arc; Raw data</t>
  </si>
  <si>
    <t>NORTHWEST PALMER LAND; OXYGEN FUGACITY; ORE-DEPOSITS; SHEAR ZONE; CRUSTAL; GRANITOIDS; SERIES; EQUILIBRIA; MINERALS; MARGIN</t>
  </si>
  <si>
    <t>A combination of 1555 magnetic susceptibility measurements from the Antarctic Peninsula between 65 degrees S to 72 degrees S (for which the raw data are made available), and petrological, structural and metamorphic data, has been used to improve understanding of: (1) magma sources for the Antarctic Peninsula batholith; (2) genetic relationships between granitoids and metamorphic rocks, and; (3) to provide a semi-quantitative measure of the extent and grade of metamorphic zones. The redox state of Jurassic plutonic rocks indicates that these had continental magma sources in the tectonostratigraphic terranes of the Central and Eastern domains. Triassic and Cretaceous plutons, on the other hand, had subduction-related sources in the Central Domain of the western Antarctic Peninsula and continental sources in the Gondwana-margin Eastern Domain. Circum-Pacific comparisons of magnetite-ilmenite belt geometries identify the Antarctic Peninsula belt as a natural continuation of comparable South American belts. Susceptibility trends are generally retained by orthogneisses, suggesting that they formed by deformation of plutonic rocks mostly at or below upper amphibolite-facies conditions. Metasedimentaiy rocks are weakly magnetic across the peninsula, and are spatially associated with continentally derived or crustally contaminated plutons (ilmenite-series). Orthogneisses and metabasites from strongly magnetic plutonic environments show areas of very low magnetic susceptibilities that may be linked to fluid-enhanced, tectonometamorphism-induced reduction of magnetic susceptibility. The distribution of reduced magnetic susceptibility areas follows the surface traces of major shear and fault zones in Palmer Land. Our results are consistent with tectonic interpretations of oblique compression and uplift of an arc block on the Pacific margin of Gondwana during the Palmer Land Event. Crown Copyright (c) 2012 Published by Elsevier B.V. All rights reserved.</t>
  </si>
  <si>
    <t>[Wendt, Anke S.; Vaughan, Alan P. M.; Ferraccioli, Fausto] British Antarctic Survey, ECE, Cambridge CB3 0ET, England; [Grunow, Anne M.] Ohio State Univ, Byrd Polar Res Ctr, Columbus, OH 43210 USA</t>
  </si>
  <si>
    <t>UK Research &amp; Innovation (UKRI); Natural Environment Research Council (NERC); NERC British Antarctic Survey; University System of Ohio; Ohio State University</t>
  </si>
  <si>
    <t>Vaughan, APM (corresponding author), British Antarctic Survey, ECE, Madingley Rd, Cambridge CB3 0ET, England.</t>
  </si>
  <si>
    <t>awendt@slb.com; apmva@bas.ac.uk; ffe@bas.ac.uk; grunow.1@osu.edu</t>
  </si>
  <si>
    <t>Vaughan, Alan PM/B-7829-2010; Grunow, Anne/F-7844-2017</t>
  </si>
  <si>
    <t>Ferraccioli, Fausto/0000-0002-9347-4736; Grunow, Anne/0000-0002-1655-0424</t>
  </si>
  <si>
    <t>NERC British Antarctic Survey core funds as part of the Polar Science for Planet Earth programme; National Science Foundation's Office of Polar Programs; NERC [bas0100026] Funding Source: UKRI; Natural Environment Research Council [bas0100026] Funding Source: researchfish; Office of Polar Programs (OPP); Directorate For Geosciences [1141906] Funding Source: National Science Foundation</t>
  </si>
  <si>
    <t>NERC British Antarctic Survey core funds as part of the Polar Science for Planet Earth programme; National Science Foundation's Office of Polar Programs(National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</si>
  <si>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This work was funded by NERC British Antarctic Survey core funds as part of the Polar Science for Planet Earth programme. The authors would like to thank Carl Stevenson, an anonymous reviewer and the Editor. The authors acknowledge the availability of susceptibility measurements from A. Johnson during his time at BAS. This research also used samples and/or data provided by the United States Polar Rock Repository which is sponsored by the National Science Foundation's Office of Polar Programs. The authors wish also to thank R. Livermore and P. Morris for providing the outlines of the circum-Pacific map and the aeromagnetic map (ADMAP), respectively, C. Hayward for assistance with the microprobe, H. Blagbrough and M. Tabecki for rock preparation and help with the numerous susceptibility measurements. Special thanks go to the field and air operation staff at Rothera Base and at BAS headquarters in Cambridge for logistical support and to J. Bursnall, D. Routledge and N. Stevenson for field assistance and patience.</t>
  </si>
  <si>
    <t>10.1016/j.tecto.2012.07.011</t>
  </si>
  <si>
    <t>WOS:000315238800006</t>
  </si>
  <si>
    <t>Galindo-Zaldívar, J; Ruiz-Constán, A; Pedrera, A; Ghidella, M; Montes, M; Nozal, F; Rodríguez-Fernandez, LR</t>
  </si>
  <si>
    <t>Galindo-Zaldivar, Jesus; Ruiz-Constan, Ana; Pedrera, Antonio; Ghidella, Marta; Montes, Manuel; Nozal, Francisco; Rodriguez-Fernandez, Luis Roberto</t>
  </si>
  <si>
    <t>Magnetic anomalies in Bahia Esperanza: A window of magmatic arc intrusions and glacier erosion over the northeastern Antarctic Peninsula</t>
  </si>
  <si>
    <t>Basic and intermediate intrusive rocks; Pacific Margin Anomaly; Field magnetic observations; Glacier erosion</t>
  </si>
  <si>
    <t>BASIN; LAND</t>
  </si>
  <si>
    <t>Bahia Esperanza, constituting the NE tip of the Antarctic Peninsula, is made up of Paleozoic clastic sedimentary rocks overlain by a Jurassic volcano-sedimentary series and intruded by Cretaceous gabbros and diorites. The area is located along the southern part of the Pacific Margin magnetic anomaly belt. Field magnetic researches during February 2010 contribute to determining the deep geometry of the intermediate and basic intrusive rocks. Moreover, the new field data help constrain the regional Pacific Margin Anomaly, characterized up to now only by aeromagnetic and marine data. Field magnetic susceptibility measurements of intrusive intermediate and basic rocks, responsible for magnetic anomalies, ranges from 0.5 x 10(-3) SI in diorites to values between 0.75 x 10(-3) SI and 1.3 x 10(-3) SI in gabbros. In addition, a significant remanent magnetism should also have contributed to the anomalies. The regional magnetic anomaly is characterized by a westward increase from 100 nT up to 750 nT, associated with large intrusive diorite bodies. They probably underlie most of the western slopes of Mount Flora. Gabbros in the Nobby Nunatak determine local residual rough anomalies that extend northwards and westwards, pointing to the irregular geometry of the top of the basic rocks bodies below the Piramide Peak Glacier. However, the southern and eastern boundaries with the Buenos Aires Glacier are sharp related to deep glacier incision. As a result of the glacier dynamics, magnetic anomalies are also detected north of the Nobby Nunatak due to the extension of the anomalous body and the presence of gabbro blocks in the moraines. The Bahia Esperanza region is a key area where onshore field geological and magnetic research allows us to constrain the shape of the crustal igneous intrusions and the basement glacier geometry, providing accurate data that complete regional aeromagnetic research. (c) 2012 Elsevier B.V. All rights reserved.</t>
  </si>
  <si>
    <t>[Galindo-Zaldivar, Jesus] Univ Granada, Dept Geodinam, E-18071 Granada, Spain; [Galindo-Zaldivar, Jesus] CSIC UGR, IACT, Granada 18002, Spain; [Ruiz-Constan, Ana] Univ Montpellier 2, CNRS, F-34095 Montpellier, France; [Pedrera, Antonio; Montes, Manuel; Nozal, Francisco; Rodriguez-Fernandez, Luis Roberto] Inst Geol &amp; Minero Espana, Madrid 28003, Spain; [Ghidella, Marta] Inst Antartico Argentina, RA-1010 Buenos Aires, DF, Argentina</t>
  </si>
  <si>
    <t>University of Granada; Consejo Superior de Investigaciones Cientificas (CSIC); CSIC - Instituto Andaluz de Ciencias de la Tierra (IACT); Centre National de la Recherche Scientifique (CNRS); Universite de Montpellier; Instituto Antartico Argentino</t>
  </si>
  <si>
    <t>Galindo-Zaldívar, J (corresponding author), Univ Granada, Dept Geodinam, E-18071 Granada, Spain.</t>
  </si>
  <si>
    <t>jgalindo@ugr.es</t>
  </si>
  <si>
    <t>Pedrera, Antonio/L-6463-2014; RUIZ-CONSTÁN, ANA/O-3638-2019; Galindo-Zaldivar, Jesus/K-3640-2012</t>
  </si>
  <si>
    <t>Pedrera, Antonio/0000-0003-1990-9292; RUIZ-CONSTÁN, ANA/0000-0002-0920-6369; Galindo-Zaldivar, Jesus/0000-0002-3493-2637</t>
  </si>
  <si>
    <t>[POL2006-13836-C03-01]; [CSD2006-00041]; [CTM2011-30241-C02-02]; [CGL2010-21048]; [P09-RNM-5388]; [RNM148]</t>
  </si>
  <si>
    <t>; ; ; ; ;</t>
  </si>
  <si>
    <t>The comments of Dr. F. Ferraccioli and other two anonymous reviewers have improved this contribution. The facilities provided by the Instituto Antarctico Argentino and the Bahia Esperanza and Marambio Argentinian Antarctic stations were essential in the development of this research. The results presented in this paper rely on the data collected at Port Stanley and Trelew Intermagnet observatories (www.intermagnet.org). This research was also supported by the POL2006-13836-C03-01, CSD2006-00041, CTM2011-30241-C02-02, CGL2010-21048, P09-RNM-5388 and RNM148 projects.</t>
  </si>
  <si>
    <t>10.1016/j.tecto.2012.09.008</t>
  </si>
  <si>
    <t>WOS:000315238800007</t>
  </si>
  <si>
    <t>Ghidella, ME; Zambrano, OM; Ferraccioli, F; Lirio, JM; Zakrajsek, AF; Ferris, J; Jordan, TA</t>
  </si>
  <si>
    <t>Ghidella, M. E.; Zambrano, O. M.; Ferraccioli, F.; Lirio, J. M.; Zakrajsek, A. F.; Ferris, J.; Jordan, T. A.</t>
  </si>
  <si>
    <t>Analysis of James Ross Island volcanic complex and sedimentary basin based on high-resolution aeromagnetic data</t>
  </si>
  <si>
    <t>Airborne magnetics; James Ross Basin; Volcanic complex; Tectonic structures; Antarctic Peninsula; Cenozoic</t>
  </si>
  <si>
    <t>NORTHERN ANTARCTIC PENINSULA; ALKALINE VOLCANISM; ICE-SHEET; GEOCHEMISTRY; EVOLUTION; PLIOCENE; MIOCENE; BASALTS; AREA; SR</t>
  </si>
  <si>
    <t>High-resolution aeromagnetic surveys provide a geophysical tool to help image the subsurface structure of volcanoes and their tectonic framework. Here we interpret high-resolution aeromagnetic data and models for James Ross archipelago and surrounding regions to provide a new perspective on Neogene magmatism emplaced along the eastern margin of the Antarctic Peninsula. Based on the analysis and modelling of magnetic anomalies we were able to image the subglacial extent of Miocene to Recent alkaline rocks of the James Ross Island Volcanic Group and map tectonic structures that appear to have exerted important controls on Neogene magmatism. High-amplitude linear anomalies detected over Mount Haddington stratovolcano were modelled as caused by subvertical feeder bodies extending to a depth of at least 3 km. These feeder bodies may have been emplaced along a N-S oriented volcano-tectonic rift zone. We also identified several effusive subglacial centres and imaged two concentric magnetic arcs, which we related to Neogene volcanic and subvolcanic lineaments, likely controlled by Mid-Cretaceous strike-slip fault belts and associated deformation zones. The regional magnetic quiet zone that encompasses James Ross Island is caused by the thick sedimentary infill of the Larsen Basin, and a low-amplitude magnetic high within the basin is inferred to reflect a basement push-up structure associated with strike-slip faulting along the eastern edge of the Antarctic Peninsula. In the offshore regions magnetic anomalies southwest of Tabarin Peninsula and west of Vega Island may reflect recent volcanic structures that have yet to emerge from the sea-floor. (c) 2012 Elsevier B.V. All rights reserved.</t>
  </si>
  <si>
    <t>[Ghidella, M. E.; Zambrano, O. M.; Lirio, J. M.; Zakrajsek, A. F.] Inst Antartico Argentina, Buenos Aires, DF, Argentina; [Ferraccioli, F.; Ferris, J.; Jordan, T. A.] British Antarctic Survey, Cambridge CB3 0ET, England</t>
  </si>
  <si>
    <t>Instituto Antartico Argentino; UK Research &amp; Innovation (UKRI); Natural Environment Research Council (NERC); NERC British Antarctic Survey</t>
  </si>
  <si>
    <t>Ghidella, ME (corresponding author), Inst Antartico Argentina, Cerrito 1248,C1010AAZ, Buenos Aires, DF, Argentina.</t>
  </si>
  <si>
    <t>mghidella@dna.gov.ar</t>
  </si>
  <si>
    <t>Ferraccioli, Fausto/0000-0002-9347-4736; Jordan, Tom/0000-0003-2780-1986</t>
  </si>
  <si>
    <t>10.1016/j.tecto.2012.06.039</t>
  </si>
  <si>
    <t>WOS:000315238800009</t>
  </si>
  <si>
    <t>Jordan, TA; Ferraccioli, F; Ross, N; Corr, HFJ; Leat, PT; Bingham, RG; Rippin, DM; le Brocq, A; Siegert, MJ</t>
  </si>
  <si>
    <t>Jordan, Tom A.; Ferraccioli, Fausto; Ross, Neil; Corr, Hugh F. J.; Leat, Philip T.; Bingham, Rob G.; Rippin, David M.; le Brocq, Anne; Siegert, Martin J.</t>
  </si>
  <si>
    <t>Inland extent of the Weddell Sea Rift imaged by new aerogeophysical data</t>
  </si>
  <si>
    <t>Continental rifting; Strike-slip faulting; Aeromagnetic; Gravity; Antarctica</t>
  </si>
  <si>
    <t>LONG-DISTANCE TRANSPORT; LARGE IGNEOUS PROVINCE; ANTARCTIC ICE-SHEET; WEST ANTARCTICA; ELLSWORTH MOUNTAINS; BREAK-UP; MAGNETIC-SUSCEPTIBILITY; AEROMAGNETIC ANOMALIES; SUBGLACIAL GEOLOGY; CRUSTAL STRUCTURE</t>
  </si>
  <si>
    <t>The Weddell Sea Rift was a major focus for Jurassic extension and magmatism during the early stages of Gondwana break-up and underlies the Weddell Sea Embayment, which separates East Antarctica from a collage of crustal blocks in West Antarctica. Newly-collected aerogeophysical data over the catchments of Institute and Moller ice streams reveal the inland extent of the Weddell Sea Rift against the Ellsworth-Whitmore block and a hitherto unknown major left-lateral strike slip boundary between East and West Antarctica. Aeromagnetic and gravity anomalies define the regional subglacial extent of Proterozoic basement, Middle Cambrian rift-related volcanic rocks, Jurassic intrusions and sedimentary rocks of inferred post-Jurassic age. 2D and 3D magnetic depth-to-source estimates were used to help constrain joint magnetic and gravity models for the region. The models reveal that Proterozoic crust similar to that exposed at Haag Nunataks, extends southeast of the Ellsworth Mountains to the margin of the Coastal Basins. Thick granitic Jurassic intrusions are modelled at the transition between the Ellsworth-Whitmore block and the thinner crust of the Weddell Sea Rift and within the Pagano Shear Zone. The crust beneath the inland extension of the Weddell Sea Rift is modelled as being either similar to 4 km thinner compared to the adjacent Ellsworth-Whitmore block or as underlain by an up to 8 km thick mafic underplate. Crown Copyright (c) 2012 Published by Elsevier B.V. All rights reserved.</t>
  </si>
  <si>
    <t>[Jordan, Tom A.; Ferraccioli, Fausto; Corr, Hugh F. J.; Leat, Philip T.] British Antarctic Survey, Cambridge CB3 0ET, England; [Ross, Neil] Newcastle Univ, Sch Geog Polit &amp; Sociol, Newcastle Upon Tyne NE1 7RU, Tyne &amp; Wear, England; [Bingham, Rob G.] Univ Aberdeen, Sch Geosci, Aberdeen AB9 1FX, Scotland; [Rippin, David M.] Univ York, Dept Environm, York YO10 5DD, N Yorkshire, England; [le Brocq, Anne] Univ Exeter, Sch Geog, Exeter EX4 4QJ, Devon, England; [Siegert, Martin J.] Univ Bristol, Sch Geog Sci, Bristol Glaciol Ctr, Bristol BS8 1TH, Avon, England</t>
  </si>
  <si>
    <t>UK Research &amp; Innovation (UKRI); Natural Environment Research Council (NERC); NERC British Antarctic Survey; Newcastle University - UK; University of Aberdeen; University of York - UK; University of Exeter; University of Bristol</t>
  </si>
  <si>
    <t>Jordan, TA (corresponding author), British Antarctic Survey, Madingley Rd, Cambridge CB3 0ET, England.</t>
  </si>
  <si>
    <t>tomj@bas.ac.uk</t>
  </si>
  <si>
    <t>Rippin, David Manish/AAW-5063-2021; Siegert, Martin/M-9939-2019; Corr, Hugh/C-5398-2011; Siegert, Martin J/A-3826-2008; Bingham, Robert G/G-3576-2017</t>
  </si>
  <si>
    <t>Rippin, David Manish/0000-0001-7757-9880; Siegert, Martin/0000-0002-0090-4806; Siegert, Martin J/0000-0002-0090-4806; Ferraccioli, Fausto/0000-0002-9347-4736; Jordan, Tom/0000-0003-2780-1986; Bingham, Robert G/0000-0002-0630-2021</t>
  </si>
  <si>
    <t>UK NERC AFI grant [NE/G013071/1]; NERC [NE/G013098/2, NE/G013098/1, NE/G013071/2, NE/G013071/1, NE/G014248/1, bas0100026] Funding Source: UKRI; Natural Environment Research Council [NE/G013098/2, NE/G013071/1, NE/G013098/1, bas0100026, NE/G014248/1, NE/G013071/2] Funding Source: researchfish</t>
  </si>
  <si>
    <t>UK NERC AFI grant(UK Research &amp; Innovation (UKRI)Natural Environment Research Council (NERC)); NERC(UK Research &amp; Innovation (UKRI)Natural Environment Research Council (NERC)); Natural Environment Research Council(UK Research &amp; Innovation (UKRI)Natural Environment Research Council (NERC))</t>
  </si>
  <si>
    <t>We wish to thank British Antarctic Survey for the logistical support, and Antarctic Logistics and Expeditions (ALE) for input of the fuel for the survey. In particular we wish to thank Ian Potten the pilot for the airborne survey and Carl Robinson for his survey equipment engineering work and support We also wish to thank Anne Grunow from the Polar Rock Repository at Byrd Polar Research Center, Ohio State University, for magnetic susceptibility data and discussion about regional geology. We gratefully acknowledge Emanuele Lodolo and Theresa Diehl for their helpful and constructive reviews of the paper and thank Alan Vaughan for further suggestions on structural interpretations. Funding for this project was provided by the UK NERC AFI grant NE/G013071/1.</t>
  </si>
  <si>
    <t>10.1016/j.tecto.2012.09.010</t>
  </si>
  <si>
    <t>WOS:000315238800013</t>
  </si>
  <si>
    <t>Golynsky, AV; Ivanov, SV; Kazankov, AJ; Jokat, W; Masolov, VN; von Frese, RRB</t>
  </si>
  <si>
    <t>Golynsky, A. V.; Ivanov, S. V.; Kazankov, A. Ju.; Jokat, W.; Masolov, V. N.; von Frese, R. R. B.</t>
  </si>
  <si>
    <t>New continental margin magnetic anomalies of East Antarctica</t>
  </si>
  <si>
    <t>Antarctic Continental Margin Magnetic Anomaly; Crustal blocks; Enderby Basin Anomaly; Airborne and shipborne magnetic surveys; Seafloor spreading anomalies</t>
  </si>
  <si>
    <t>RIISER-LARSEN SEA; KERGUELEN PLATEAU; CRUSTAL STRUCTURE; ENDERBY BASIN; INDIAN-OCEAN; WILKES LAND; FLOOR; BREAKUP; GONDWANA; BAY</t>
  </si>
  <si>
    <t>Over the past decade, Australian, Norwegian and Russian marine surveys have collected integrated seismic, gravity and magnetic data in the southern Indian Ocean. The more than 350,000 line-km of new airborne and marine magnetic observations for the East Antarctic continental margin have been compiled into an improved definition of crustal magnetic anomaly patterns. This compilation provides important new constraints on the breakup processes and igneous activity related to the formation of the passive margin of East Antarctica. The eastern sector of the map from Bruce Rise in the west to the D'Urville Sea in the east is largely dominated by seafloor spreading magnetic anomalies. The 'Adelie Rift Block' of highly stretched and extensively faulted continental crust is associated with a smooth anomaly fabric. Abrupt magnetic anomaly changes along the oceanic-continent transition in the Cooperation Sea including the Enderby Basin Anomaly extend for more than 1680 km from the Kerguelen Plateau towards the Cosmonaut Sea. Three sectors of the East Antarctic continental margin exhibit pronounced disparities in the anomaly patterns that strongly suggest different modes of seafloor formation. Strong positive seafloor magnetic anomalies mark the southern margin of the Kerguelen Plateau, the Maud Rise and adjacent areas in the Riiser-Larsen Sea. The new compilation suggests that at least 300 km of the Enderby Basin and Shackleton Basin may be part of the Cretaceous Kerguelen Volcanic Province and possibly maps an abandoned 'fossil' spreading center in the central Enderby Basin. The majority of the published age models for the Enderby Basin and Australian sector of the East Antarctic margin are not in agreement with the structural grain of magnetic anomalies in the newly compiled map. (c) 2012 Elsevier B.V. All rights reserved.</t>
  </si>
  <si>
    <t>[Golynsky, A. V.] VNIIOkeangeologia, St Petersburg 190121, Russia; [Ivanov, S. V.; Kazankov, A. Ju.; Masolov, V. N.] PMGE, Lomonosov 189510, Russia; [Jokat, W.] Alfred Wegener Inst, D-27568 Bremerhaven, Germany; [von Frese, R. R. B.] Ohio State Univ, Sch Earth Sci, Columbus, OH 43210 USA</t>
  </si>
  <si>
    <t>Helmholtz Association; Alfred Wegener Institute, Helmholtz Centre for Polar &amp; Marine Research; University System of Ohio; Ohio State University</t>
  </si>
  <si>
    <t>Golynsky, AV (corresponding author), VNIIOkeangeologia, 1,Angliysky Ave, St Petersburg 190121, Russia.</t>
  </si>
  <si>
    <t>sasha@vniio.nw.ru; antarctida@peterlink.ru; antarctida@peterlink.ru; jokat@awi-bremerhaven.de; antarctida@peterlink.ru; vonfrese@geology.ohio-state.edu</t>
  </si>
  <si>
    <t>Golynsky, Alexander/0000-0003-2546-4082; Jokat, Wilfried/0000-0002-7793-5854</t>
  </si>
  <si>
    <t>The Russian Fund of Fundamental Investigations [RFFI 10-05-00624]; NERC [bas0100026] Funding Source: UKRI; Natural Environment Research Council [bas0100026] Funding Source: researchfish</t>
  </si>
  <si>
    <t>The Russian Fund of Fundamental Investigations; NERC(UK Research &amp; Innovation (UKRI)Natural Environment Research Council (NERC)); Natural Environment Research Council(UK Research &amp; Innovation (UKRI)Natural Environment Research Council (NERC))</t>
  </si>
  <si>
    <t>We thank the director of PMGE V.D. Kiyukov for permission to use in the compilation recently acquired airborne and shipborne magnetic data. We acknowledge SCAR for supporting the activities of the ADMAP expert group and the members of the ADMAP Working Group for their contributions. Figures were produced using Geosoft Oasis Montaj. We appreciate the constructive suggestions provided by the editor, Steve Cande and anonymous reviewer. The Russian Fund of Fundamental Investigations under grant RFFI 10-05-00624 also supported aspects of this study.</t>
  </si>
  <si>
    <t>10.1016/j.tecto.2012.06.043</t>
  </si>
  <si>
    <t>WOS:000315238800015</t>
  </si>
  <si>
    <t>Jordan, TA; Ferraccioli, F; Armadillo, E; Bozzo, E</t>
  </si>
  <si>
    <t>Jordan, T. A.; Ferraccioli, F.; Armadillo, E.; Bozzo, E.</t>
  </si>
  <si>
    <t>Crustal architecture of the Wilkes Subglacial Basin in East Antarctica, as revealed from airborne gravity data</t>
  </si>
  <si>
    <t>Aerogravity; Tectonic inheritance; Isostasy and flexure; Crustal thickness; Erosion</t>
  </si>
  <si>
    <t>EARLY PALEOZOIC SUBDUCTION; TRANSANTARCTIC MOUNTAINS; ROSS SEA; VICTORIA LAND; RIFT SYSTEM; SEDIMENTARY BASINS; EVOLUTION; MARGIN; UPLIFT; ANOMALIES</t>
  </si>
  <si>
    <t>The Wilkes Subglacial Basin, in the hinterland of the Transantarctic Mountains, represents one of the least understood continental-scale features in Antarctica. Aeromagnetic data suggests that this basin may be imposed on a Ross age back arc region adjacent to the East Antarctic Craton. However, the evolution of the deeper crustal structure is disputed. Here, we present new airborne gravity data that reveals the crustal architecture of the northern Wilkes Subglacial Basin. Our gravity models indicate that the crust under the northern Wilkes Subglacial Basin is 30-35 km thick, i.e. ca 5-10 km thinner than imaged under the Transantarctic Mountains, and similar to 15 km thinner than predicted from some flexural and seismic models in the southern Wilkes Basin. We suggest that crustal thickening under northern Victoria Land reflects Ross-age (ca 500 Ma) orogenic events. Airy isostatic anomalies along both flanks of the Wilkes Basin reveal major inherited tectonic structures, which likely controlled the basin location, supporting aeromagnetic interpretations of the Wilkes Subglacial Basin as a structurally controlled basin. The positive anomaly along the western margin of the basin defines the boundary between the East Antarctic Craton and the Ross Orogen, and the anomaly along its eastern flank likely reflects high-grade rocks of the central Wilson Terrane. Our models indicate that the crust is similar to 5 km thinner beneath the northern Wilkes Basin, compared to formerly contiguous segments of the Delamerian Orogen in south-eastern Australia. The thinner crust may be linked to: i) back-arc basin formation or orogenic collapse processes and segmentation within the Ross\Delamerian Orogen, ii) Jurassic to Cretaceous extension prior to break-up between Australia and East Antarctica, iii) Cenozoic glacial erosion or most likely, iv) a combination of these processes. Crown Copyright (c) 2012 Published by Elsevier B.V. All rights reserved.</t>
  </si>
  <si>
    <t>[Jordan, T. A.; Ferraccioli, F.] British Antarctic Survey, Cambridge CB3 0ET, England; [Armadillo, E.; Bozzo, E.] Univ Genoa, Sez Geofis, Dipartimento Terr &amp; Risorse, I-16126 Genoa, Italy</t>
  </si>
  <si>
    <t>UK Research &amp; Innovation (UKRI); Natural Environment Research Council (NERC); NERC British Antarctic Survey; University of Genoa</t>
  </si>
  <si>
    <t>Armadillo, Egidio/AAD-2877-2021</t>
  </si>
  <si>
    <t>Armadillo, Egidio/0000-0003-0982-6629; Jordan, Tom/0000-0003-2780-1986; Ferraccioli, Fausto/0000-0002-9347-4736</t>
  </si>
  <si>
    <t>Natural Environment Research Council; PNRA; NERC [bas0100026] Funding Source: UKRI; Natural Environment Research Council [bas0100026] Funding Source: researchfish</t>
  </si>
  <si>
    <t>Natural Environment Research Council(UK Research &amp; Innovation (UKRI)Natural Environment Research Council (NERC)); PNRA; NERC(UK Research &amp; Innovation (UKRI)Natural Environment Research Council (NERC)); Natural Environment Research Council(UK Research &amp; Innovation (UKRI)Natural Environment Research Council (NERC))</t>
  </si>
  <si>
    <t>We gratefully acknowledge PNRA for their logistic support. We particularly wish to thank Giorgio Caneva for his support during land-gravity ties for the survey. Our pilot David Leatherdale is also acknowledged for outstanding work in the field. This study is part of the British Antarctic Survey Polar Science for Planet Earth Programme. It was funded by the Natural Environment Research Council and the PNRA. We also thank Andreas Laufer and one other anonymous reviewer for their helpful and constructive comments.</t>
  </si>
  <si>
    <t>10.1016/j.tecto.2012.06.041</t>
  </si>
  <si>
    <t>WOS:000315238800017</t>
  </si>
  <si>
    <t>He, F; Shakun, JD; Clark, PU; Carlson, AE; Liu, ZY; Otto-Bliesner, BL; Kutzbach, JE</t>
  </si>
  <si>
    <t>He, Feng; Shakun, Jeremy D.; Clark, Peter U.; Carlson, Anders E.; Liu, Zhengyu; Otto-Bliesner, Bette L.; Kutzbach, John E.</t>
  </si>
  <si>
    <t>Northern Hemisphere forcing of Southern Hemisphere climate during the last deglaciation</t>
  </si>
  <si>
    <t>ANTARCTIC TEMPERATURE; ATMOSPHERIC CO2; DEEP; SURFACE; CYCLES</t>
  </si>
  <si>
    <t>According to the Milankovitch theory, changes in summer insolation in. the high-latitude Northern Hemisphere caused glacial cycles through their impact on ice-sheet mass balance(1). Statistical analyses of long climate records supported this theory, but they also posed a substantial challenge by showing that changes in Southern Hemisphere climate were in phase with or led those in the north(2). Although an orbitally forced Northern Hemisphere signal may have been transmitted to the Southern Hemisphere(3), insolation forcing can also directly influence local Southern Hemisphere climate, potentially intensified by sea-ice feedback(4-6), suggesting that the hemispheres may have responded independently to different aspects of orbital forcing. Signal processing of climate records cannot distinguish between these conditions, however, because the proposed insolation forcings share essentially identical variability(7). Here we use transient simulations with a coupled atmosphere-ocean general circulation model to identify the impacts of forcing from changes in orbits, atmospheric CO2 concentration, ice sheets and the Atlantic meridional overturning circulation (AMOC) on hemispheric temperatures during the first half of the last deglaciation (22-14.3 kyr BP). Although based on a single model, our transient simulation with only orbital changes supports the Milankovitch theory in showing that the last deglaciation was initiated by rising insolation during spring and summer in the mid-latitude to high-latitude Northern Hemisphere and by terrestrial snow-albedo feedback. The simulation with all forcings best reproduces the;timing and magnitude of surface temperature evolution in the Southern Hemisphere in deglacial proxy records(8,9). AMOC changes associated with an orbitally induced retreat of Northern Hemisphere ice sheets(10) is the most plausible explanation for the early Southern Hemisphere deglacial warming and its lead over Northern Hemisphere temperature; the ensuing rise in atmospheric CO2 concentration provided the critical feedback on global deglaciation(9,11).</t>
  </si>
  <si>
    <t>[He, Feng; Carlson, Anders E.; Liu, Zhengyu; Kutzbach, John E.] Univ Wisconsin, Nelson Inst Environm Studies, Ctr Climat Res, Madison, WI 53706 USA; [Shakun, Jeremy D.] Harvard Univ, Dept Earth &amp; Planetary Sci, Cambridge, MA 02138 USA; [Clark, Peter U.; Carlson, Anders E.] Oregon State Univ, Coll Earth Ocean &amp; Atmospher Sci, Corvallis, OR 97331 USA; [Carlson, Anders E.] Univ Wisconsin, Dept Geosci, Madison, WI 53706 USA; [Liu, Zhengyu] Univ Wisconsin, Dept Atmospher &amp; Ocean Sci, Madison, WI 53706 USA; [Otto-Bliesner, Bette L.] Natl Ctr Atmospher Res, Climate &amp; Global Dynam Div, Boulder, CO 80307 USA</t>
  </si>
  <si>
    <t>University of Wisconsin System; University of Wisconsin Madison; Harvard University; Oregon State University; University of Wisconsin System; University of Wisconsin Madison; University of Wisconsin System; University of Wisconsin Madison; National Center Atmospheric Research (NCAR) - USA</t>
  </si>
  <si>
    <t>He, F (corresponding author), Univ Wisconsin, Nelson Inst Environm Studies, Ctr Climat Res, Madison, WI 53706 USA.</t>
  </si>
  <si>
    <t>fenghe@wisc.edu</t>
  </si>
  <si>
    <t>He, Feng/B-3583-2008; Otto-Bliesner, Bette/AAY-7691-2020; he, feng/HOF-1989-2023</t>
  </si>
  <si>
    <t>He, Feng/0000-0002-3355-6406</t>
  </si>
  <si>
    <t>Office of Science of the Department of Energy [DE-AC05-00OR22725]; US National Science Foundation [AGS-0902802, AGS-1203430]; Climate, People, and the Environment Program; National Science Foundation [06023950-ATM]</t>
  </si>
  <si>
    <t>Office of Science of the Department of Energy(United States Department of Energy (DOE)); US National Science Foundation(National Science Foundation (NSF)); Climate, People, and the Environment Program; National Science Foundation(National Science Foundation (NSF))</t>
  </si>
  <si>
    <t>We thank O. Timm and A. Timmermann for fruitful discussions, and G. Chen for providing the conversion code for fix-angular calendar. We thank the University Corporation for Atmospheric Research for continuous development of the community Earth system model. This research used resources of the Oak Ridge Leadership Computing Facility, located in the National Center for Computational Sciences at Oak Ridge National Laboratory, which is supported by the Office of Science of the Department of Energy under contract DE-AC05-00OR22725. F.H. is supported by the US National Science Foundation (AGS-0902802, AGS-1203430) and the Climate, People, and the Environment Program. P.U.C. and J.D.S. were supported by the Paleoclimate Program of the National Science Foundation through project PALEOVAR (06023950-ATM). This is CCR contribution no. 1130.</t>
  </si>
  <si>
    <t>FEB 7</t>
  </si>
  <si>
    <t>10.1038/nature11822</t>
  </si>
  <si>
    <t>087DJ</t>
  </si>
  <si>
    <t>WOS:000314741200038</t>
  </si>
  <si>
    <t>Melbourne-Thomas, J; Constable, A; Wotherspoon, S; Raymond, B</t>
  </si>
  <si>
    <t>Melbourne-Thomas, Jessica; Constable, Andrew; Wotherspoon, Simon; Raymond, Ben</t>
  </si>
  <si>
    <t>Testing Paradigms of Ecosystem Change under Climate Warming in Antarctica</t>
  </si>
  <si>
    <t>KRILL EUPHAUSIA-SUPERBA; SOUTH SHETLAND ISLANDS; SEA-ICE EXTENT; QUALITATIVE-ANALYSIS; PENINSULA REGION; FOOD-WEB; PENGUIN POPULATIONS; MARINE; VARIABILITY; GROWTH</t>
  </si>
  <si>
    <t>Antarctic marine ecosystems have undergone significant changes as a result of human activities in the past and are now responding in varied and often complicated ways to climate change impacts. Recent years have seen the emergence of large-scale mechanistic explanations-or paradigms of change-that attempt to synthesize our understanding of past and current changes. In many cases, these paradigms are based on observations that are spatially and temporally patchy. The West Antarctic Peninsula (WAP), one of Earth's most rapidly changing regions, has been an area of particular research focus. A recently proposed mechanistic explanation for observed changes in the WAP region relates changes in penguin populations to variability in krill biomass and regional warming. While this scheme is attractive for its simplicity and chronology, it may not account for complex spatio-temporal processes that drive ecosystem dynamics in the region. It might also be difficult to apply to other Antarctic regions that are experiencing some, though not all, of the changes documented for the WAP. We use qualitative network models of differing levels of complexity to test paradigms of change for the WAP ecosystem. Importantly, our approach captures the emergent effects of feedback processes in complex ecological networks and provides a means to identify and incorporate uncertain linkages between network elements. Our findings highlight key areas of uncertainty in the drivers of documented trends, and suggest that a greater level of model complexity is needed in devising explanations for ecosystem change in the Southern Ocean. We suggest that our network approach to evaluating a recent and widely cited paradigm of change for the Antarctic region could be broadly applied in hypothesis testing for other regions and research fields.</t>
  </si>
  <si>
    <t>[Melbourne-Thomas, Jessica; Constable, Andrew; Raymond, Ben] Univ Tasmania, Antarctic Climate &amp; Ecosyst Cooperat Res Ctr, Hobart, Tas, Australia; [Constable, Andrew; Wotherspoon, Simon; Raymond, Ben] Australian Antarctic Div, Dept Sustainabil Environm Water Populat &amp; Communi, Kingston, Tas, Australia; [Wotherspoon, Simon] Univ Tasmania, Inst Marine &amp; Antarct Studies, Hobart, Tas, Australia</t>
  </si>
  <si>
    <t>University of Tasmania; Antarctic Climate &amp; Ecosystems Cooperative Research Centre (ACE CRC); Australian Antarctic Division; University of Tasmania</t>
  </si>
  <si>
    <t>Melbourne-Thomas, J (corresponding author), Univ Tasmania, Antarctic Climate &amp; Ecosyst Cooperat Res Ctr, Hobart, Tas, Australia.</t>
  </si>
  <si>
    <t>Jessica.MelbourneThomas@utas.edu.au</t>
  </si>
  <si>
    <t>Melbourne-Thomas, Jess/N-2437-2019; Wotherspoon, Simon J/B-2390-2013</t>
  </si>
  <si>
    <t>Melbourne-Thomas, Jess/0000-0001-6585-876X; Wotherspoon, Simon J/0000-0002-6947-4445</t>
  </si>
  <si>
    <t>Australian Government's Cooperative Research Centres Programme through the Antarctic Climate and Ecosystems Cooperative Research Centre (ACE CRC); Pew Fellowship in Marine Conservation</t>
  </si>
  <si>
    <t>Australian Government's Cooperative Research Centres Programme through the Antarctic Climate and Ecosystems Cooperative Research Centre (ACE CRC)(Australian GovernmentDepartment of Industry, Innovation and ScienceCooperative Research Centres (CRC) Programme); Pew Fellowship in Marine Conservation</t>
  </si>
  <si>
    <t>This work was supported by the Australian Government's Cooperative Research Centres Programme through the Antarctic Climate and Ecosystems Cooperative Research Centre (ACE CRC; http://www.acecrc.org.au). The funders had no role in study design, data collection and analysis, decision to publish, or preparation of the manuscript.r Thank you to Stuart Corney, Louise Emmerson, So Kawaguchi and Colin Southwell for helpful comments on model formulation, and on the manuscript (S. Corney). AJC was supported in part by a Pew Fellowship in Marine Conservation.</t>
  </si>
  <si>
    <t>FEB 6</t>
  </si>
  <si>
    <t>e55093</t>
  </si>
  <si>
    <t>10.1371/journal.pone.0055093</t>
  </si>
  <si>
    <t>092WJ</t>
  </si>
  <si>
    <t>WOS:000315153400060</t>
  </si>
  <si>
    <t>Watanabe, YY; Takahashi, A</t>
  </si>
  <si>
    <t>Watanabe, Yuuki Y.; Takahashi, Akinori</t>
  </si>
  <si>
    <t>Linking animal-borne video to accelerometers reveals prey capture variability</t>
  </si>
  <si>
    <t>biologging; marine predator; power-law distribution</t>
  </si>
  <si>
    <t>ADELIE PENGUINS; FORAGING BEHAVIOR; SEA-ICE; PATTERNS; PREDATORS; SUCCESS; AREAS; KRILL; LEVY; LIFE</t>
  </si>
  <si>
    <t>Understanding foraging is important in ecology, as it determines the energy gains and, ultimately, the fitness of animals. However, monitoring prey captures of individual animals is difficult. Direct observations using animal-borne videos have short recording periods, and indirect signals (e. g., stomach temperature) are never validated in the field. We took an integrated approach to monitor prey captures by a predator by deploying a video camera (lasting for 85 min) and two accelerometers (on the head and back, lasting for 50 h) on free-swimming Adelie penguins. The movies showed that penguins moved the heads rapidly to capture krill in midwater and fish (Pagothenia borchgrevinki) underneath the sea ice. Captures were remarkably fast (two krill per second in swarms) and efficient (244 krill or 33 P. borchgrevinki in 78-89 min). Prey captures were detected by the signal of head acceleration relative to body acceleration with high sensitivity and specificity (0.83-0.90), as shown by receiver-operating characteristic analysis. Extension of signal analysis to the entire behavioral records showed that krill captures were spatially and temporally more variable than P. borchgrevinki captures. Notably, the frequency distribution of krill capture rate closely followed a power-lawmodel, indicating that the foraging success of penguins depends on a small number of very successful dives. The three steps illustrated here (i.e., video observations, linking video to behavioral signals, and extension of signal analysis) are unique approaches to understanding the spatial and temporal variability of ecologically important events such as foraging.</t>
  </si>
  <si>
    <t>[Watanabe, Yuuki Y.; Takahashi, Akinori] Natl Inst Polar Res, Tachikawa, Tokyo 1908518, Japan</t>
  </si>
  <si>
    <t>Research Organization of Information &amp; Systems (ROIS); National Institute of Polar Research (NIPR) - Japan</t>
  </si>
  <si>
    <t>Watanabe, YY (corresponding author), Natl Inst Polar Res, Tachikawa, Tokyo 1908518, Japan.</t>
  </si>
  <si>
    <t>watanabe.yuuki@nipr.ac.jp</t>
  </si>
  <si>
    <t>Watanabe, Yuuki/D-5079-2012</t>
  </si>
  <si>
    <t>Watanabe, Yuuki/0000-0001-9731-1769</t>
  </si>
  <si>
    <t>Japanese Antarctic Research Expedition; Japan Society for the Promotion of Science [21681002, 20310016]; Grants-in-Aid for Scientific Research [20310016, 23255001, 21681002] Funding Source: KAKEN</t>
  </si>
  <si>
    <t>Japanese Antarctic Research Expedition;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</si>
  <si>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leader (T. Yamanouchi) and other members of the 52nd Japanese Antarctic Research Expedition and the crew of the icebreaker Shirase for their logistical supports; T. Iwami for identifying fish species seen in the movies; P. J. O. Miller for fruitful discussion; and Y. P. Papastamatiou and two anonymous reviewers for helpful comments on the draft. This work was funded by Japanese Antarctic Research Expedition and Grants-in-Aids for Scientific Research from the Japan Society for the Promotion of Science 21681002 (to Y. Y. W.) and 20310016 (to A. T.).</t>
  </si>
  <si>
    <t>FEB 5</t>
  </si>
  <si>
    <t>10.1073/pnas.1216244110</t>
  </si>
  <si>
    <t>093RQ</t>
  </si>
  <si>
    <t>WOS:000315209800053</t>
  </si>
  <si>
    <t>Forehead, HI; O'Kelly, CJ</t>
  </si>
  <si>
    <t>Forehead, Hugh I.; O'Kelly, Charles J.</t>
  </si>
  <si>
    <t>Small doses, big troubles: Modeling growth dynamics of organisms affecting microalgal production cultures in closed photobioreactors</t>
  </si>
  <si>
    <t>Microalgae culture management; Grazers; Growth prediction</t>
  </si>
  <si>
    <t>URONEMA-MARINUM; SCUTICOCILIATIDA; CILIOPHORA; PROTOZOAN; ATLANTIC; AMEBA</t>
  </si>
  <si>
    <t>The destruction of mass cultures of microalgae by biological contamination of culture medium is a pervasive and expensive problem, in industry and research. A mathematical model has been formulated that attempts to explain contaminant growth dynamics in closed photobioreactors (PBRs). The model simulates an initial growth phase without PBR dilution, followed by a production phase in which culture is intermittently removed. Contaminants can be introduced at any of these stages. The model shows how exponential growth from low initial inocula can lead to explosive growth in the population of contaminants, appearing days to weeks after inoculation. Principal influences are contaminant growth rate, PBR dilution rate, and the size of initial contaminant inoculum. Predictions corresponded closely with observed behavior of two contaminants, Uronema sp. and Neoparamoeba sp., found in operating PBRs. A simple, cheap and effective protocol was developed for short-term prediction of contamination in PBRs, using microscopy and archived samples. (C) 2012 Elsevier Ltd. All rights reserved.</t>
  </si>
  <si>
    <t>[Forehead, Hugh I.] Cellana LLC, Kailua, HI USA; [O'Kelly, Charles J.] Univ Washington, Friday Harbor Labs, Friday Harbor, WA 98250 USA</t>
  </si>
  <si>
    <t>University of Washington</t>
  </si>
  <si>
    <t>Forehead, HI (corresponding author), Inst Marine &amp; Antarctic Studies, Hobart, Tas, Australia.</t>
  </si>
  <si>
    <t>hforehead8@gmail.com</t>
  </si>
  <si>
    <t>Forehead, Hugh/O-4713-2018</t>
  </si>
  <si>
    <t>Forehead, Hugh/0000-0001-7035-2894</t>
  </si>
  <si>
    <t>FEB</t>
  </si>
  <si>
    <t>10.1016/j.biortech.2012.11.082</t>
  </si>
  <si>
    <t>220EU</t>
  </si>
  <si>
    <t>WOS:000324566000046</t>
  </si>
  <si>
    <t>Passchier, S; Falk, CJ; Florindo, F</t>
  </si>
  <si>
    <t>Passchier, S.; Falk, C. J.; Florindo, F.</t>
  </si>
  <si>
    <t>Orbitally paced shifts in the particle size of Antarctic continental shelf sediments in response to ice dynamics during the Miocene climatic optimum</t>
  </si>
  <si>
    <t>FINE-GRAINED SEDIMENT; ROSS SEA; INDUCED OSCILLATIONS; OCEAN CIRCULATION; MCMURDO SOUND; SHEET; EVOLUTION; FACIES; ONSET; CORE</t>
  </si>
  <si>
    <t>The AND-2A drill hole (ANDRILL [Antarctic Geological Drilling Program] Southern McMurdo Sound Project), similar to 10 km from the East Antarctica coastline, records nearly 6 m.y. of sedimentation across the Miocene climatic optimum at a high-latitude site. Sedimentological studies of bedforms and particle size distributions indicate that the paleoenvironment was strongly affected by waves and currents, consistent with deposition in a glacially influenced neritic environment. We document abrupt shifts in mud percent within glacial-interglacial cycles ca. 17.8 Ma and between ca. 16.7 and 15.7 Ma that we attribute to the hydrodynamic effects of wave stirring tied to episodes of ice growth and decay. Although wave climate and geo-dynamic forcing of the paleobathymetry simultaneously affect wave stirring on a high-latitude shelf, both are ultimately controlled by the size of the ice sheet. The mud percent record displays cyclicity at short-eccentricity time scales (94-99 k.y.) and, unexpectedly, ice retreat phases interpreted from the particle size record coincide with eccentricity minima. We attribute the eccentricity-paced ice retreat phases during the late Early Miocene polythermal glacial conditions and the cool orbital parameters to marine ice sheet instability in response to changes in ocean circulation and heat transport. The particle size record of the AND-2A core provides unique near-field evidence for orbitally paced changes in high-latitude climate and ice volume during the Miocene climatic optimum and important insights into the mechanisms of ice sheet growth and decay in a period of global warmth.</t>
  </si>
  <si>
    <t>[Passchier, S.; Falk, C. J.] Montclair State Coll, Dept Earth &amp; Environm Studies, Montclair, NJ 07043 USA; [Florindo, F.] Ist Nazl Geofis &amp; Vulcanol, I-00143 Rome, Italy</t>
  </si>
  <si>
    <t>Montclair State University; Istituto Nazionale Geofisica e Vulcanologia (INGV)</t>
  </si>
  <si>
    <t>Passchier, S (corresponding author), Montclair State Coll, Dept Earth &amp; Environm Studies, 252 Mallory Hall,1 Normal Ave, Montclair, NJ 07043 USA.</t>
  </si>
  <si>
    <t>Passchier, Sandra/B-1993-2008; Passchier, Sandra/GYU-2381-2022; Passchier, Sandra/AAQ-2243-2021; Florindo, Fabio/F-4119-2010; Florindo, Fabio/M-1459-2019; Florindo, Fabio/AAU-2548-2021</t>
  </si>
  <si>
    <t>Passchier, Sandra/0000-0001-7204-7025; Passchier, Sandra/0000-0001-7204-7025; Florindo, Fabio/0000-0002-6058-9748; Florindo, Fabio/0000-0002-6058-9748;</t>
  </si>
  <si>
    <t>National Science Foundation [0342484]</t>
  </si>
  <si>
    <t>The ANDRILL (Antarctic geological drilling) Program is a multinational collaboration between the Antarctic Programs of Germany, Italy, New Zealand, and the United States. This work is supported by the National Science Foundation under Cooperative Agreement 0342484 through a subaward to Passchier, and is based on the Master of Science thesis work of Falk. We thank Ian Johnson for collecting particle size data for the upper 120 m of the AND-2A drill hole as part of an undergraduate independent study, and Gavin Dunbar, Michelle Kominz, and five anonymous reviewers for constructive feedback on an earlier version of this paper.</t>
  </si>
  <si>
    <t>10.1130/GES00840.1</t>
  </si>
  <si>
    <t>168IU</t>
  </si>
  <si>
    <t>WOS:000320699900004</t>
  </si>
  <si>
    <t>Hunze, S; Schröder, H; Kuhn, G; Wonik, T</t>
  </si>
  <si>
    <t>Hunze, Sabine; Schroeder, Henning; Kuhn, Gerhard; Wonik, Thomas</t>
  </si>
  <si>
    <t>Lithostratigraphy determined from downhole logs in the AND-2A borehole, southern Victoria Land Basin, McMurdo Sound, Antarctica</t>
  </si>
  <si>
    <t>STRATIGRAPHY; PROJECT; FACIES; CORE; HOLE; SEA</t>
  </si>
  <si>
    <t>During the 2007-2008 austral spring season, the ANDRILL (Antarctic Drilling project) Southern McMurdo Sound Project recovered an 1138-m-long core, representing the last 20 m.y. of glacial history. An extensive downhole logging program was successfully carried out. Due to drill hole conditions, logs were collected in several passes from the total depth at 1138.54 m below seafloor (mbsf) to 230 mbsf. After data correction, several statistical methods, such as factor analysis, cluster analysis, box-and-whisker diagrams, and cross-plots, were applied. The aim of these analyses was to use detailed interpretation of the downhole logs to obtain a description of the lithologies and their specific physical properties that is independent of the core descriptions. The sediments were grouped into the three main facies, diamictite, mudstone and/or siltstone, and sandstone, and the physical properties of each were determined. Notable findings include the high natural radioactivity values in sandstone and the high and low magnetic susceptibility values in mudstone and/or siltstone and in sandstone. A modified lithology cluster column was produced on the basis of the downhole logs and statistical analyses. It was possible to use the uranium content in the downhole logs to determine hiatuses and thus more accurately place the estimated hiatuses. Using analyses from current literature (geochemistry, clasts, and clay minerals) in combination with the downhole logs (cluster analysis), the depths 225 mbsf, 650 mbsf, 775 mbsf, and 900 mbsf were identified as boundaries of change in sediment composition, provenance, and/or environmental conditions. The main use of log interpretation is the exact definition of lithological boundaries and the modification of the paleoenvironmental interpretation.</t>
  </si>
  <si>
    <t>[Hunze, Sabine; Schroeder, Henning; Wonik, Thomas] LIAG, D-30655 Hannover, Germany; [Kuhn, Gerhard] Helmholtz Assoc, Alfred Wegener Inst Polar &amp; Marine Res, D-27568 Bremerhaven, Germany</t>
  </si>
  <si>
    <t>Leibniz Institut fur Angewandte Geophysik (LIAG); Helmholtz Association; Alfred Wegener Institute, Helmholtz Centre for Polar &amp; Marine Research</t>
  </si>
  <si>
    <t>Hunze, S (corresponding author), LIAG, Stilleweg 2, D-30655 Hannover, Germany.</t>
  </si>
  <si>
    <t>Sabine.Hunze@gmx.de; heschroed@web.de; Gerhard.Kuhn@awi.de; Thomas.Wonik@liag-hannover.de</t>
  </si>
  <si>
    <t>Kuhn, Gerhard/0000-0001-6069-7485</t>
  </si>
  <si>
    <t>German Research Foundation (DFG, Deutsche Forschungsgemeinschaft) [WO 672/7, KU 683/10]; U.S. National Science Foundation (NSF); New Zealand Foundation for Research, Science and Technology (FRST); Italian Antarctic Research Programme (PNRA); DFG; Alfred Wegener Institute for Polar and Marine Research (AWI)</t>
  </si>
  <si>
    <t>German Research Foundation (DFG, Deutsche Forschungsgemeinschaft)(German Research Foundation (DFG)); U.S. National Science Foundation (NSF)(National Science Foundation (NSF)); New Zealand Foundation for Research, Science and Technology (FRST)(New Zealand Foundation for Research, Science and Technology); Italian Antarctic Research Programme (PNRA); DFG(German Research Foundation (DFG)); Alfred Wegener Institute for Polar and Marine Research (AWI)</t>
  </si>
  <si>
    <t>This work was supported by the German Research Foundation (DFG, Deutsche Forschungsgemeinschaft; WO 672/7 and KU 683/10). We thank Thomas Grelle, Doug Schmitt, and David Handwerger for their help during the downhole measurements. The ANDRILL program is a multinational collaboration between the Antarctic programs of Germany, Italy, New Zealand, and the United States. Scientific studies are jointly supported by the U.S. National Science Foundation (NSF), New Zealand Foundation for Research, Science and Technology (FRST), the Italian Antarctic Research Programme (PNRA), DFG, and the Alfred Wegener Institute for Polar and Marine Research (AWI). We thank Alex Pyne (Drilling Science Manager), the drilling team, the science lab personnel, and Marshall Pardey. We are grateful to the two anonymous reviewers for their constructive comments.</t>
  </si>
  <si>
    <t>10.1130/GES00774.1</t>
  </si>
  <si>
    <t>WOS:000320699900005</t>
  </si>
  <si>
    <t>Vernet, A</t>
  </si>
  <si>
    <t>Vernet, Agnes</t>
  </si>
  <si>
    <t>Extremophiles Black energy</t>
  </si>
  <si>
    <t>BIOFUTUR</t>
  </si>
  <si>
    <t>ANTARCTIC LAKE; BRINE</t>
  </si>
  <si>
    <t>ELSEVIER FRANCE-EDITIONS SCIENTIFIQUES MEDICALES ELSEVIER</t>
  </si>
  <si>
    <t>23 RUE LINOIS, 75724 PARIS, FRANCE</t>
  </si>
  <si>
    <t>0294-3506</t>
  </si>
  <si>
    <t>Biofutur</t>
  </si>
  <si>
    <t>089JL</t>
  </si>
  <si>
    <t>WOS:000314906700039</t>
  </si>
  <si>
    <t>Lindeque, A; Martos, YM; Gohl, K; Maldonado, A</t>
  </si>
  <si>
    <t>Lindeque, Ansa; Martos, Yasmina M.; Gohl, Karsten; Maldonado, Andres</t>
  </si>
  <si>
    <t>Deep-sea pre-glacial to glacial sedimentation in the Weddell Sea and southern Scotia Sea from a cross-basin seismic transect</t>
  </si>
  <si>
    <t>Antarctica; Weddell Gyre; Ice sheet expansion; Seismic reflection data; Seismic stratigraphy</t>
  </si>
  <si>
    <t>ANTARCTICA PLATE BOUNDARY; ICE-SHEET EVOLUTION; TROUGH-MOUTH FAN; CONTINENTAL-MARGIN; DRAKE PASSAGE; POWELL BASIN; MAGNETIC-ANOMALIES; TECTONIC EVOLUTION; EAST ANTARCTICA; PENINSULA</t>
  </si>
  <si>
    <t>Identification of the pre-glacial, transitional and full glacial components in the deep-sea sedimentary record is necessary to understand the ice sheet development of Antarctica and to build circum-Antarctic sediment thickness grids for palaeotopography/-bathymetry reconstructions, which constrain palaeoclimate models. A similar to 3300 km long Weddell Sea to Scotia Sea multichannel seismic reflection data transect was constructed to define the first basin-wide seismostratigraphy and to identify the pre-glacial to glacial components. Seven main seismic units were mapped: Of these, WS-S1, WS-S2 and WS-S3 comprise the inferred Cretaceous-Palaeocene pre-glacial regime (&gt;27 Ma in our age model), WS-S4 the Eocene-Oligocene transitional regime (27-11 Ma) and WS-55, WS-S6, WS-S7 the Miocene-Pleistocene full glacial climate regime (11-1 Ma). Sparse borehole data from ODP Leg 113 and SHALDRIL constrain the ages of the upper three seismic units and seafloor spreading magnetic anomalies compiled from literature constrain the basement ages in the presented age model. The new horizons and stratigraphy often contradict local studies and show an increase in age from southeast to the northwest. The up to 1130 m thick pre-glacial seismic units form a mound in the central Weddell Sea basin and in conjunction with the eroded flank geometry, allow the interpretation of a Cretaceous proto-Weddell Gyre bottom current. The base reflector of the transitional seismic unit has a model age of 26.6-15.5 Ma from southeast to northwest, suggesting similar southeast to northwest initial ice sheet propagation to the outer shelf. We interpret an Eocene East Antarctic Ice Sheet expansion, Oligocene grounding of the West Antarctic Ice Sheet and Early Miocene grounding of the Antarctic Peninsula Ice Sheet. The transitional regime sedimentation rates in the central and northwestern Weddell Sea (6-10 cm/ky) are higher than in the pre-glacial (1-3 cm/ky) and full glacial regimes (4-8 cm/ky). The pre-glacial to glacial rates are highest in the Jane- and Powell Basins (10-12 cm/ky). Total sediment volume in the Weddell Sea deep-sea basin is estimated at 3.3-3.9 x 10(6) km(3). (C) 2012 Elsevier B.V. All rights reserved.</t>
  </si>
  <si>
    <t>[Lindeque, Ansa; Gohl, Karsten] Alfred Wegener Inst Polar &amp; Marine Res, D-27568 Bremerhaven, Germany; [Martos, Yasmina M.; Maldonado, Andres] Univ Granada, CSIC, Inst Andaluz Ciencias Tierra, Granada 18100, Spain</t>
  </si>
  <si>
    <t>Helmholtz Association; Alfred Wegener Institute, Helmholtz Centre for Polar &amp; Marine Research; University of Granada; Consejo Superior de Investigaciones Cientificas (CSIC); CSIC - Instituto Andaluz de Ciencias de la Tierra (IACT)</t>
  </si>
  <si>
    <t>Lindeque, A (corresponding author), TGS, Millbank House,171-185 Ewell Rd, Surrey KT6 6AP, England.</t>
  </si>
  <si>
    <t>ansa.lindeque@tgs.com; yasmartos@ugr.es; karsten.gohl@awi.de; amaldona@ugr.es</t>
  </si>
  <si>
    <t>Gohl, Karsten/0000-0002-9558-2116</t>
  </si>
  <si>
    <t>Ministerio de Ciencia e Innovacion of Spain [CGL2004-05646/ANT, CTM2008-06386-C02/ANT, CTM2011-30241-CO2-01]; Deutsche Forschungsgemeinschaft [GO 724/10-1]</t>
  </si>
  <si>
    <t>Ministerio de Ciencia e Innovacion of Spain(Spanish Government); Deutsche Forschungsgemeinschaft(German Research Foundation (DFG))</t>
  </si>
  <si>
    <t>YMM and AM thank the Ministerio de Ciencia e Innovacion of Spain for support through the FPI programme and CGL2004-05646/ANT, CTM2008-06386-C02/ANT and CTM2011-30241-CO2-01 projects. The study benefited greatly from a three-month research visit of YMM to the Alfred Wegener Institute. We thank M. Rebesco and J. Anderson for their thorough evaluation and reviews of this paper. Colleagues J. Grutzner, C. Laderach, M. Mieth and G. Uenzelmann-Neben are sincerely thanked for fruitful discussions that improved the manuscript significantly. This project has been funded through the Priority Program 1158 'Antarctic Research' of the Deutsche Forschungsgemeinschaft under project number GO 724/10-1 (AL and KG) and contributes to the Circum-Antarctic Stratigraphy and Palaeobathymetry project (CASP), a Scientific Committee on Antarctic Research - Antarctic Climate Evolution (SCAR-ACE) working group. In memory to Peter Barker who passed away this year (25.06.2012), for his contributions as Principal Investigator on RRS Discovery Cruise 154 which collected line BAS845-15 line, the critical link in the WS-SS transect, and as Co-Chief Scientist on ODP Leg 113, which provided most of the available age control.</t>
  </si>
  <si>
    <t>FEB 1</t>
  </si>
  <si>
    <t>10.1016/j.margeo.2012.11.004</t>
  </si>
  <si>
    <t>151VH</t>
  </si>
  <si>
    <t>WOS:000319488000006</t>
  </si>
  <si>
    <t>McMahon, CR; Harcourt, R; Bateson, P; Hindell, MA</t>
  </si>
  <si>
    <t>McMahon, Clive R.; Harcourt, Robert; Bateson, Patrick; Hindell, Mark A.</t>
  </si>
  <si>
    <t>Animal welfare and conservation, the debate we must have: A response to Draper and Bekoff (2012)</t>
  </si>
  <si>
    <t>[McMahon, Clive R.] Charles Darwin Univ, Res Inst Environm &amp; Livelihoods, Darwin, NT 0909, Australia; [McMahon, Clive R.; Hindell, Mark A.] Univ Tasmania, Inst Marine &amp; Antarctic Studies, Hobart, Tas 7001, Australia; [Harcourt, Robert] Macquarie Univ, Grad Sch Environm, Sydney, NSW 2109, Australia; [Bateson, Patrick] Univ Cambridge, Dept Zool, Subdepart Anim Behav, Cambridge CB23 8AA, England</t>
  </si>
  <si>
    <t>Charles Darwin University; University of Tasmania; Macquarie University; University of Cambridge</t>
  </si>
  <si>
    <t>McMahon, CR (corresponding author), Charles Darwin Univ, Res Inst Environm &amp; Livelihoods, Darwin, NT 0909, Australia.</t>
  </si>
  <si>
    <t>clive.mcmahon@cdu.edu.au</t>
  </si>
  <si>
    <t>McMahon, Clive R/D-5713-2013; Hindell, Mark A/K-1131-2013</t>
  </si>
  <si>
    <t>McMahon, Clive R/0000-0001-5241-8917; Hindell, Mark/0000-0002-7823-7185; Harcourt, Robert/0000-0003-4666-2934</t>
  </si>
  <si>
    <t>10.1016/j.biocon.2012.10.027</t>
  </si>
  <si>
    <t>133HA</t>
  </si>
  <si>
    <t>WOS:000318128300049</t>
  </si>
  <si>
    <t>Janout, MA; Hölemann, J; Krumpen, T</t>
  </si>
  <si>
    <t>Janout, Markus A.; Hoelemann, Jens; Krumpen, Thomas</t>
  </si>
  <si>
    <t>Cross-shelf transport of warm and saline water in response to sea ice drift on the Laptev Sea shelf</t>
  </si>
  <si>
    <t>OCEAN BOUNDARY CURRENT; ARCTIC-OCEAN; CIRCULATION; WIND; VARIABILITY; POLYNYAS; EXPORT; NORTH; STRATIFICATION; DRAFT</t>
  </si>
  <si>
    <t>Oceanographic moorings and conductivity-temperature-depth (CTD) surveys from September 2009 to September 2010 are used to describe recent changes in the Laptev Sea hydrography and to highlight wind- and ice-driven surface Ekman transport as the mechanism to translate these changes from the outer-to the inner-shelf bottom waters. In February 2010, moored oceanographic instruments recorded a sudden increase in temperature (+0.8 degrees C) and salinity (+ &gt;3) near the bottom of the inner Laptev Sea shelf. Such warm and saline waters had not been previously observed on the inner shelf in winter. They likely originated from the basin and were first observed during a summer 2009 CTD survey in the northwestern shelf break region, subsequently spreading east and shoreward across the Laptev Sea shelf. The changes were introduced to the mooring site by the first of a series of bottom-intensified flow events with velocities reaching 20 cm s(-1), topographically guided along a relic submarine river valley. Each of the flow events coincided with negative pressure anomalies at the mooring site and offshore-directed (upwelling-favorable) winds and ice drift. We suggest that the observations to first order resemble a simplified two-dimensional two-layered ocean, where offshore surface Ekman transport is compensated for by a barotropic shoreward response flow near the bottom. In this paper, we use one of the first comprehensive long-term Laptev Sea datasets to highlight ice-ocean-atmosphere interactions in early and late winter and discuss the role of freshwater, stratification, and ice mobility on under-ice circulation on the Laptev Sea shelf. Citation: Janout, M. A., J. Holemann, and T. Krumpen (2013), Cross-shelf transport of warm and saline water in response to sea ice drift on the Laptev Sea shelf, J. Geophys. Res. Oceans, 118, 563-576, doi:10.1029/2011JC007731.</t>
  </si>
  <si>
    <t>[Janout, Markus A.; Hoelemann, Jens; Krumpen, Thomas] Alfred Wegener Inst Polar &amp; Marine Res, D-27570 Bremerhaven, Germany</t>
  </si>
  <si>
    <t>Janout, MA (corresponding author), Alfred Wegener Inst Polar &amp; Marine Res, Handelshafen 12, D-27570 Bremerhaven, Germany.</t>
  </si>
  <si>
    <t>Markus.Janout@awi.de</t>
  </si>
  <si>
    <t>Krumpen, Thomas/D-5163-2011; Janout, Markus/AAI-7219-2020; Hoelemann, Jens/N-3608-2016</t>
  </si>
  <si>
    <t>Krumpen, Thomas/0000-0001-6234-8756; Hoelemann, Jens/0000-0001-5102-4086; Janout, Markus/0000-0003-4908-2855</t>
  </si>
  <si>
    <t>German Federal Ministry of Education and Research [BMBF 03G0639A]; Ministry of Education and Science of the Russian Federation; ESA AO [9429]</t>
  </si>
  <si>
    <t>German Federal Ministry of Education and Research(Federal Ministry of Education &amp; Research (BMBF)); Ministry of Education and Science of the Russian Federation(Ministry of Education and Science, Russian Federation); ESA AO</t>
  </si>
  <si>
    <t>Financial support for the Laptev Sea Systems project was provided by the German Federal Ministry of Education and Research (grant BMBF 03G0639A) and the Ministry of Education and Science of the Russian Federation. NCEP reanalysis data were provided by the NOAA-CIRES Climate Diagnostics Center, Boulder, CO, USA, from their Web site at http://www.cdc.noaa.gov/. Satellite-based ice motion information was provided by CERSAT/IFREMER. ENVISAT SAR images were obtained through ESA AO-project 9429, The use of ENVISAT ASAR imagery for generation and validation of Arctic and Antarctic landfast sea ice masks. We thank the captains and crew of the RV Yakov Smirnitsky and RV Nikolay Evgenov, as well as project members for support during the Transdrift XVI and XVII cruises. A. Novikhin led the CTD data collection effort during the expeditions. We acknowledge T. Klagge for his invaluable effort during the mooring deployment and recovery and H. Kassens and L. Timokhov for their energy and skills in managing the project. We greatly appreciate discussions and comments from U. Schauer and B. Rabe. We thank the editor and three reviewers for helpful comments, which significantly improved the manuscript.</t>
  </si>
  <si>
    <t>10.1029/2011JC007731</t>
  </si>
  <si>
    <t>129LK</t>
  </si>
  <si>
    <t>WOS:000317840700001</t>
  </si>
  <si>
    <t>Grenier, M; Jeandel, C; Lacan, F; Vance, D; Venchiarutti, C; Cros, A; Cravatte, S</t>
  </si>
  <si>
    <t>Grenier, Melanie; Jeandel, Catherine; Lacan, Francois; Vance, Derek; Venchiarutti, Celia; Cros, Alexandre; Cravatte, Sophie</t>
  </si>
  <si>
    <t>From the subtropics to the central equatorial Pacific Ocean: Neodymium isotopic composition and rare earth element concentration variations</t>
  </si>
  <si>
    <t>ANTARCTIC INTERMEDIATE WATER; PAPUA-NEW-GUINEA; SIMULATED PASSIVE TRACER; WESTERN PACIFIC; GEOTRACES INTERCALIBRATION; PRECISE DETERMINATION; HYDROGRAPHIC SECTION; LITHOGENIC INPUTS; SURFACE CURRENTS; ICP-MS</t>
  </si>
  <si>
    <t>Neodymium isotopic compositions (epsilon(Nd)) and rare earth element (REE) concentrations were measured for filtered surface to deep waters (112 samples) in the Southern Tropical Pacific. The relatively detailed picture of these tracer distributions allowed us to refine the areas where oceanic epsilon(Nd) variations occur. epsilon(Nd) values increase for most of the water masses flowing from Samoa to the Solomon Sea and in the Papua New Guinea (PNG) area, as already observed. Furthermore, water masses arriving from the eastern equatorial Pacific (200-550m depth) also revealed radiogenic values, possibly acquired in the vicinity of the South American coasts and Galapagos Islands. These epsilon(Nd) variations affect the whole water column. The most likely process causing such variations is boundary exchange between the numerous radiogenic slopes/margins located in this area and seawater flowing past. Dissolution of atmospheric deposition and/or diffuse streaming of volcanic ash are also suggested to explain the radiogenic epsilon(Nd) observed at the surface in the PNG area. Interestingly, a positive europium (Eu) anomaly characterizes the normalized REE patterns of most of the studied water masses. This anomaly is consistent with the REE patterns of sediment and rock samples that are potential sources for the local waters. Such consistency reinforces the hypothesis that lithogenic sources play a major role in the oceanic REE budget, thanks to boundary exchange. The data set presented here is a good basis for further sampling that will be realized in the framework of the ongoing GEOTRACES program (www.geotraces.org). Citation: Grenier, M., C. Jeandel, F. Lacan, D. Vance, C. Venchiarutti, A. Cros, and S. Cravatte (2013), From the subtropics to the central equatorial Pacific Ocean: Neodymium isotopic composition and rare earth element concentration variations, J. Geophys. Res. Oceans, 118, 592-618, doi:10.1029/2012JC008239.</t>
  </si>
  <si>
    <t>[Grenier, Melanie; Jeandel, Catherine; Lacan, Francois; Venchiarutti, Celia; Cros, Alexandre; Cravatte, Sophie] Univ Toulouse, CNRS, CNES, IRD,Lab Etud Geophys &amp; Oceanog Spatiales, Toulouse, France; [Vance, Derek] Univ Bristol, Dept Earth Sci, Bristol Isotope Grp, Bristol, Avon, England; [Cravatte, Sophie] Univ Toulouse, CNRS, CNES, LEGOS,IRD, Noumea, New Caledonia</t>
  </si>
  <si>
    <t>Universite de Toulouse; Universite Toulouse III - Paul Sabatier; Centre National de la Recherche Scientifique (CNRS); Institut de Recherche pour le Developpement (IRD); Laboratoire d'Etudes en Geophysique et oceanographie spatiales; University of Bristol; Institut de Recherche pour le Developpement (IRD)</t>
  </si>
  <si>
    <t>Grenier, M (corresponding author), LEGOS, 14 Ave Edouard Belin, F-31400 Toulouse, France.</t>
  </si>
  <si>
    <t>melanie.grenier@legos.obs-mip.fr</t>
  </si>
  <si>
    <t>Cravatte, Sophie/AAI-4635-2021; Jeandel, Catherine/P-3789-2014; Cravatte, Sophie/J-7081-2016; Lacan, Francois/B-8032-2009</t>
  </si>
  <si>
    <t>Cravatte, Sophie/0000-0002-2439-8952; Jeandel, Catherine/0000-0002-4915-4719; Cravatte, Sophie/0000-0002-2439-8952; Lacan, Francois/0000-0001-6794-2279; Grenier, Melanie/0000-0001-7278-6880</t>
  </si>
  <si>
    <t>National Science Foundation [NSF-OCE-0425721]; Agence Nationale de la Recherche [ANR-09-BLAN-0233-01]; INSU/LEFE/CYBER project ISOFERIX; COST Action [ES0801]; Agence Nationale de la Recherche (ANR) [ANR-09-BLAN-0233] Funding Source: Agence Nationale de la Recherche (ANR)</t>
  </si>
  <si>
    <t>National Science Foundation(National Science Foundation (NSF)); Agence Nationale de la Recherche(Agence Nationale de la Recherche (ANR)); INSU/LEFE/CYBER project ISOFERIX; COST Action(European Cooperation in Science and Technology (COST)); Agence Nationale de la Recherche (ANR)(Agence Nationale de la Recherche (ANR))</t>
  </si>
  <si>
    <t>The chief scientist of the EUC-Fe cruise, James W. Murray, as well as the captain and the crew of the R/V Kilo Moana are greatly acknowledged. C. Pradoux, J. Rickli, P. Brunet, J. Chmeleff, F. Candaudap, and A. Lanzanova are thanked for their technical support. All the authors whose work contributed to the geological database EarthChem are acknowledged, as well as the EarthChem project office for the availability of the data (http://www.earthchem.org). The authors wish to thank the geochemical team of the SARM (Service d'Analyse des Roches et des Mineraux, CNRS-CRPG, Nancy, France) for the epsilonNd and REE concentration measurements of samples of volcano ashes and Bismarck Sea sediments. Conversations with M. Benoit greatly aided the geological interpretation. The authors would like to thank Angelique Melet and Gerard Eldin for the Nd sampling during the FLUSEC cruise, as well as Christophe Maes, chief scientist, for having accepted this additional sampling during the cruise. The authors also want to thank James W. Murray and Luc Beaufort for the gift of sediment samples collected close to PNG coast, in the Bismarck Sea and in the Gulf of Papua, respectively. This work is co-funded by the National Science Foundation (grant NSF-OCE-0425721), by the Agence Nationale de la Recherche (project ANR-09-BLAN-0233-01), and by INSU/LEFE/CYBER project ISOFERIX; it is a contribution to the GEOTRACES and SPICE International programs (http://www.geotraces.org; http://www.solomonseaoceanography.org). Part of this work was supported by COST Action ES0801 The ocean chemistry of bioactive trace elements and paleoclimate proxies. Finally, we would like to thank Brian Haley and the two anonymous reviewers for their valuable comments and suggestions, which improved the quality of this paper.</t>
  </si>
  <si>
    <t>10.1029/2012JC008239</t>
  </si>
  <si>
    <t>WOS:000317840700003</t>
  </si>
  <si>
    <t>Ferreira, A; Stramski, D; Garcia, CAE; Garcia, VMT; Ciotti, AM; Mendes, CRB</t>
  </si>
  <si>
    <t>Ferreira, Amabile; Stramski, Dariusz; Garcia, Carlos A. E.; Garcia, Virginia M. T.; Ciotti, Aurea M.; Mendes, Carlos R. B.</t>
  </si>
  <si>
    <t>Variability in light absorption and scattering of phytoplankton in Patagonian waters: Role of community size structure and pigment composition</t>
  </si>
  <si>
    <t>BEAM ATTENUATION COEFFICIENT; SPECTRAL ABSORPTION; OPTICAL-PROPERTIES; CHLOROPHYLL-A; BACKSCATTERING COEFFICIENTS; NATURAL PHYTOPLANKTON; BIOOPTICAL PROPERTIES; MEDITERRANEAN SEA; THERMAL STRUCTURE; COASTAL WATERS</t>
  </si>
  <si>
    <t>Intense phytoplankton blooms were observed along the Patagonian shelf-break with satellite ocean color data, but few in situ optical observations were made in that region. We examine the variability of phytoplankton absorption and particulate scattering coefficients during such blooms on the basis of field data. The chlorophyll-a concentration, [Chla], ranged from 0.1 to 22.3 mg m(-3) in surface waters. The size fractionation of [Chla] showed that 80% of samples were dominated by nanophytoplankton (N-group) and 20% by microphytoplankton (M-group). Chlorophyll-specific phytoplankton absorption coefficients at 440 and 676 nm, a(ph)*(440) and a(ph)*(676), and particulate scattering coefficient at 660 nm, b(p)*(660), ranged from 0.018 to 0.173, 0.009 to 0.046, and 0.031 to 2.37m(2) (mg Chla) (1), respectively. Both a(ph)*(440) and a(ph)*(676) were statistically higher for the N-group than M-group and also considerably higher than expected from global trends as a function of [Chla]. This result suggests that size of phytoplankton cells in Patagonian waters tends to be smaller than in other regions at similar [Chla]. The phytoplankton cell size parameter, S-f, derived from phytoplankton absorption spectra, proved to be useful for interpreting the variability in the data around the general inverse dependence of a(ph)*(440), a(ph)*(676), and b(p)*(660) on [Chla]. S-f also showed a pattern along the increasing trend of a(ph)*(440) and a(ph)*(676) as a function of the ratios of some accessory pigments to [Chla]. Our results suggest that the variability in phytoplankton absorption and scattering coefficients in Patagonian waters is caused primarily by changes in the dominant phytoplankton cell size accompanied by covariation in the concentrations of accessory pigments. Citation: Ferreira, A., D. Stramski, C. A. E. Garcia, V. M. T. Garcia, A. M. Ciotti, and C. R. B. Mendes (2013), Variability in light absorption and scattering of phytoplankton in Patagonian waters: Role of community size structure and pigment composition, J. Geophys. Res. Oceans, 118, 698-714, doi:10.1002/jgrc.20082.</t>
  </si>
  <si>
    <t>[Ferreira, Amabile; Garcia, Carlos A. E.; Garcia, Virginia M. T.; Mendes, Carlos R. B.] Univ Fed Rio Grande, Inst Oceanog, BR-96201900 Rio Grande, RS, Brazil; [Stramski, Dariusz] Univ Calif San Diego, Scripps Inst Oceanog, Marine Phys Lab, La Jolla, CA 92093 USA; [Ciotti, Aurea M.] Univ Sao Paulo, Ctr Biol Marinha, Sao Sebastiao, Brazil; [Mendes, Carlos R. B.] Univ Lisbon, Fac Ciencias, Ctr Oceanog, Lisbon, Portugal</t>
  </si>
  <si>
    <t>Universidade Federal do Rio Grande; University of California System; University of California San Diego; Scripps Institution of Oceanography; Universidade de Sao Paulo; Universidade de Lisboa</t>
  </si>
  <si>
    <t>Ferreira, A (corresponding author), Univ Fed Rio Grande, Inst Oceanog, BR-96201900 Rio Grande, RS, Brazil.</t>
  </si>
  <si>
    <t>amabilefr@gmail.com</t>
  </si>
  <si>
    <t>Ciotti, Aurea Maria/B-7188-2011; Mendes, Carlos/I-1520-2012; Garcia, Carlos A. E./K-7382-2012; Mendes, Carlos/AAD-6504-2021; Ciotti, Aurea Maria/M-9025-2019; Ferreira, Amabile/H-8245-2013; Mendes, Carlos/GVU-7596-2022; Tavano, Virginia/C-5241-2013</t>
  </si>
  <si>
    <t>Ciotti, Aurea Maria/0000-0001-7163-8819; Mendes, Carlos/0000-0001-6875-8860; Ciotti, Aurea Maria/0000-0001-7163-8819; Mendes, Carlos/0000-0001-6875-8860; Tavano, Virginia/0000-0003-0039-8111</t>
  </si>
  <si>
    <t>Ministry of Science and Technology (MCT); Brazilian National Council on Research and Development (CNPq) [520189/2006-0]; GSFC/NASA [OCEANS/04123400362]; NASA Biodiversity Program [NNX09AK17G]; CNPq [Proc. 143234/2008-0]; Brazilian agency CAPES (Coordenacao de Aperfeicoamento de Pessoal de Ensino Superior) [Proc. 6999/10-7]; NASA [114856, NNX09AK17G] Funding Source: Federal RePORTER</t>
  </si>
  <si>
    <t>Ministry of Science and Technology (MCT); Brazilian National Council on Research and Development (CNPq)(Conselho Nacional de Desenvolvimento Cientifico e Tecnologico (CNPQ)); GSFC/NASA(National Aeronautics &amp; Space Administration (NASA)); NASA Biodiversity Program(National Aeronautics &amp; Space Administration (NASA)); CNPq(Conselho Nacional de Desenvolvimento Cientifico e Tecnologico (CNPQ)); Brazilian agency CAPES (Coordenacao de Aperfeicoamento de Pessoal de Ensino Superior); NASA(National Aeronautics &amp; Space Administration (NASA))</t>
  </si>
  <si>
    <t>The PATagonian EXperiment (PATEX) is a multidisciplinary project conducted by the Group of High Latitude Oceanography (GOAL) in the Brazilian Antarctic Program. We are grateful to the crew of the Brazilian Navy R/V Ary Rongel for their assistance during field experiments. We also acknowledge Servicio de Hidrografia Naval (Argentina) for their cooperation in obtaining clearance for carrying out the fieldwork within the Argentinean EEZ. The PATEX 5, 6, and 7 cruises were conducted as part of the Southern Ocean Studies for Understanding Climate Changes Issues (SOS-CLIMATE) project, a Brazilian contribution to the International Polar Year. The SOS-Climate project was funded by the Ministry of Science and Technology (MCT) and Brazilian National Council on Research and Development (CNPq, grant 520189/2006-0). This work was also partly supported by GSFC/NASA through the project OCEANS/04123400362 and by the NASA Biodiversity Program (Grant NNX09AK17G awarded to D. S.). A. Ferreira was funded by CNPq with a graduate scholarship (Proc. 143234/2008-0) and the Brazilian agency CAPES (Coordenacao de Aperfeicoamento de Pessoal de Ensino Superior) with a doctoral student grant (Proc. 6999/10-7). Part of the work was done during a 1 year research visit of A. Ferreira to the Marine Physical Laboratory, Scripps Institution of Oceanography in San Diego, California. The Center of Oceanography of FCUL (Lisbon, Portugal) provided the facilities for the HPLC analysis. We also thank three anonymous reviewers for their comments on the manuscript.</t>
  </si>
  <si>
    <t>10.1002/jgrc.20082</t>
  </si>
  <si>
    <t>WOS:000317840700009</t>
  </si>
  <si>
    <t>Abernathey, RP; Marshall, J</t>
  </si>
  <si>
    <t>Abernathey, R. P.; Marshall, J.</t>
  </si>
  <si>
    <t>Global surface eddy diffusivities derived from satellite altimetry</t>
  </si>
  <si>
    <t>ANTARCTIC CIRCUMPOLAR CURRENT; SOUTHERN-OCEAN; RELATIVE DISPERSION; GENERAL-CIRCULATION; NORTH-ATLANTIC; GULF-STREAM; TRACER; TRANSPORT; COORDINATE; MODEL</t>
  </si>
  <si>
    <t>Velocities derived from AVISO sea-surface height observations, adjusted to be nondivergent, are used to simulate the evolution of passive tracers at the ocean surface. Eddy mixing rates are derived from the tracer fields in two ways. First, the method of Nakamura is applied to a sector in the East Pacific. Second, the Osborn-Cox diffusivity is calculated globally to yield estimates of diffusivity in two dimensions. The results from the East Pacific show weak meridional mixing at the surface in the Southern Ocean (&lt;1000 m(2) s(-1), consistent with previous results) but higher mixing rates (similar to 3000-5000 m(2) s(-1)) in the tropical ocean. The Osborn-Cox diagnostic provides a global picture of mixing rates and agrees reasonably well with the results from the East Pacific. It also shows extremely high mixing rates (similar to 10(4) m(2) s(-1)) in western boundary current regions. The Osborn-Cox diffusivity is sensitive to the tracer initialization, which we attribute to the presence of anisotropic mixing processes. The mixing rates are strongly influenced by the presence of a mean flow nearly everywhere, as shown by comparison with an eddy-only calculation, with the mean flow absent. Finally, results are compared with other recent estimates of mixing rates using Lagrangian and inverse methods. Citation: Abernathey, R. P., and J. Marshall (2013), Global surface eddy diffusivities derived from satellite altimetry, J. Geophys. Res. Oceans, 118, 901-916, doi:10.1002/jgrc.20066.</t>
  </si>
  <si>
    <t>[Abernathey, R. P.; Marshall, J.] MIT, Dept Earth Atmospher &amp; Planetary Sci, Cambridge, MA USA; [Abernathey, R. P.] Univ Calif San Diego, Scripps Inst Oceanog, 9500 Gilman Dr 0213, La Jolla, CA 92093 USA</t>
  </si>
  <si>
    <t>Massachusetts Institute of Technology (MIT); University of California System; University of California San Diego; Scripps Institution of Oceanography</t>
  </si>
  <si>
    <t>Abernathey, RP (corresponding author), Univ Calif San Diego, Scripps Inst Oceanog, 9500 Gilman Dr 0213, La Jolla, CA 92093 USA.</t>
  </si>
  <si>
    <t>rabernathey@ucsd.edu</t>
  </si>
  <si>
    <t>Abernathey, Ryan/0000-0001-5999-4917</t>
  </si>
  <si>
    <t>NSF through the MOBY project; Directorate For Geosciences; Division Of Ocean Sciences [0825376] Funding Source: National Science Foundation; Office of Polar Programs (OPP); Directorate For Geosciences [0944519] Funding Source: National Science Foundation</t>
  </si>
  <si>
    <t>NSF through the MOBY project; Directorate For Geosciences; Division Of Ocean Sciences(National Science Foundation (NSF)NSF - Directorate for Geosciences (GEO)); Office of Polar Programs (OPP); Directorate For Geosciences(National Science Foundation (NSF)NSF - Directorate for Geosciences (GEO))</t>
  </si>
  <si>
    <t>We thank Raf Ferrari, David Ferreira, Andreas Klocker, Alan Plumb, and Ross Tulloch for helpful discussions. We also thank three anonymous reviewers. The altimeter products were produced by Ssalto/Duacs and distributed by AVISO, with support from Cnes (http://www.aviso.oceanobs.com/duacs/). The authors also acknowledge support from NSF through the MOBY project, an MIT, WHOI, NCAR collaboration which explores the role of eddies in ocean circulation.</t>
  </si>
  <si>
    <t>10.1002/jgrc.20066</t>
  </si>
  <si>
    <t>WOS:000317840700024</t>
  </si>
  <si>
    <t>Thorne, RM; Ni, BB; Tao, X; Chen, LJ; Li, W; Meredith, NP; Horne, RB; Shprits, YY</t>
  </si>
  <si>
    <t>Thorne, Richard M.; Ni, Binbin; Tao, Xin; Chen, Lunjin; Li, Wen; Meredith, Nigel P.; Horne, Richard B.; Shprits, Yuri Y.</t>
  </si>
  <si>
    <t>Resonant scattering of plasma sheet electrons leading to diffuse auroral precipitation: 1. Evaluation for electrostatic electron cyclotron harmonic waves (vol 116, A04218, 2011)</t>
  </si>
  <si>
    <t>PITCH-ANGLE</t>
  </si>
  <si>
    <t>[Thorne, Richard M.; Ni, Binbin; Tao, Xin; Chen, Lunjin; Li, Wen] Univ Calif Los Angeles, Dept Atmospher &amp; Ocean Sci, Los Angeles, CA 90024 USA; [Meredith, Nigel P.; Horne, Richard B.] British Antarctic Survey, Nat Environm Res Council, Cambridge CB3 0ET, England; [Shprits, Yuri Y.] Univ Calif Los Angeles, Dept Geophys &amp; Planetary Phys, Los Angeles, CA 90024 USA</t>
  </si>
  <si>
    <t>University of California System; University of California Los Angeles; UK Research &amp; Innovation (UKRI); Natural Environment Research Council (NERC); NERC British Antarctic Survey; University of California System; University of California Los Angeles</t>
  </si>
  <si>
    <t>Thorne, RM (corresponding author), Univ Calif Los Angeles, Dept Atmospher &amp; Ocean Sci, Los Angeles, CA 90024 USA.</t>
  </si>
  <si>
    <t>rmt@atmos.ucla.edu</t>
  </si>
  <si>
    <t>Ni, Binbin/I-5244-2013; Chen, Lunjin/L-1250-2013; Meredith, Nigel P/C-5806-2018; Horne, Richard B/U-3764-2019; Shprits, Yuri Y/I-2174-2014; Li, Wen/F-3722-2011</t>
  </si>
  <si>
    <t>Horne, Richard B/0000-0002-0412-6407;</t>
  </si>
  <si>
    <t>10.1002/jgra.50154</t>
  </si>
  <si>
    <t>129RQ</t>
  </si>
  <si>
    <t>WOS:000317860000025</t>
  </si>
  <si>
    <t>Watson, RA; Morato, T</t>
  </si>
  <si>
    <t>Watson, Reg A.; Morato, Telmo</t>
  </si>
  <si>
    <t>Fishing down the deep: Accounting for within-species changes in depth of fishing</t>
  </si>
  <si>
    <t>FISHERIES RESEARCH</t>
  </si>
  <si>
    <t>Deep-sea; Deep-water fisheries; Depth of fishing; Fishing deeper; Global fisheries</t>
  </si>
  <si>
    <t>PORCUPINE SEABIGHT; NORTHEAST ATLANTIC; SEA FISHES; VULNERABILITY</t>
  </si>
  <si>
    <t>New estimates of the global mean depth of fishing, which consider both the between and within species changes over time, showed a stronger shift to deeper water than estimated previously based only on between-species changes. The new estimates show a linear increase in the mean depth of fishing of 62.5 m decade(-1), corresponding to an increase of about 350 m for the period since 1950. These values are about 5 times higher than those obtained by using between-species change in catch composition over time, suggesting that deep water species and habitats are under a more serious threat from fishing than hitherto assumed. (C) 2013 Elsevier B.V. All rights reserved.</t>
  </si>
  <si>
    <t>[Watson, Reg A.] Univ Tasmania, Inst Marine &amp; Antarctic Studies, Taroona, Tas, Australia; [Morato, Telmo] Univ Acores, LARSYS, IMAR, Dept Oceanog &amp; Pescas, Horta, Portugal</t>
  </si>
  <si>
    <t>University of Tasmania; Universidade dos Acores</t>
  </si>
  <si>
    <t>Watson, RA (corresponding author), Inst Marine &amp; Antarctic Studies, Private Bag 49, Hobart, Tas 7001, Australia.</t>
  </si>
  <si>
    <t>rwatson@ecomarres.com</t>
  </si>
  <si>
    <t>Watson, Reg A/F-4850-2012; Morato, Telmo/A-4548-2009</t>
  </si>
  <si>
    <t>Watson, Reg A/0000-0001-7201-8865; Morato, Telmo/0000-0003-2393-4773</t>
  </si>
  <si>
    <t>University of British Columbia; Pew Environment Group; POPH; QREN European Social Fund; Portuguese Ministry for Science and Education; European Community [226354]</t>
  </si>
  <si>
    <t>University of British Columbia; Pew Environment Group; POPH; QREN European Social Fund; Portuguese Ministry for Science and Education(Fundacao para a Ciencia e a Tecnologia (FCT)); European Community</t>
  </si>
  <si>
    <t>We acknowledge the support of the Sea Around Us Project, a scientific collaboration between the University of British Columbia and the Pew Environment Group. TM was supported by POPH, QREN European Social Fund, the Portuguese Ministry for Science and Education and received funding from the European Community Seventh Framework Programme (FP7/2007-2013) under the HERMIONE project, grant agreement no. 226354.</t>
  </si>
  <si>
    <t>0165-7836</t>
  </si>
  <si>
    <t>1872-6763</t>
  </si>
  <si>
    <t>FISH RES</t>
  </si>
  <si>
    <t>Fish Res.</t>
  </si>
  <si>
    <t>10.1016/j.fishres.2012.12.004</t>
  </si>
  <si>
    <t>102KK</t>
  </si>
  <si>
    <t>WOS:000315843300007</t>
  </si>
  <si>
    <t>Basak, C; Martin, EE</t>
  </si>
  <si>
    <t>Basak, Chandranath; Martin, Ellen E.</t>
  </si>
  <si>
    <t>Antarctic weathering and carbonate compensation at the Eocene-Oligocene transition</t>
  </si>
  <si>
    <t>CENOZOIC GLACIATION; DEEP-WATER; OCEAN; CIRCULATION; EXPANSION; SEDIMENTS; ISOTOPES; TERRAINS; SEAWATER; ONSET</t>
  </si>
  <si>
    <t>During the Eocene-Oligocene transition about 34 million years ago, permanent ice cover developed on Antarctica. This pronounced climate transition was accompanied by the deepening of the carbonate compensation depth in the oceans(1) and perturbations in atmospheric carbon dioxide concentrations(2,3). These changes may have been linked to continentalweathering on Antarctica, but reconstructing which rock types were subject to weathering and the intensity of that weathering has proved challenging. Here we compare the lead (Pb) isotope values of seawater as recorded by extractions from decarbonated bulk sediments and those of silicate detrital fractions from deep-sea sediments from sites in the Southern Ocean that span the Eocene-Oligocene transition. These comparisons allowed us to assess local weathering inputs of Pb from Antarctica. The Pb-206/Pb-204, Pb-207/Pb-204 and Pb-208/Pb-204 ratios suggest high rates of chemical weathering in the late Eocene, which would have helped draw down atmospheric CO2 to levels necessary for glacial initiation. Mechanical weathering and the introduction of newly exposed material was enhanced during the establishment of the Antarctic ice sheet. We also observe a divergence of seawater Pb-206/Pb-204 from detrital values during the Eocene-Oligocene transition, which implies an additional source of weathered material. We argue that the weathering of carbonate basement rock from Antarctica could explain the Pb-206/Pb-204 trend, and could have contributed to the observed deepening of the carbonate compensation depth through contributions to ocean alkalinity.</t>
  </si>
  <si>
    <t>[Basak, Chandranath; Martin, Ellen E.] Univ Florida, Dept Geol Sci, Gainesville, FL 32611 USA</t>
  </si>
  <si>
    <t>State University System of Florida; University of Florida</t>
  </si>
  <si>
    <t>Basak, C (corresponding author), Carl von Ossietzky Univ Oldenburg, Inst Chem &amp; Biol Marine Environm ICBM, Max Planck Res Grp Marine Isotope Geochem, D-26129 Oldenburg, Germany.</t>
  </si>
  <si>
    <t>cbasak@mpi-bremen.de</t>
  </si>
  <si>
    <t>Martin, Ellen/0000-0003-1709-2493; Basak, Chandranath/0000-0002-9410-0074</t>
  </si>
  <si>
    <t>NSF [OCE0926474]; Directorate For Geosciences; Division Of Ocean Sciences [0926474] Funding Source: National Science Foundation</t>
  </si>
  <si>
    <t>NSF(National Science Foundation (NSF)); Directorate For Geosciences; Division Of Ocean Sciences(National Science Foundation (NSF)NSF - Directorate for Geosciences (GEO))</t>
  </si>
  <si>
    <t>We thank G. Kamenov for technical support regarding Nd and Pb isotopic analyses on the Nu Plasma MC-ICPMS at the University of Florida and P. Muller for scientific discussions. Funding for this research was provided by NSF grant OCE0926474 to E.E.M.</t>
  </si>
  <si>
    <t>10.1038/NGEO1707</t>
  </si>
  <si>
    <t>117HO</t>
  </si>
  <si>
    <t>WOS:000316944400017</t>
  </si>
  <si>
    <t>Zakharov, VG; Sidorenkov, NS</t>
  </si>
  <si>
    <t>Zakharov, V. G.; Sidorenkov, N. S.</t>
  </si>
  <si>
    <t>Impact of lunisolar tides on the iceberg runoff in Antarctica</t>
  </si>
  <si>
    <t>Regular variation in the solid runoff of Antarctic glaciers with the period of 18.6 years is revealed as a result of long-term observations. It is demonstrated that the periodicity of the solid runoff correlates with the 18.6-year periodicity of the Earth's angular velocity variations caused by the 18.6-year cyclicity of the variability of lunisolar tides. It is revealed that the vibratory gravitational sliding of glaciers to the sea is registered due to the tidal fluctuations along with many climate processes. The iceberg runoff lags as compared with the course of the variance of tidal fluctuations of the angular velocity approximately by six years.</t>
  </si>
  <si>
    <t>[Zakharov, V. G.] Russian Acad Sci, Inst Geol, Moscow 119017, Russia; [Sidorenkov, N. S.] Hydrometeorol Res Ctr Russian Federat, Moscow 123242, Russia</t>
  </si>
  <si>
    <t>Russian Academy of Sciences; Geological Institute, Russian Academy of Sciences</t>
  </si>
  <si>
    <t>Zakharov, VG (corresponding author), Russian Acad Sci, Inst Geol, Pyzhevskii Per 7, Moscow 119017, Russia.</t>
  </si>
  <si>
    <t>10.3103/S1068373913020052</t>
  </si>
  <si>
    <t>114ZZ</t>
  </si>
  <si>
    <t>WOS:000316782800005</t>
  </si>
  <si>
    <t>Yuan, JP; Cao, J</t>
  </si>
  <si>
    <t>Yuan Jun-Peng; Cao Jie</t>
  </si>
  <si>
    <t>Research on the northern annular mode cycle variation and mutation</t>
  </si>
  <si>
    <t>The northern annular mode; Decadal cycle mutation; External forcing; Wavelet coherence spectrum</t>
  </si>
  <si>
    <t>EURASIAN SNOW COVER; ARCTIC OSCILLATION; CLIMATE; CIRCULATION; IMPACTS</t>
  </si>
  <si>
    <t>Using the NOAA monthly reanalysis sea level pressure, surface temperature, snow cover and sea ice data from 1871 to 2008, and the Pacific decadal oscillation (PDO) index from 1900 to 2008, the northern annular mode (NAM) index cycle variation and mutation were studied with wavelet analysis method, band pass filter method and coherence wavelet analysis method. The results indicated that the decadal cycle of the northern annular mode index has mutated at 1960s. NAM presents significant quasi-periodic oscillation of 35-years in 1895-1955, and 15-years in 1971-2008. The decadal cycle mutation of NAM was owing to the oscillation cycle variation of the external forcing, and the external forcing factors before and after the mutation of NAM periodic oscillations were not exactly the same. Before the 1960s, the external forcing, such as PDO, ATM, North America snow cover and the Antarctic sea-ice oscillation (ASIO) contributed greatly to the NAM quasi-35-years-periodic oscillation. However, the main factors for NAM quasi-15-years-periodic oscillation after 1960s were ATM, the European snow cover, and ASIO.</t>
  </si>
  <si>
    <t>[Yuan Jun-Peng; Cao Jie] Yunnan Univ, Dept Atmospher Sci, Kunming 650091, Peoples R China</t>
  </si>
  <si>
    <t>Yunnan University</t>
  </si>
  <si>
    <t>Yuan, JP (corresponding author), Yunnan Univ, Dept Atmospher Sci, Kunming 650091, Peoples R China.</t>
  </si>
  <si>
    <t>jpyuan@ynu.edu.cn</t>
  </si>
  <si>
    <t>10.6038/cjg20130205</t>
  </si>
  <si>
    <t>101GE</t>
  </si>
  <si>
    <t>WOS:000315762400005</t>
  </si>
  <si>
    <t>Casanovas, P; Lynch, HJ; Fagan, WF</t>
  </si>
  <si>
    <t>Casanovas, Paula; Lynch, Heather J.; Fagan, William F.</t>
  </si>
  <si>
    <t>Multi-scale patterns of moss and lichen richness on the Antarctic Peninsula</t>
  </si>
  <si>
    <t>KING-GEORGE-ISLAND; SIGNY ISLAND; SPECIES-RICHNESS; SCALE DEPENDENCE; DIVERSITY; PLANT; PENGUIN; VEGETATION; IMPACTS; BIOGEOGRAPHY</t>
  </si>
  <si>
    <t>Mosses and lichens are the dominant macrophytes of the Antarctic terrestrial ecosystem. Using occurrence data from existing databases and additional published records, we analyzed patterns of moss and lichen species diversity on the Antarctic Peninsula at both a regional scale (1 degrees latitudinal bands) and a local scale (52 and 56 individual snow- and ice-free coastal areas for mosses and lichens, respectively) to test hypothesized relationships between species diversity and environmental factors, and to identify locations whose diversity may be particularly poorly represented by existing collections and online databases. We found significant heterogeneity in sampling frequency, number of records collected, and number of species found among analysis units at the two spatial scales, and estimated species richness using projected species accumulation curves to account for potential biases stemming from sample heterogeneity. Our estimates of moss and lichen richness for the entire Antarctic Peninsula region were within 20% of the total number of known species. Area, latitude, spatial isolation, mean summer temperature, and penguin colony size were considered as potential covariates of estimated species richness. Moss richness was correlated with isolation and latitude at the local scale, while lichen richness was correlated with summer mean temperature and, for 17 sites where penguins where present with &lt;20 000 breeding pairs, penguin colony size. At the regional scale, moss richness was correlated with temperature and latitude. Lichen richness, by contrast, was not significantly correlated with any of the variables considered at the regional scale. With the exception of temperature, which explained 91% of the variation in regional moss diversity, explained variance was very low. Our results show that patterns of moss and lichen biodiversity are highly scale-dependent and largely unexplained by the biogeographic variables found important in other systems.</t>
  </si>
  <si>
    <t>[Casanovas, Paula; Fagan, William F.] Univ Maryland, Dept Biol, College Pk, MD 20742 USA; [Lynch, Heather J.] SUNY Stony Brook, Dept Ecol &amp; Evolut, Stony Brook, NY 11794 USA</t>
  </si>
  <si>
    <t>University System of Maryland; University of Maryland College Park; State University of New York (SUNY) System; State University of New York (SUNY) Stony Brook</t>
  </si>
  <si>
    <t>Casanovas, P (corresponding author), Univ Maryland, Dept Biol, College Pk, MD 20742 USA.</t>
  </si>
  <si>
    <t>paulac@umd.edu</t>
  </si>
  <si>
    <t>Convey, Peter/0000-0001-8497-9903; Casanovas, Paula/0000-0002-4462-139X</t>
  </si>
  <si>
    <t>US National Science Foundation Office of Polar Programs [NSF/OPP - 0739515]; NASA Headquarters under the NASA Earth and Space Fellowship Program [NNX10AN55H]</t>
  </si>
  <si>
    <t>US National Science Foundation Office of Polar Programs(National Science Foundation (NSF)); NASA Headquarters under the NASA Earth and Space Fellowship Program</t>
  </si>
  <si>
    <t>We thank Ron I. Lewis-Smith, Helen Peat and Valdon Smith for their useful comments and suggestions to this manuscript. HJL and WFF gratefully acknowledge assistance from the US National Science Foundation Office of Polar Programs (award no. NSF/OPP - 0739515). This work was partially supported by NASA Headquarters under the NASA Earth and Space Fellowship Program - grant NNX10AN55H to PC.</t>
  </si>
  <si>
    <t>10.1111/j.1600-0587.2012.07549.x</t>
  </si>
  <si>
    <t>108XR</t>
  </si>
  <si>
    <t>WOS:000316330100011</t>
  </si>
  <si>
    <t>Berger, WH</t>
  </si>
  <si>
    <t>Berger, Wolfgang H.</t>
  </si>
  <si>
    <t>Milankovitch tuning of deep-sea records: Implications for maximum rates of change of sea level</t>
  </si>
  <si>
    <t>ice age</t>
  </si>
  <si>
    <t>MAJOR GLACIATION CYCLES; ABRUPT CLIMATE-CHANGE; NORTH-ATLANTIC OCEAN; ANTARCTIC ICE-SHEET; ONTONG JAVA PLATEAU; RAISED CORAL REEFS; FRESH-WATER INPUT; BRUNHES-MATUYAMA; THERMOHALINE CIRCULATION; 2-STEP DEGLACIATION</t>
  </si>
  <si>
    <t>The analysis of several stacked and tuned records from the deep-sea floor yields two rather different sets of values for rates of sea-level rise. One of these reflects regular growth and decay and the other represents rapid decay of polar ice. Typical rise rates during rapid decay are near 1.2 m per century; with higher values seemingly following an abundance distribution that may be described by a standard deviation of 0.4 m per century (one third of the typical value). Distributions are based on a millennium resolution, leaving room for higher values for selected centuries within any millennium. Nevertheless, rise values beyond 5 m per century seem highly unusual. The quality of the match between deep-sea record (taken as differential) and Milankovitch forcing is excellent for the last 400,000 years (that is, the time since the mid-Brunhes Event, a period that may be referred to as the Emiliani Chron) but is poor in certain time spans before that. Difficulties associated with precise dating and a changing level of instability of polar ice prevent identification of trigger events for deglaciation. What is observable is that during periods of rapid decay, once sea level started to rise, it kept doing so for millennia (presumably till suitable ice masses were used up). Thus, it seems that a rise of sea level is itself a positive feedback on rapid melting of ice. Negative feedback, if real (as assumed in certain hypotheses about the origin of the Younger Dryas) is an unexpected exception that presumably relies on a high threshold value of sea-level rise. (c) 2012 Published by Elsevier B.V.</t>
  </si>
  <si>
    <t>Univ Calif San Diego, Scripps Inst Oceanog, San Diego, CA 92103 USA</t>
  </si>
  <si>
    <t>Berger, WH (corresponding author), Univ Calif San Diego, Scripps Inst Oceanog, San Diego, CA 92103 USA.</t>
  </si>
  <si>
    <t>wberger@ucsd.edu</t>
  </si>
  <si>
    <t>10.1016/j.gloplacha.2012.10.013</t>
  </si>
  <si>
    <t>110DU</t>
  </si>
  <si>
    <t>WOS:000316423600012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</si>
</sst>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49</v>
      </c>
      <c r="AH2">
        <v>64</v>
      </c>
      <c r="AI2">
        <v>66</v>
      </c>
      <c r="AJ2">
        <v>0</v>
      </c>
      <c r="AK2">
        <v>15</v>
      </c>
      <c r="AL2" t="s">
        <v>92</v>
      </c>
      <c r="AM2" t="s">
        <v>93</v>
      </c>
      <c r="AN2" t="s">
        <v>94</v>
      </c>
      <c r="AO2" t="s">
        <v>95</v>
      </c>
      <c r="AP2" t="s">
        <v>96</v>
      </c>
      <c r="AQ2" t="s">
        <v>74</v>
      </c>
      <c r="AR2" t="s">
        <v>97</v>
      </c>
      <c r="AS2" t="s">
        <v>98</v>
      </c>
      <c r="AT2" t="s">
        <v>99</v>
      </c>
      <c r="AU2">
        <v>2013</v>
      </c>
      <c r="AV2">
        <v>118</v>
      </c>
      <c r="AW2">
        <v>8</v>
      </c>
      <c r="AX2" t="s">
        <v>74</v>
      </c>
      <c r="AY2" t="s">
        <v>74</v>
      </c>
      <c r="AZ2" t="s">
        <v>74</v>
      </c>
      <c r="BA2" t="s">
        <v>74</v>
      </c>
      <c r="BB2">
        <v>4844</v>
      </c>
      <c r="BC2">
        <v>4851</v>
      </c>
      <c r="BD2" t="s">
        <v>74</v>
      </c>
      <c r="BE2" t="s">
        <v>100</v>
      </c>
      <c r="BF2" t="str">
        <f>HYPERLINK("http://dx.doi.org/10.1002/jgra.50458","http://dx.doi.org/10.1002/jgra.50458")</f>
        <v>http://dx.doi.org/10.1002/jgra.50458</v>
      </c>
      <c r="BG2" t="s">
        <v>74</v>
      </c>
      <c r="BH2" t="s">
        <v>74</v>
      </c>
      <c r="BI2">
        <v>8</v>
      </c>
      <c r="BJ2" t="s">
        <v>101</v>
      </c>
      <c r="BK2" t="s">
        <v>102</v>
      </c>
      <c r="BL2" t="s">
        <v>101</v>
      </c>
      <c r="BM2" t="s">
        <v>103</v>
      </c>
      <c r="BN2" t="s">
        <v>74</v>
      </c>
      <c r="BO2" t="s">
        <v>104</v>
      </c>
      <c r="BP2" t="s">
        <v>74</v>
      </c>
      <c r="BQ2" t="s">
        <v>74</v>
      </c>
      <c r="BR2" t="s">
        <v>105</v>
      </c>
      <c r="BS2" t="s">
        <v>106</v>
      </c>
      <c r="BT2" t="str">
        <f>HYPERLINK("https%3A%2F%2Fwww.webofscience.com%2Fwos%2Fwoscc%2Ffull-record%2FWOS:000324992300012","View Full Record in Web of Science")</f>
        <v>View Full Record in Web of Science</v>
      </c>
    </row>
    <row r="3" spans="1:72" x14ac:dyDescent="0.15">
      <c r="A3" t="s">
        <v>72</v>
      </c>
      <c r="B3" t="s">
        <v>107</v>
      </c>
      <c r="C3" t="s">
        <v>74</v>
      </c>
      <c r="D3" t="s">
        <v>74</v>
      </c>
      <c r="E3" t="s">
        <v>74</v>
      </c>
      <c r="F3" t="s">
        <v>108</v>
      </c>
      <c r="G3" t="s">
        <v>74</v>
      </c>
      <c r="H3" t="s">
        <v>74</v>
      </c>
      <c r="I3" t="s">
        <v>109</v>
      </c>
      <c r="J3" t="s">
        <v>77</v>
      </c>
      <c r="K3" t="s">
        <v>74</v>
      </c>
      <c r="L3" t="s">
        <v>74</v>
      </c>
      <c r="M3" t="s">
        <v>78</v>
      </c>
      <c r="N3" t="s">
        <v>79</v>
      </c>
      <c r="O3" t="s">
        <v>74</v>
      </c>
      <c r="P3" t="s">
        <v>74</v>
      </c>
      <c r="Q3" t="s">
        <v>74</v>
      </c>
      <c r="R3" t="s">
        <v>74</v>
      </c>
      <c r="S3" t="s">
        <v>74</v>
      </c>
      <c r="T3" t="s">
        <v>110</v>
      </c>
      <c r="U3" t="s">
        <v>111</v>
      </c>
      <c r="V3" t="s">
        <v>112</v>
      </c>
      <c r="W3" t="s">
        <v>113</v>
      </c>
      <c r="X3" t="s">
        <v>114</v>
      </c>
      <c r="Y3" t="s">
        <v>115</v>
      </c>
      <c r="Z3" t="s">
        <v>116</v>
      </c>
      <c r="AA3" t="s">
        <v>117</v>
      </c>
      <c r="AB3" t="s">
        <v>118</v>
      </c>
      <c r="AC3" t="s">
        <v>119</v>
      </c>
      <c r="AD3" t="s">
        <v>120</v>
      </c>
      <c r="AE3" t="s">
        <v>121</v>
      </c>
      <c r="AF3" t="s">
        <v>74</v>
      </c>
      <c r="AG3">
        <v>31</v>
      </c>
      <c r="AH3">
        <v>15</v>
      </c>
      <c r="AI3">
        <v>17</v>
      </c>
      <c r="AJ3">
        <v>0</v>
      </c>
      <c r="AK3">
        <v>4</v>
      </c>
      <c r="AL3" t="s">
        <v>92</v>
      </c>
      <c r="AM3" t="s">
        <v>93</v>
      </c>
      <c r="AN3" t="s">
        <v>94</v>
      </c>
      <c r="AO3" t="s">
        <v>95</v>
      </c>
      <c r="AP3" t="s">
        <v>96</v>
      </c>
      <c r="AQ3" t="s">
        <v>74</v>
      </c>
      <c r="AR3" t="s">
        <v>97</v>
      </c>
      <c r="AS3" t="s">
        <v>98</v>
      </c>
      <c r="AT3" t="s">
        <v>99</v>
      </c>
      <c r="AU3">
        <v>2013</v>
      </c>
      <c r="AV3">
        <v>118</v>
      </c>
      <c r="AW3">
        <v>8</v>
      </c>
      <c r="AX3" t="s">
        <v>74</v>
      </c>
      <c r="AY3" t="s">
        <v>74</v>
      </c>
      <c r="AZ3" t="s">
        <v>74</v>
      </c>
      <c r="BA3" t="s">
        <v>74</v>
      </c>
      <c r="BB3">
        <v>5059</v>
      </c>
      <c r="BC3">
        <v>5067</v>
      </c>
      <c r="BD3" t="s">
        <v>74</v>
      </c>
      <c r="BE3" t="s">
        <v>122</v>
      </c>
      <c r="BF3" t="str">
        <f>HYPERLINK("http://dx.doi.org/10.1002/jgra.50488","http://dx.doi.org/10.1002/jgra.50488")</f>
        <v>http://dx.doi.org/10.1002/jgra.50488</v>
      </c>
      <c r="BG3" t="s">
        <v>74</v>
      </c>
      <c r="BH3" t="s">
        <v>74</v>
      </c>
      <c r="BI3">
        <v>9</v>
      </c>
      <c r="BJ3" t="s">
        <v>101</v>
      </c>
      <c r="BK3" t="s">
        <v>102</v>
      </c>
      <c r="BL3" t="s">
        <v>101</v>
      </c>
      <c r="BM3" t="s">
        <v>103</v>
      </c>
      <c r="BN3" t="s">
        <v>74</v>
      </c>
      <c r="BO3" t="s">
        <v>74</v>
      </c>
      <c r="BP3" t="s">
        <v>74</v>
      </c>
      <c r="BQ3" t="s">
        <v>74</v>
      </c>
      <c r="BR3" t="s">
        <v>105</v>
      </c>
      <c r="BS3" t="s">
        <v>123</v>
      </c>
      <c r="BT3" t="str">
        <f>HYPERLINK("https%3A%2F%2Fwww.webofscience.com%2Fwos%2Fwoscc%2Ffull-record%2FWOS:000324992300030","View Full Record in Web of Science")</f>
        <v>View Full Record in Web of Science</v>
      </c>
    </row>
    <row r="4" spans="1:72" x14ac:dyDescent="0.15">
      <c r="A4" t="s">
        <v>72</v>
      </c>
      <c r="B4" t="s">
        <v>124</v>
      </c>
      <c r="C4" t="s">
        <v>74</v>
      </c>
      <c r="D4" t="s">
        <v>74</v>
      </c>
      <c r="E4" t="s">
        <v>74</v>
      </c>
      <c r="F4" t="s">
        <v>125</v>
      </c>
      <c r="G4" t="s">
        <v>74</v>
      </c>
      <c r="H4" t="s">
        <v>74</v>
      </c>
      <c r="I4" t="s">
        <v>126</v>
      </c>
      <c r="J4" t="s">
        <v>77</v>
      </c>
      <c r="K4" t="s">
        <v>74</v>
      </c>
      <c r="L4" t="s">
        <v>74</v>
      </c>
      <c r="M4" t="s">
        <v>78</v>
      </c>
      <c r="N4" t="s">
        <v>79</v>
      </c>
      <c r="O4" t="s">
        <v>74</v>
      </c>
      <c r="P4" t="s">
        <v>74</v>
      </c>
      <c r="Q4" t="s">
        <v>74</v>
      </c>
      <c r="R4" t="s">
        <v>74</v>
      </c>
      <c r="S4" t="s">
        <v>74</v>
      </c>
      <c r="T4" t="s">
        <v>127</v>
      </c>
      <c r="U4" t="s">
        <v>128</v>
      </c>
      <c r="V4" t="s">
        <v>129</v>
      </c>
      <c r="W4" t="s">
        <v>130</v>
      </c>
      <c r="X4" t="s">
        <v>131</v>
      </c>
      <c r="Y4" t="s">
        <v>132</v>
      </c>
      <c r="Z4" t="s">
        <v>133</v>
      </c>
      <c r="AA4" t="s">
        <v>74</v>
      </c>
      <c r="AB4" t="s">
        <v>74</v>
      </c>
      <c r="AC4" t="s">
        <v>134</v>
      </c>
      <c r="AD4" t="s">
        <v>135</v>
      </c>
      <c r="AE4" t="s">
        <v>136</v>
      </c>
      <c r="AF4" t="s">
        <v>74</v>
      </c>
      <c r="AG4">
        <v>66</v>
      </c>
      <c r="AH4">
        <v>6</v>
      </c>
      <c r="AI4">
        <v>7</v>
      </c>
      <c r="AJ4">
        <v>0</v>
      </c>
      <c r="AK4">
        <v>3</v>
      </c>
      <c r="AL4" t="s">
        <v>92</v>
      </c>
      <c r="AM4" t="s">
        <v>93</v>
      </c>
      <c r="AN4" t="s">
        <v>94</v>
      </c>
      <c r="AO4" t="s">
        <v>95</v>
      </c>
      <c r="AP4" t="s">
        <v>96</v>
      </c>
      <c r="AQ4" t="s">
        <v>74</v>
      </c>
      <c r="AR4" t="s">
        <v>97</v>
      </c>
      <c r="AS4" t="s">
        <v>98</v>
      </c>
      <c r="AT4" t="s">
        <v>99</v>
      </c>
      <c r="AU4">
        <v>2013</v>
      </c>
      <c r="AV4">
        <v>118</v>
      </c>
      <c r="AW4">
        <v>8</v>
      </c>
      <c r="AX4" t="s">
        <v>74</v>
      </c>
      <c r="AY4" t="s">
        <v>74</v>
      </c>
      <c r="AZ4" t="s">
        <v>74</v>
      </c>
      <c r="BA4" t="s">
        <v>74</v>
      </c>
      <c r="BB4">
        <v>5136</v>
      </c>
      <c r="BC4">
        <v>5148</v>
      </c>
      <c r="BD4" t="s">
        <v>74</v>
      </c>
      <c r="BE4" t="s">
        <v>137</v>
      </c>
      <c r="BF4" t="str">
        <f>HYPERLINK("http://dx.doi.org/10.1002/jgra.50440","http://dx.doi.org/10.1002/jgra.50440")</f>
        <v>http://dx.doi.org/10.1002/jgra.50440</v>
      </c>
      <c r="BG4" t="s">
        <v>74</v>
      </c>
      <c r="BH4" t="s">
        <v>74</v>
      </c>
      <c r="BI4">
        <v>13</v>
      </c>
      <c r="BJ4" t="s">
        <v>101</v>
      </c>
      <c r="BK4" t="s">
        <v>102</v>
      </c>
      <c r="BL4" t="s">
        <v>101</v>
      </c>
      <c r="BM4" t="s">
        <v>103</v>
      </c>
      <c r="BN4" t="s">
        <v>74</v>
      </c>
      <c r="BO4" t="s">
        <v>74</v>
      </c>
      <c r="BP4" t="s">
        <v>74</v>
      </c>
      <c r="BQ4" t="s">
        <v>74</v>
      </c>
      <c r="BR4" t="s">
        <v>105</v>
      </c>
      <c r="BS4" t="s">
        <v>138</v>
      </c>
      <c r="BT4" t="str">
        <f>HYPERLINK("https%3A%2F%2Fwww.webofscience.com%2Fwos%2Fwoscc%2Ffull-record%2FWOS:000324992300037","View Full Record in Web of Science")</f>
        <v>View Full Record in Web of Science</v>
      </c>
    </row>
    <row r="5" spans="1:72" x14ac:dyDescent="0.15">
      <c r="A5" t="s">
        <v>72</v>
      </c>
      <c r="B5" t="s">
        <v>139</v>
      </c>
      <c r="C5" t="s">
        <v>74</v>
      </c>
      <c r="D5" t="s">
        <v>74</v>
      </c>
      <c r="E5" t="s">
        <v>74</v>
      </c>
      <c r="F5" t="s">
        <v>140</v>
      </c>
      <c r="G5" t="s">
        <v>74</v>
      </c>
      <c r="H5" t="s">
        <v>74</v>
      </c>
      <c r="I5" t="s">
        <v>141</v>
      </c>
      <c r="J5" t="s">
        <v>142</v>
      </c>
      <c r="K5" t="s">
        <v>74</v>
      </c>
      <c r="L5" t="s">
        <v>74</v>
      </c>
      <c r="M5" t="s">
        <v>78</v>
      </c>
      <c r="N5" t="s">
        <v>79</v>
      </c>
      <c r="O5" t="s">
        <v>74</v>
      </c>
      <c r="P5" t="s">
        <v>74</v>
      </c>
      <c r="Q5" t="s">
        <v>74</v>
      </c>
      <c r="R5" t="s">
        <v>74</v>
      </c>
      <c r="S5" t="s">
        <v>74</v>
      </c>
      <c r="T5" t="s">
        <v>143</v>
      </c>
      <c r="U5" t="s">
        <v>144</v>
      </c>
      <c r="V5" t="s">
        <v>145</v>
      </c>
      <c r="W5" t="s">
        <v>146</v>
      </c>
      <c r="X5" t="s">
        <v>147</v>
      </c>
      <c r="Y5" t="s">
        <v>148</v>
      </c>
      <c r="Z5" t="s">
        <v>149</v>
      </c>
      <c r="AA5" t="s">
        <v>150</v>
      </c>
      <c r="AB5" t="s">
        <v>151</v>
      </c>
      <c r="AC5" t="s">
        <v>152</v>
      </c>
      <c r="AD5" t="s">
        <v>152</v>
      </c>
      <c r="AE5" t="s">
        <v>153</v>
      </c>
      <c r="AF5" t="s">
        <v>74</v>
      </c>
      <c r="AG5">
        <v>45</v>
      </c>
      <c r="AH5">
        <v>26</v>
      </c>
      <c r="AI5">
        <v>28</v>
      </c>
      <c r="AJ5">
        <v>3</v>
      </c>
      <c r="AK5">
        <v>83</v>
      </c>
      <c r="AL5" t="s">
        <v>154</v>
      </c>
      <c r="AM5" t="s">
        <v>155</v>
      </c>
      <c r="AN5" t="s">
        <v>156</v>
      </c>
      <c r="AO5" t="s">
        <v>157</v>
      </c>
      <c r="AP5" t="s">
        <v>158</v>
      </c>
      <c r="AQ5" t="s">
        <v>74</v>
      </c>
      <c r="AR5" t="s">
        <v>159</v>
      </c>
      <c r="AS5" t="s">
        <v>160</v>
      </c>
      <c r="AT5" t="s">
        <v>99</v>
      </c>
      <c r="AU5">
        <v>2013</v>
      </c>
      <c r="AV5">
        <v>446</v>
      </c>
      <c r="AW5" t="s">
        <v>74</v>
      </c>
      <c r="AX5" t="s">
        <v>74</v>
      </c>
      <c r="AY5" t="s">
        <v>74</v>
      </c>
      <c r="AZ5" t="s">
        <v>74</v>
      </c>
      <c r="BA5" t="s">
        <v>74</v>
      </c>
      <c r="BB5">
        <v>1</v>
      </c>
      <c r="BC5">
        <v>9</v>
      </c>
      <c r="BD5" t="s">
        <v>74</v>
      </c>
      <c r="BE5" t="s">
        <v>161</v>
      </c>
      <c r="BF5" t="str">
        <f>HYPERLINK("http://dx.doi.org/10.1016/j.jembe.2013.04.010","http://dx.doi.org/10.1016/j.jembe.2013.04.010")</f>
        <v>http://dx.doi.org/10.1016/j.jembe.2013.04.010</v>
      </c>
      <c r="BG5" t="s">
        <v>74</v>
      </c>
      <c r="BH5" t="s">
        <v>74</v>
      </c>
      <c r="BI5">
        <v>9</v>
      </c>
      <c r="BJ5" t="s">
        <v>162</v>
      </c>
      <c r="BK5" t="s">
        <v>102</v>
      </c>
      <c r="BL5" t="s">
        <v>163</v>
      </c>
      <c r="BM5" t="s">
        <v>164</v>
      </c>
      <c r="BN5" t="s">
        <v>74</v>
      </c>
      <c r="BO5" t="s">
        <v>74</v>
      </c>
      <c r="BP5" t="s">
        <v>74</v>
      </c>
      <c r="BQ5" t="s">
        <v>74</v>
      </c>
      <c r="BR5" t="s">
        <v>105</v>
      </c>
      <c r="BS5" t="s">
        <v>165</v>
      </c>
      <c r="BT5" t="str">
        <f>HYPERLINK("https%3A%2F%2Fwww.webofscience.com%2Fwos%2Fwoscc%2Ffull-record%2FWOS:000323139200001","View Full Record in Web of Science")</f>
        <v>View Full Record in Web of Science</v>
      </c>
    </row>
    <row r="6" spans="1:72" x14ac:dyDescent="0.15">
      <c r="A6" t="s">
        <v>72</v>
      </c>
      <c r="B6" t="s">
        <v>166</v>
      </c>
      <c r="C6" t="s">
        <v>74</v>
      </c>
      <c r="D6" t="s">
        <v>74</v>
      </c>
      <c r="E6" t="s">
        <v>74</v>
      </c>
      <c r="F6" t="s">
        <v>167</v>
      </c>
      <c r="G6" t="s">
        <v>74</v>
      </c>
      <c r="H6" t="s">
        <v>74</v>
      </c>
      <c r="I6" t="s">
        <v>168</v>
      </c>
      <c r="J6" t="s">
        <v>142</v>
      </c>
      <c r="K6" t="s">
        <v>74</v>
      </c>
      <c r="L6" t="s">
        <v>74</v>
      </c>
      <c r="M6" t="s">
        <v>78</v>
      </c>
      <c r="N6" t="s">
        <v>79</v>
      </c>
      <c r="O6" t="s">
        <v>74</v>
      </c>
      <c r="P6" t="s">
        <v>74</v>
      </c>
      <c r="Q6" t="s">
        <v>74</v>
      </c>
      <c r="R6" t="s">
        <v>74</v>
      </c>
      <c r="S6" t="s">
        <v>74</v>
      </c>
      <c r="T6" t="s">
        <v>169</v>
      </c>
      <c r="U6" t="s">
        <v>170</v>
      </c>
      <c r="V6" t="s">
        <v>171</v>
      </c>
      <c r="W6" t="s">
        <v>172</v>
      </c>
      <c r="X6" t="s">
        <v>173</v>
      </c>
      <c r="Y6" t="s">
        <v>174</v>
      </c>
      <c r="Z6" t="s">
        <v>175</v>
      </c>
      <c r="AA6" t="s">
        <v>176</v>
      </c>
      <c r="AB6" t="s">
        <v>177</v>
      </c>
      <c r="AC6" t="s">
        <v>178</v>
      </c>
      <c r="AD6" t="s">
        <v>179</v>
      </c>
      <c r="AE6" t="s">
        <v>180</v>
      </c>
      <c r="AF6" t="s">
        <v>74</v>
      </c>
      <c r="AG6">
        <v>74</v>
      </c>
      <c r="AH6">
        <v>5</v>
      </c>
      <c r="AI6">
        <v>5</v>
      </c>
      <c r="AJ6">
        <v>2</v>
      </c>
      <c r="AK6">
        <v>41</v>
      </c>
      <c r="AL6" t="s">
        <v>154</v>
      </c>
      <c r="AM6" t="s">
        <v>155</v>
      </c>
      <c r="AN6" t="s">
        <v>156</v>
      </c>
      <c r="AO6" t="s">
        <v>157</v>
      </c>
      <c r="AP6" t="s">
        <v>158</v>
      </c>
      <c r="AQ6" t="s">
        <v>74</v>
      </c>
      <c r="AR6" t="s">
        <v>159</v>
      </c>
      <c r="AS6" t="s">
        <v>160</v>
      </c>
      <c r="AT6" t="s">
        <v>99</v>
      </c>
      <c r="AU6">
        <v>2013</v>
      </c>
      <c r="AV6">
        <v>446</v>
      </c>
      <c r="AW6" t="s">
        <v>74</v>
      </c>
      <c r="AX6" t="s">
        <v>74</v>
      </c>
      <c r="AY6" t="s">
        <v>74</v>
      </c>
      <c r="AZ6" t="s">
        <v>74</v>
      </c>
      <c r="BA6" t="s">
        <v>74</v>
      </c>
      <c r="BB6">
        <v>228</v>
      </c>
      <c r="BC6">
        <v>235</v>
      </c>
      <c r="BD6" t="s">
        <v>74</v>
      </c>
      <c r="BE6" t="s">
        <v>181</v>
      </c>
      <c r="BF6" t="str">
        <f>HYPERLINK("http://dx.doi.org/10.1016/j.jembe.2013.05.022","http://dx.doi.org/10.1016/j.jembe.2013.05.022")</f>
        <v>http://dx.doi.org/10.1016/j.jembe.2013.05.022</v>
      </c>
      <c r="BG6" t="s">
        <v>74</v>
      </c>
      <c r="BH6" t="s">
        <v>74</v>
      </c>
      <c r="BI6">
        <v>8</v>
      </c>
      <c r="BJ6" t="s">
        <v>162</v>
      </c>
      <c r="BK6" t="s">
        <v>102</v>
      </c>
      <c r="BL6" t="s">
        <v>163</v>
      </c>
      <c r="BM6" t="s">
        <v>164</v>
      </c>
      <c r="BN6" t="s">
        <v>74</v>
      </c>
      <c r="BO6" t="s">
        <v>74</v>
      </c>
      <c r="BP6" t="s">
        <v>74</v>
      </c>
      <c r="BQ6" t="s">
        <v>74</v>
      </c>
      <c r="BR6" t="s">
        <v>105</v>
      </c>
      <c r="BS6" t="s">
        <v>182</v>
      </c>
      <c r="BT6" t="str">
        <f>HYPERLINK("https%3A%2F%2Fwww.webofscience.com%2Fwos%2Fwoscc%2Ffull-record%2FWOS:000323139200029","View Full Record in Web of Science")</f>
        <v>View Full Record in Web of Science</v>
      </c>
    </row>
    <row r="7" spans="1:72" x14ac:dyDescent="0.15">
      <c r="A7" t="s">
        <v>72</v>
      </c>
      <c r="B7" t="s">
        <v>183</v>
      </c>
      <c r="C7" t="s">
        <v>74</v>
      </c>
      <c r="D7" t="s">
        <v>74</v>
      </c>
      <c r="E7" t="s">
        <v>74</v>
      </c>
      <c r="F7" t="s">
        <v>184</v>
      </c>
      <c r="G7" t="s">
        <v>74</v>
      </c>
      <c r="H7" t="s">
        <v>74</v>
      </c>
      <c r="I7" t="s">
        <v>185</v>
      </c>
      <c r="J7" t="s">
        <v>142</v>
      </c>
      <c r="K7" t="s">
        <v>74</v>
      </c>
      <c r="L7" t="s">
        <v>74</v>
      </c>
      <c r="M7" t="s">
        <v>78</v>
      </c>
      <c r="N7" t="s">
        <v>79</v>
      </c>
      <c r="O7" t="s">
        <v>74</v>
      </c>
      <c r="P7" t="s">
        <v>74</v>
      </c>
      <c r="Q7" t="s">
        <v>74</v>
      </c>
      <c r="R7" t="s">
        <v>74</v>
      </c>
      <c r="S7" t="s">
        <v>74</v>
      </c>
      <c r="T7" t="s">
        <v>186</v>
      </c>
      <c r="U7" t="s">
        <v>187</v>
      </c>
      <c r="V7" t="s">
        <v>188</v>
      </c>
      <c r="W7" t="s">
        <v>189</v>
      </c>
      <c r="X7" t="s">
        <v>190</v>
      </c>
      <c r="Y7" t="s">
        <v>191</v>
      </c>
      <c r="Z7" t="s">
        <v>192</v>
      </c>
      <c r="AA7" t="s">
        <v>193</v>
      </c>
      <c r="AB7" t="s">
        <v>194</v>
      </c>
      <c r="AC7" t="s">
        <v>74</v>
      </c>
      <c r="AD7" t="s">
        <v>74</v>
      </c>
      <c r="AE7" t="s">
        <v>74</v>
      </c>
      <c r="AF7" t="s">
        <v>74</v>
      </c>
      <c r="AG7">
        <v>64</v>
      </c>
      <c r="AH7">
        <v>9</v>
      </c>
      <c r="AI7">
        <v>9</v>
      </c>
      <c r="AJ7">
        <v>1</v>
      </c>
      <c r="AK7">
        <v>31</v>
      </c>
      <c r="AL7" t="s">
        <v>195</v>
      </c>
      <c r="AM7" t="s">
        <v>155</v>
      </c>
      <c r="AN7" t="s">
        <v>196</v>
      </c>
      <c r="AO7" t="s">
        <v>157</v>
      </c>
      <c r="AP7" t="s">
        <v>158</v>
      </c>
      <c r="AQ7" t="s">
        <v>74</v>
      </c>
      <c r="AR7" t="s">
        <v>159</v>
      </c>
      <c r="AS7" t="s">
        <v>160</v>
      </c>
      <c r="AT7" t="s">
        <v>99</v>
      </c>
      <c r="AU7">
        <v>2013</v>
      </c>
      <c r="AV7">
        <v>446</v>
      </c>
      <c r="AW7" t="s">
        <v>74</v>
      </c>
      <c r="AX7" t="s">
        <v>74</v>
      </c>
      <c r="AY7" t="s">
        <v>74</v>
      </c>
      <c r="AZ7" t="s">
        <v>74</v>
      </c>
      <c r="BA7" t="s">
        <v>74</v>
      </c>
      <c r="BB7">
        <v>236</v>
      </c>
      <c r="BC7">
        <v>244</v>
      </c>
      <c r="BD7" t="s">
        <v>74</v>
      </c>
      <c r="BE7" t="s">
        <v>197</v>
      </c>
      <c r="BF7" t="str">
        <f>HYPERLINK("http://dx.doi.org/10.1016/j.jembe.2013.05.031","http://dx.doi.org/10.1016/j.jembe.2013.05.031")</f>
        <v>http://dx.doi.org/10.1016/j.jembe.2013.05.031</v>
      </c>
      <c r="BG7" t="s">
        <v>74</v>
      </c>
      <c r="BH7" t="s">
        <v>74</v>
      </c>
      <c r="BI7">
        <v>9</v>
      </c>
      <c r="BJ7" t="s">
        <v>162</v>
      </c>
      <c r="BK7" t="s">
        <v>102</v>
      </c>
      <c r="BL7" t="s">
        <v>163</v>
      </c>
      <c r="BM7" t="s">
        <v>164</v>
      </c>
      <c r="BN7" t="s">
        <v>74</v>
      </c>
      <c r="BO7" t="s">
        <v>74</v>
      </c>
      <c r="BP7" t="s">
        <v>74</v>
      </c>
      <c r="BQ7" t="s">
        <v>74</v>
      </c>
      <c r="BR7" t="s">
        <v>105</v>
      </c>
      <c r="BS7" t="s">
        <v>198</v>
      </c>
      <c r="BT7" t="str">
        <f>HYPERLINK("https%3A%2F%2Fwww.webofscience.com%2Fwos%2Fwoscc%2Ffull-record%2FWOS:000323139200030","View Full Record in Web of Science")</f>
        <v>View Full Record in Web of Science</v>
      </c>
    </row>
    <row r="8" spans="1:72" x14ac:dyDescent="0.15">
      <c r="A8" t="s">
        <v>72</v>
      </c>
      <c r="B8" t="s">
        <v>199</v>
      </c>
      <c r="C8" t="s">
        <v>74</v>
      </c>
      <c r="D8" t="s">
        <v>74</v>
      </c>
      <c r="E8" t="s">
        <v>74</v>
      </c>
      <c r="F8" t="s">
        <v>200</v>
      </c>
      <c r="G8" t="s">
        <v>74</v>
      </c>
      <c r="H8" t="s">
        <v>74</v>
      </c>
      <c r="I8" t="s">
        <v>201</v>
      </c>
      <c r="J8" t="s">
        <v>202</v>
      </c>
      <c r="K8" t="s">
        <v>74</v>
      </c>
      <c r="L8" t="s">
        <v>74</v>
      </c>
      <c r="M8" t="s">
        <v>203</v>
      </c>
      <c r="N8" t="s">
        <v>79</v>
      </c>
      <c r="O8" t="s">
        <v>74</v>
      </c>
      <c r="P8" t="s">
        <v>74</v>
      </c>
      <c r="Q8" t="s">
        <v>74</v>
      </c>
      <c r="R8" t="s">
        <v>74</v>
      </c>
      <c r="S8" t="s">
        <v>74</v>
      </c>
      <c r="T8" t="s">
        <v>204</v>
      </c>
      <c r="U8" t="s">
        <v>205</v>
      </c>
      <c r="V8" t="s">
        <v>206</v>
      </c>
      <c r="W8" t="s">
        <v>207</v>
      </c>
      <c r="X8" t="s">
        <v>208</v>
      </c>
      <c r="Y8" t="s">
        <v>209</v>
      </c>
      <c r="Z8" t="s">
        <v>210</v>
      </c>
      <c r="AA8" t="s">
        <v>211</v>
      </c>
      <c r="AB8" t="s">
        <v>74</v>
      </c>
      <c r="AC8" t="s">
        <v>74</v>
      </c>
      <c r="AD8" t="s">
        <v>74</v>
      </c>
      <c r="AE8" t="s">
        <v>74</v>
      </c>
      <c r="AF8" t="s">
        <v>74</v>
      </c>
      <c r="AG8">
        <v>71</v>
      </c>
      <c r="AH8">
        <v>11</v>
      </c>
      <c r="AI8">
        <v>16</v>
      </c>
      <c r="AJ8">
        <v>0</v>
      </c>
      <c r="AK8">
        <v>10</v>
      </c>
      <c r="AL8" t="s">
        <v>212</v>
      </c>
      <c r="AM8" t="s">
        <v>213</v>
      </c>
      <c r="AN8" t="s">
        <v>214</v>
      </c>
      <c r="AO8" t="s">
        <v>215</v>
      </c>
      <c r="AP8" t="s">
        <v>216</v>
      </c>
      <c r="AQ8" t="s">
        <v>74</v>
      </c>
      <c r="AR8" t="s">
        <v>217</v>
      </c>
      <c r="AS8" t="s">
        <v>218</v>
      </c>
      <c r="AT8" t="s">
        <v>99</v>
      </c>
      <c r="AU8">
        <v>2013</v>
      </c>
      <c r="AV8">
        <v>29</v>
      </c>
      <c r="AW8">
        <v>8</v>
      </c>
      <c r="AX8" t="s">
        <v>74</v>
      </c>
      <c r="AY8" t="s">
        <v>74</v>
      </c>
      <c r="AZ8" t="s">
        <v>74</v>
      </c>
      <c r="BA8" t="s">
        <v>74</v>
      </c>
      <c r="BB8">
        <v>2731</v>
      </c>
      <c r="BC8">
        <v>2745</v>
      </c>
      <c r="BD8" t="s">
        <v>74</v>
      </c>
      <c r="BE8" t="s">
        <v>74</v>
      </c>
      <c r="BF8" t="s">
        <v>74</v>
      </c>
      <c r="BG8" t="s">
        <v>74</v>
      </c>
      <c r="BH8" t="s">
        <v>74</v>
      </c>
      <c r="BI8">
        <v>15</v>
      </c>
      <c r="BJ8" t="s">
        <v>219</v>
      </c>
      <c r="BK8" t="s">
        <v>102</v>
      </c>
      <c r="BL8" t="s">
        <v>219</v>
      </c>
      <c r="BM8" t="s">
        <v>220</v>
      </c>
      <c r="BN8" t="s">
        <v>74</v>
      </c>
      <c r="BO8" t="s">
        <v>74</v>
      </c>
      <c r="BP8" t="s">
        <v>74</v>
      </c>
      <c r="BQ8" t="s">
        <v>74</v>
      </c>
      <c r="BR8" t="s">
        <v>105</v>
      </c>
      <c r="BS8" t="s">
        <v>221</v>
      </c>
      <c r="BT8" t="str">
        <f>HYPERLINK("https%3A%2F%2Fwww.webofscience.com%2Fwos%2Fwoscc%2Ffull-record%2FWOS:000323689100010","View Full Record in Web of Science")</f>
        <v>View Full Record in Web of Science</v>
      </c>
    </row>
    <row r="9" spans="1:72" x14ac:dyDescent="0.15">
      <c r="A9" t="s">
        <v>72</v>
      </c>
      <c r="B9" t="s">
        <v>222</v>
      </c>
      <c r="C9" t="s">
        <v>74</v>
      </c>
      <c r="D9" t="s">
        <v>74</v>
      </c>
      <c r="E9" t="s">
        <v>74</v>
      </c>
      <c r="F9" t="s">
        <v>223</v>
      </c>
      <c r="G9" t="s">
        <v>74</v>
      </c>
      <c r="H9" t="s">
        <v>74</v>
      </c>
      <c r="I9" t="s">
        <v>224</v>
      </c>
      <c r="J9" t="s">
        <v>225</v>
      </c>
      <c r="K9" t="s">
        <v>74</v>
      </c>
      <c r="L9" t="s">
        <v>74</v>
      </c>
      <c r="M9" t="s">
        <v>78</v>
      </c>
      <c r="N9" t="s">
        <v>79</v>
      </c>
      <c r="O9" t="s">
        <v>74</v>
      </c>
      <c r="P9" t="s">
        <v>74</v>
      </c>
      <c r="Q9" t="s">
        <v>74</v>
      </c>
      <c r="R9" t="s">
        <v>74</v>
      </c>
      <c r="S9" t="s">
        <v>74</v>
      </c>
      <c r="T9" t="s">
        <v>226</v>
      </c>
      <c r="U9" t="s">
        <v>227</v>
      </c>
      <c r="V9" t="s">
        <v>228</v>
      </c>
      <c r="W9" t="s">
        <v>229</v>
      </c>
      <c r="X9" t="s">
        <v>230</v>
      </c>
      <c r="Y9" t="s">
        <v>231</v>
      </c>
      <c r="Z9" t="s">
        <v>232</v>
      </c>
      <c r="AA9" t="s">
        <v>233</v>
      </c>
      <c r="AB9" t="s">
        <v>74</v>
      </c>
      <c r="AC9" t="s">
        <v>234</v>
      </c>
      <c r="AD9" t="s">
        <v>235</v>
      </c>
      <c r="AE9" t="s">
        <v>236</v>
      </c>
      <c r="AF9" t="s">
        <v>74</v>
      </c>
      <c r="AG9">
        <v>19</v>
      </c>
      <c r="AH9">
        <v>27</v>
      </c>
      <c r="AI9">
        <v>40</v>
      </c>
      <c r="AJ9">
        <v>2</v>
      </c>
      <c r="AK9">
        <v>25</v>
      </c>
      <c r="AL9" t="s">
        <v>237</v>
      </c>
      <c r="AM9" t="s">
        <v>238</v>
      </c>
      <c r="AN9" t="s">
        <v>239</v>
      </c>
      <c r="AO9" t="s">
        <v>240</v>
      </c>
      <c r="AP9" t="s">
        <v>241</v>
      </c>
      <c r="AQ9" t="s">
        <v>74</v>
      </c>
      <c r="AR9" t="s">
        <v>242</v>
      </c>
      <c r="AS9" t="s">
        <v>243</v>
      </c>
      <c r="AT9" t="s">
        <v>99</v>
      </c>
      <c r="AU9">
        <v>2013</v>
      </c>
      <c r="AV9">
        <v>30</v>
      </c>
      <c r="AW9">
        <v>8</v>
      </c>
      <c r="AX9" t="s">
        <v>74</v>
      </c>
      <c r="AY9" t="s">
        <v>74</v>
      </c>
      <c r="AZ9" t="s">
        <v>74</v>
      </c>
      <c r="BA9" t="s">
        <v>74</v>
      </c>
      <c r="BB9">
        <v>1842</v>
      </c>
      <c r="BC9">
        <v>1853</v>
      </c>
      <c r="BD9" t="s">
        <v>74</v>
      </c>
      <c r="BE9" t="s">
        <v>244</v>
      </c>
      <c r="BF9" t="str">
        <f>HYPERLINK("http://dx.doi.org/10.1175/JTECH-D-12-00240.1","http://dx.doi.org/10.1175/JTECH-D-12-00240.1")</f>
        <v>http://dx.doi.org/10.1175/JTECH-D-12-00240.1</v>
      </c>
      <c r="BG9" t="s">
        <v>74</v>
      </c>
      <c r="BH9" t="s">
        <v>74</v>
      </c>
      <c r="BI9">
        <v>12</v>
      </c>
      <c r="BJ9" t="s">
        <v>245</v>
      </c>
      <c r="BK9" t="s">
        <v>102</v>
      </c>
      <c r="BL9" t="s">
        <v>246</v>
      </c>
      <c r="BM9" t="s">
        <v>247</v>
      </c>
      <c r="BN9" t="s">
        <v>74</v>
      </c>
      <c r="BO9" t="s">
        <v>248</v>
      </c>
      <c r="BP9" t="s">
        <v>74</v>
      </c>
      <c r="BQ9" t="s">
        <v>74</v>
      </c>
      <c r="BR9" t="s">
        <v>105</v>
      </c>
      <c r="BS9" t="s">
        <v>249</v>
      </c>
      <c r="BT9" t="str">
        <f>HYPERLINK("https%3A%2F%2Fwww.webofscience.com%2Fwos%2Fwoscc%2Ffull-record%2FWOS:000323638000018","View Full Record in Web of Science")</f>
        <v>View Full Record in Web of Science</v>
      </c>
    </row>
    <row r="10" spans="1:72" x14ac:dyDescent="0.15">
      <c r="A10" t="s">
        <v>72</v>
      </c>
      <c r="B10" t="s">
        <v>250</v>
      </c>
      <c r="C10" t="s">
        <v>74</v>
      </c>
      <c r="D10" t="s">
        <v>74</v>
      </c>
      <c r="E10" t="s">
        <v>74</v>
      </c>
      <c r="F10" t="s">
        <v>251</v>
      </c>
      <c r="G10" t="s">
        <v>74</v>
      </c>
      <c r="H10" t="s">
        <v>74</v>
      </c>
      <c r="I10" t="s">
        <v>252</v>
      </c>
      <c r="J10" t="s">
        <v>253</v>
      </c>
      <c r="K10" t="s">
        <v>74</v>
      </c>
      <c r="L10" t="s">
        <v>74</v>
      </c>
      <c r="M10" t="s">
        <v>78</v>
      </c>
      <c r="N10" t="s">
        <v>254</v>
      </c>
      <c r="O10" t="s">
        <v>74</v>
      </c>
      <c r="P10" t="s">
        <v>74</v>
      </c>
      <c r="Q10" t="s">
        <v>74</v>
      </c>
      <c r="R10" t="s">
        <v>74</v>
      </c>
      <c r="S10" t="s">
        <v>74</v>
      </c>
      <c r="T10" t="s">
        <v>74</v>
      </c>
      <c r="U10" t="s">
        <v>74</v>
      </c>
      <c r="V10" t="s">
        <v>74</v>
      </c>
      <c r="W10" t="s">
        <v>74</v>
      </c>
      <c r="X10" t="s">
        <v>74</v>
      </c>
      <c r="Y10" t="s">
        <v>74</v>
      </c>
      <c r="Z10" t="s">
        <v>74</v>
      </c>
      <c r="AA10" t="s">
        <v>74</v>
      </c>
      <c r="AB10" t="s">
        <v>74</v>
      </c>
      <c r="AC10" t="s">
        <v>74</v>
      </c>
      <c r="AD10" t="s">
        <v>74</v>
      </c>
      <c r="AE10" t="s">
        <v>74</v>
      </c>
      <c r="AF10" t="s">
        <v>74</v>
      </c>
      <c r="AG10">
        <v>0</v>
      </c>
      <c r="AH10">
        <v>0</v>
      </c>
      <c r="AI10">
        <v>0</v>
      </c>
      <c r="AJ10">
        <v>1</v>
      </c>
      <c r="AK10">
        <v>46</v>
      </c>
      <c r="AL10" t="s">
        <v>255</v>
      </c>
      <c r="AM10" t="s">
        <v>93</v>
      </c>
      <c r="AN10" t="s">
        <v>256</v>
      </c>
      <c r="AO10" t="s">
        <v>257</v>
      </c>
      <c r="AP10" t="s">
        <v>74</v>
      </c>
      <c r="AQ10" t="s">
        <v>74</v>
      </c>
      <c r="AR10" t="s">
        <v>258</v>
      </c>
      <c r="AS10" t="s">
        <v>259</v>
      </c>
      <c r="AT10" t="s">
        <v>99</v>
      </c>
      <c r="AU10">
        <v>2013</v>
      </c>
      <c r="AV10">
        <v>11</v>
      </c>
      <c r="AW10">
        <v>6</v>
      </c>
      <c r="AX10" t="s">
        <v>74</v>
      </c>
      <c r="AY10" t="s">
        <v>74</v>
      </c>
      <c r="AZ10" t="s">
        <v>74</v>
      </c>
      <c r="BA10" t="s">
        <v>74</v>
      </c>
      <c r="BB10">
        <v>284</v>
      </c>
      <c r="BC10">
        <v>284</v>
      </c>
      <c r="BD10" t="s">
        <v>74</v>
      </c>
      <c r="BE10" t="s">
        <v>260</v>
      </c>
      <c r="BF10" t="str">
        <f>HYPERLINK("http://dx.doi.org/10.1890/1540-9295-11.6.284","http://dx.doi.org/10.1890/1540-9295-11.6.284")</f>
        <v>http://dx.doi.org/10.1890/1540-9295-11.6.284</v>
      </c>
      <c r="BG10" t="s">
        <v>74</v>
      </c>
      <c r="BH10" t="s">
        <v>74</v>
      </c>
      <c r="BI10">
        <v>1</v>
      </c>
      <c r="BJ10" t="s">
        <v>261</v>
      </c>
      <c r="BK10" t="s">
        <v>102</v>
      </c>
      <c r="BL10" t="s">
        <v>262</v>
      </c>
      <c r="BM10" t="s">
        <v>263</v>
      </c>
      <c r="BN10" t="s">
        <v>74</v>
      </c>
      <c r="BO10" t="s">
        <v>104</v>
      </c>
      <c r="BP10" t="s">
        <v>74</v>
      </c>
      <c r="BQ10" t="s">
        <v>74</v>
      </c>
      <c r="BR10" t="s">
        <v>105</v>
      </c>
      <c r="BS10" t="s">
        <v>264</v>
      </c>
      <c r="BT10" t="str">
        <f>HYPERLINK("https%3A%2F%2Fwww.webofscience.com%2Fwos%2Fwoscc%2Ffull-record%2FWOS:000323249100002","View Full Record in Web of Science")</f>
        <v>View Full Record in Web of Science</v>
      </c>
    </row>
    <row r="11" spans="1:72" x14ac:dyDescent="0.15">
      <c r="A11" t="s">
        <v>72</v>
      </c>
      <c r="B11" t="s">
        <v>265</v>
      </c>
      <c r="C11" t="s">
        <v>74</v>
      </c>
      <c r="D11" t="s">
        <v>74</v>
      </c>
      <c r="E11" t="s">
        <v>74</v>
      </c>
      <c r="F11" t="s">
        <v>266</v>
      </c>
      <c r="G11" t="s">
        <v>74</v>
      </c>
      <c r="H11" t="s">
        <v>74</v>
      </c>
      <c r="I11" t="s">
        <v>267</v>
      </c>
      <c r="J11" t="s">
        <v>268</v>
      </c>
      <c r="K11" t="s">
        <v>74</v>
      </c>
      <c r="L11" t="s">
        <v>74</v>
      </c>
      <c r="M11" t="s">
        <v>78</v>
      </c>
      <c r="N11" t="s">
        <v>79</v>
      </c>
      <c r="O11" t="s">
        <v>74</v>
      </c>
      <c r="P11" t="s">
        <v>74</v>
      </c>
      <c r="Q11" t="s">
        <v>74</v>
      </c>
      <c r="R11" t="s">
        <v>74</v>
      </c>
      <c r="S11" t="s">
        <v>74</v>
      </c>
      <c r="T11" t="s">
        <v>74</v>
      </c>
      <c r="U11" t="s">
        <v>269</v>
      </c>
      <c r="V11" t="s">
        <v>270</v>
      </c>
      <c r="W11" t="s">
        <v>271</v>
      </c>
      <c r="X11" t="s">
        <v>272</v>
      </c>
      <c r="Y11" t="s">
        <v>273</v>
      </c>
      <c r="Z11" t="s">
        <v>74</v>
      </c>
      <c r="AA11" t="s">
        <v>274</v>
      </c>
      <c r="AB11" t="s">
        <v>275</v>
      </c>
      <c r="AC11" t="s">
        <v>276</v>
      </c>
      <c r="AD11" t="s">
        <v>277</v>
      </c>
      <c r="AE11" t="s">
        <v>278</v>
      </c>
      <c r="AF11" t="s">
        <v>74</v>
      </c>
      <c r="AG11">
        <v>23</v>
      </c>
      <c r="AH11">
        <v>49</v>
      </c>
      <c r="AI11">
        <v>56</v>
      </c>
      <c r="AJ11">
        <v>0</v>
      </c>
      <c r="AK11">
        <v>41</v>
      </c>
      <c r="AL11" t="s">
        <v>279</v>
      </c>
      <c r="AM11" t="s">
        <v>280</v>
      </c>
      <c r="AN11" t="s">
        <v>281</v>
      </c>
      <c r="AO11" t="s">
        <v>282</v>
      </c>
      <c r="AP11" t="s">
        <v>283</v>
      </c>
      <c r="AQ11" t="s">
        <v>74</v>
      </c>
      <c r="AR11" t="s">
        <v>268</v>
      </c>
      <c r="AS11" t="s">
        <v>219</v>
      </c>
      <c r="AT11" t="s">
        <v>99</v>
      </c>
      <c r="AU11">
        <v>2013</v>
      </c>
      <c r="AV11">
        <v>41</v>
      </c>
      <c r="AW11">
        <v>8</v>
      </c>
      <c r="AX11" t="s">
        <v>74</v>
      </c>
      <c r="AY11" t="s">
        <v>74</v>
      </c>
      <c r="AZ11" t="s">
        <v>74</v>
      </c>
      <c r="BA11" t="s">
        <v>74</v>
      </c>
      <c r="BB11">
        <v>887</v>
      </c>
      <c r="BC11">
        <v>890</v>
      </c>
      <c r="BD11" t="s">
        <v>74</v>
      </c>
      <c r="BE11" t="s">
        <v>284</v>
      </c>
      <c r="BF11" t="str">
        <f>HYPERLINK("http://dx.doi.org/10.1130/G34288.1","http://dx.doi.org/10.1130/G34288.1")</f>
        <v>http://dx.doi.org/10.1130/G34288.1</v>
      </c>
      <c r="BG11" t="s">
        <v>74</v>
      </c>
      <c r="BH11" t="s">
        <v>74</v>
      </c>
      <c r="BI11">
        <v>4</v>
      </c>
      <c r="BJ11" t="s">
        <v>219</v>
      </c>
      <c r="BK11" t="s">
        <v>102</v>
      </c>
      <c r="BL11" t="s">
        <v>219</v>
      </c>
      <c r="BM11" t="s">
        <v>285</v>
      </c>
      <c r="BN11" t="s">
        <v>74</v>
      </c>
      <c r="BO11" t="s">
        <v>74</v>
      </c>
      <c r="BP11" t="s">
        <v>74</v>
      </c>
      <c r="BQ11" t="s">
        <v>74</v>
      </c>
      <c r="BR11" t="s">
        <v>105</v>
      </c>
      <c r="BS11" t="s">
        <v>286</v>
      </c>
      <c r="BT11" t="str">
        <f>HYPERLINK("https%3A%2F%2Fwww.webofscience.com%2Fwos%2Fwoscc%2Ffull-record%2FWOS:000323274600018","View Full Record in Web of Science")</f>
        <v>View Full Record in Web of Science</v>
      </c>
    </row>
    <row r="12" spans="1:72" x14ac:dyDescent="0.15">
      <c r="A12" t="s">
        <v>72</v>
      </c>
      <c r="B12" t="s">
        <v>287</v>
      </c>
      <c r="C12" t="s">
        <v>74</v>
      </c>
      <c r="D12" t="s">
        <v>74</v>
      </c>
      <c r="E12" t="s">
        <v>74</v>
      </c>
      <c r="F12" t="s">
        <v>288</v>
      </c>
      <c r="G12" t="s">
        <v>74</v>
      </c>
      <c r="H12" t="s">
        <v>74</v>
      </c>
      <c r="I12" t="s">
        <v>289</v>
      </c>
      <c r="J12" t="s">
        <v>290</v>
      </c>
      <c r="K12" t="s">
        <v>74</v>
      </c>
      <c r="L12" t="s">
        <v>74</v>
      </c>
      <c r="M12" t="s">
        <v>78</v>
      </c>
      <c r="N12" t="s">
        <v>79</v>
      </c>
      <c r="O12" t="s">
        <v>74</v>
      </c>
      <c r="P12" t="s">
        <v>74</v>
      </c>
      <c r="Q12" t="s">
        <v>74</v>
      </c>
      <c r="R12" t="s">
        <v>74</v>
      </c>
      <c r="S12" t="s">
        <v>74</v>
      </c>
      <c r="T12" t="s">
        <v>291</v>
      </c>
      <c r="U12" t="s">
        <v>292</v>
      </c>
      <c r="V12" t="s">
        <v>293</v>
      </c>
      <c r="W12" t="s">
        <v>294</v>
      </c>
      <c r="X12" t="s">
        <v>295</v>
      </c>
      <c r="Y12" t="s">
        <v>296</v>
      </c>
      <c r="Z12" t="s">
        <v>297</v>
      </c>
      <c r="AA12" t="s">
        <v>74</v>
      </c>
      <c r="AB12" t="s">
        <v>74</v>
      </c>
      <c r="AC12" t="s">
        <v>298</v>
      </c>
      <c r="AD12" t="s">
        <v>299</v>
      </c>
      <c r="AE12" t="s">
        <v>300</v>
      </c>
      <c r="AF12" t="s">
        <v>74</v>
      </c>
      <c r="AG12">
        <v>32</v>
      </c>
      <c r="AH12">
        <v>9</v>
      </c>
      <c r="AI12">
        <v>10</v>
      </c>
      <c r="AJ12">
        <v>0</v>
      </c>
      <c r="AK12">
        <v>11</v>
      </c>
      <c r="AL12" t="s">
        <v>237</v>
      </c>
      <c r="AM12" t="s">
        <v>238</v>
      </c>
      <c r="AN12" t="s">
        <v>239</v>
      </c>
      <c r="AO12" t="s">
        <v>301</v>
      </c>
      <c r="AP12" t="s">
        <v>74</v>
      </c>
      <c r="AQ12" t="s">
        <v>74</v>
      </c>
      <c r="AR12" t="s">
        <v>302</v>
      </c>
      <c r="AS12" t="s">
        <v>303</v>
      </c>
      <c r="AT12" t="s">
        <v>99</v>
      </c>
      <c r="AU12">
        <v>2013</v>
      </c>
      <c r="AV12">
        <v>52</v>
      </c>
      <c r="AW12">
        <v>8</v>
      </c>
      <c r="AX12" t="s">
        <v>74</v>
      </c>
      <c r="AY12" t="s">
        <v>74</v>
      </c>
      <c r="AZ12" t="s">
        <v>74</v>
      </c>
      <c r="BA12" t="s">
        <v>74</v>
      </c>
      <c r="BB12">
        <v>1891</v>
      </c>
      <c r="BC12">
        <v>1908</v>
      </c>
      <c r="BD12" t="s">
        <v>74</v>
      </c>
      <c r="BE12" t="s">
        <v>304</v>
      </c>
      <c r="BF12" t="str">
        <f>HYPERLINK("http://dx.doi.org/10.1175/JAMC-D-12-0333.1","http://dx.doi.org/10.1175/JAMC-D-12-0333.1")</f>
        <v>http://dx.doi.org/10.1175/JAMC-D-12-0333.1</v>
      </c>
      <c r="BG12" t="s">
        <v>74</v>
      </c>
      <c r="BH12" t="s">
        <v>74</v>
      </c>
      <c r="BI12">
        <v>18</v>
      </c>
      <c r="BJ12" t="s">
        <v>305</v>
      </c>
      <c r="BK12" t="s">
        <v>102</v>
      </c>
      <c r="BL12" t="s">
        <v>305</v>
      </c>
      <c r="BM12" t="s">
        <v>306</v>
      </c>
      <c r="BN12" t="s">
        <v>74</v>
      </c>
      <c r="BO12" t="s">
        <v>248</v>
      </c>
      <c r="BP12" t="s">
        <v>74</v>
      </c>
      <c r="BQ12" t="s">
        <v>74</v>
      </c>
      <c r="BR12" t="s">
        <v>105</v>
      </c>
      <c r="BS12" t="s">
        <v>307</v>
      </c>
      <c r="BT12" t="str">
        <f>HYPERLINK("https%3A%2F%2Fwww.webofscience.com%2Fwos%2Fwoscc%2Ffull-record%2FWOS:000323041800015","View Full Record in Web of Science")</f>
        <v>View Full Record in Web of Science</v>
      </c>
    </row>
    <row r="13" spans="1:72" x14ac:dyDescent="0.15">
      <c r="A13" t="s">
        <v>72</v>
      </c>
      <c r="B13" t="s">
        <v>308</v>
      </c>
      <c r="C13" t="s">
        <v>74</v>
      </c>
      <c r="D13" t="s">
        <v>74</v>
      </c>
      <c r="E13" t="s">
        <v>74</v>
      </c>
      <c r="F13" t="s">
        <v>309</v>
      </c>
      <c r="G13" t="s">
        <v>74</v>
      </c>
      <c r="H13" t="s">
        <v>74</v>
      </c>
      <c r="I13" t="s">
        <v>310</v>
      </c>
      <c r="J13" t="s">
        <v>311</v>
      </c>
      <c r="K13" t="s">
        <v>74</v>
      </c>
      <c r="L13" t="s">
        <v>74</v>
      </c>
      <c r="M13" t="s">
        <v>78</v>
      </c>
      <c r="N13" t="s">
        <v>79</v>
      </c>
      <c r="O13" t="s">
        <v>74</v>
      </c>
      <c r="P13" t="s">
        <v>74</v>
      </c>
      <c r="Q13" t="s">
        <v>74</v>
      </c>
      <c r="R13" t="s">
        <v>74</v>
      </c>
      <c r="S13" t="s">
        <v>74</v>
      </c>
      <c r="T13" t="s">
        <v>312</v>
      </c>
      <c r="U13" t="s">
        <v>313</v>
      </c>
      <c r="V13" t="s">
        <v>314</v>
      </c>
      <c r="W13" t="s">
        <v>315</v>
      </c>
      <c r="X13" t="s">
        <v>316</v>
      </c>
      <c r="Y13" t="s">
        <v>317</v>
      </c>
      <c r="Z13" t="s">
        <v>318</v>
      </c>
      <c r="AA13" t="s">
        <v>74</v>
      </c>
      <c r="AB13" t="s">
        <v>74</v>
      </c>
      <c r="AC13" t="s">
        <v>319</v>
      </c>
      <c r="AD13" t="s">
        <v>320</v>
      </c>
      <c r="AE13" t="s">
        <v>321</v>
      </c>
      <c r="AF13" t="s">
        <v>74</v>
      </c>
      <c r="AG13">
        <v>29</v>
      </c>
      <c r="AH13">
        <v>5</v>
      </c>
      <c r="AI13">
        <v>6</v>
      </c>
      <c r="AJ13">
        <v>0</v>
      </c>
      <c r="AK13">
        <v>11</v>
      </c>
      <c r="AL13" t="s">
        <v>237</v>
      </c>
      <c r="AM13" t="s">
        <v>238</v>
      </c>
      <c r="AN13" t="s">
        <v>239</v>
      </c>
      <c r="AO13" t="s">
        <v>322</v>
      </c>
      <c r="AP13" t="s">
        <v>323</v>
      </c>
      <c r="AQ13" t="s">
        <v>74</v>
      </c>
      <c r="AR13" t="s">
        <v>324</v>
      </c>
      <c r="AS13" t="s">
        <v>325</v>
      </c>
      <c r="AT13" t="s">
        <v>99</v>
      </c>
      <c r="AU13">
        <v>2013</v>
      </c>
      <c r="AV13">
        <v>43</v>
      </c>
      <c r="AW13">
        <v>8</v>
      </c>
      <c r="AX13" t="s">
        <v>74</v>
      </c>
      <c r="AY13" t="s">
        <v>74</v>
      </c>
      <c r="AZ13" t="s">
        <v>74</v>
      </c>
      <c r="BA13" t="s">
        <v>74</v>
      </c>
      <c r="BB13">
        <v>1821</v>
      </c>
      <c r="BC13">
        <v>1837</v>
      </c>
      <c r="BD13" t="s">
        <v>74</v>
      </c>
      <c r="BE13" t="s">
        <v>326</v>
      </c>
      <c r="BF13" t="str">
        <f>HYPERLINK("http://dx.doi.org/10.1175/JPO-D-12-0142.1","http://dx.doi.org/10.1175/JPO-D-12-0142.1")</f>
        <v>http://dx.doi.org/10.1175/JPO-D-12-0142.1</v>
      </c>
      <c r="BG13" t="s">
        <v>74</v>
      </c>
      <c r="BH13" t="s">
        <v>74</v>
      </c>
      <c r="BI13">
        <v>17</v>
      </c>
      <c r="BJ13" t="s">
        <v>327</v>
      </c>
      <c r="BK13" t="s">
        <v>102</v>
      </c>
      <c r="BL13" t="s">
        <v>327</v>
      </c>
      <c r="BM13" t="s">
        <v>328</v>
      </c>
      <c r="BN13" t="s">
        <v>74</v>
      </c>
      <c r="BO13" t="s">
        <v>248</v>
      </c>
      <c r="BP13" t="s">
        <v>74</v>
      </c>
      <c r="BQ13" t="s">
        <v>74</v>
      </c>
      <c r="BR13" t="s">
        <v>105</v>
      </c>
      <c r="BS13" t="s">
        <v>329</v>
      </c>
      <c r="BT13" t="str">
        <f>HYPERLINK("https%3A%2F%2Fwww.webofscience.com%2Fwos%2Fwoscc%2Ffull-record%2FWOS:000323135400018","View Full Record in Web of Science")</f>
        <v>View Full Record in Web of Science</v>
      </c>
    </row>
    <row r="14" spans="1:72" x14ac:dyDescent="0.15">
      <c r="A14" t="s">
        <v>72</v>
      </c>
      <c r="B14" t="s">
        <v>330</v>
      </c>
      <c r="C14" t="s">
        <v>74</v>
      </c>
      <c r="D14" t="s">
        <v>74</v>
      </c>
      <c r="E14" t="s">
        <v>74</v>
      </c>
      <c r="F14" t="s">
        <v>331</v>
      </c>
      <c r="G14" t="s">
        <v>74</v>
      </c>
      <c r="H14" t="s">
        <v>74</v>
      </c>
      <c r="I14" t="s">
        <v>332</v>
      </c>
      <c r="J14" t="s">
        <v>333</v>
      </c>
      <c r="K14" t="s">
        <v>74</v>
      </c>
      <c r="L14" t="s">
        <v>74</v>
      </c>
      <c r="M14" t="s">
        <v>78</v>
      </c>
      <c r="N14" t="s">
        <v>79</v>
      </c>
      <c r="O14" t="s">
        <v>74</v>
      </c>
      <c r="P14" t="s">
        <v>74</v>
      </c>
      <c r="Q14" t="s">
        <v>74</v>
      </c>
      <c r="R14" t="s">
        <v>74</v>
      </c>
      <c r="S14" t="s">
        <v>74</v>
      </c>
      <c r="T14" t="s">
        <v>334</v>
      </c>
      <c r="U14" t="s">
        <v>335</v>
      </c>
      <c r="V14" t="s">
        <v>336</v>
      </c>
      <c r="W14" t="s">
        <v>337</v>
      </c>
      <c r="X14" t="s">
        <v>338</v>
      </c>
      <c r="Y14" t="s">
        <v>339</v>
      </c>
      <c r="Z14" t="s">
        <v>340</v>
      </c>
      <c r="AA14" t="s">
        <v>74</v>
      </c>
      <c r="AB14" t="s">
        <v>74</v>
      </c>
      <c r="AC14" t="s">
        <v>74</v>
      </c>
      <c r="AD14" t="s">
        <v>74</v>
      </c>
      <c r="AE14" t="s">
        <v>74</v>
      </c>
      <c r="AF14" t="s">
        <v>74</v>
      </c>
      <c r="AG14">
        <v>41</v>
      </c>
      <c r="AH14">
        <v>4</v>
      </c>
      <c r="AI14">
        <v>5</v>
      </c>
      <c r="AJ14">
        <v>0</v>
      </c>
      <c r="AK14">
        <v>29</v>
      </c>
      <c r="AL14" t="s">
        <v>341</v>
      </c>
      <c r="AM14" t="s">
        <v>342</v>
      </c>
      <c r="AN14" t="s">
        <v>343</v>
      </c>
      <c r="AO14" t="s">
        <v>344</v>
      </c>
      <c r="AP14" t="s">
        <v>345</v>
      </c>
      <c r="AQ14" t="s">
        <v>74</v>
      </c>
      <c r="AR14" t="s">
        <v>346</v>
      </c>
      <c r="AS14" t="s">
        <v>347</v>
      </c>
      <c r="AT14" t="s">
        <v>99</v>
      </c>
      <c r="AU14">
        <v>2013</v>
      </c>
      <c r="AV14">
        <v>36</v>
      </c>
      <c r="AW14">
        <v>16</v>
      </c>
      <c r="AX14" t="s">
        <v>74</v>
      </c>
      <c r="AY14" t="s">
        <v>74</v>
      </c>
      <c r="AZ14" t="s">
        <v>74</v>
      </c>
      <c r="BA14" t="s">
        <v>74</v>
      </c>
      <c r="BB14">
        <v>2703</v>
      </c>
      <c r="BC14">
        <v>2708</v>
      </c>
      <c r="BD14" t="s">
        <v>74</v>
      </c>
      <c r="BE14" t="s">
        <v>348</v>
      </c>
      <c r="BF14" t="str">
        <f>HYPERLINK("http://dx.doi.org/10.1002/jssc.201300121","http://dx.doi.org/10.1002/jssc.201300121")</f>
        <v>http://dx.doi.org/10.1002/jssc.201300121</v>
      </c>
      <c r="BG14" t="s">
        <v>74</v>
      </c>
      <c r="BH14" t="s">
        <v>74</v>
      </c>
      <c r="BI14">
        <v>6</v>
      </c>
      <c r="BJ14" t="s">
        <v>349</v>
      </c>
      <c r="BK14" t="s">
        <v>102</v>
      </c>
      <c r="BL14" t="s">
        <v>350</v>
      </c>
      <c r="BM14" t="s">
        <v>351</v>
      </c>
      <c r="BN14">
        <v>23761212</v>
      </c>
      <c r="BO14" t="s">
        <v>74</v>
      </c>
      <c r="BP14" t="s">
        <v>74</v>
      </c>
      <c r="BQ14" t="s">
        <v>74</v>
      </c>
      <c r="BR14" t="s">
        <v>105</v>
      </c>
      <c r="BS14" t="s">
        <v>352</v>
      </c>
      <c r="BT14" t="str">
        <f>HYPERLINK("https%3A%2F%2Fwww.webofscience.com%2Fwos%2Fwoscc%2Ffull-record%2FWOS:000322994600020","View Full Record in Web of Science")</f>
        <v>View Full Record in Web of Science</v>
      </c>
    </row>
    <row r="15" spans="1:72" x14ac:dyDescent="0.15">
      <c r="A15" t="s">
        <v>72</v>
      </c>
      <c r="B15" t="s">
        <v>353</v>
      </c>
      <c r="C15" t="s">
        <v>74</v>
      </c>
      <c r="D15" t="s">
        <v>74</v>
      </c>
      <c r="E15" t="s">
        <v>74</v>
      </c>
      <c r="F15" t="s">
        <v>354</v>
      </c>
      <c r="G15" t="s">
        <v>74</v>
      </c>
      <c r="H15" t="s">
        <v>74</v>
      </c>
      <c r="I15" t="s">
        <v>355</v>
      </c>
      <c r="J15" t="s">
        <v>356</v>
      </c>
      <c r="K15" t="s">
        <v>74</v>
      </c>
      <c r="L15" t="s">
        <v>74</v>
      </c>
      <c r="M15" t="s">
        <v>78</v>
      </c>
      <c r="N15" t="s">
        <v>79</v>
      </c>
      <c r="O15" t="s">
        <v>74</v>
      </c>
      <c r="P15" t="s">
        <v>74</v>
      </c>
      <c r="Q15" t="s">
        <v>74</v>
      </c>
      <c r="R15" t="s">
        <v>74</v>
      </c>
      <c r="S15" t="s">
        <v>74</v>
      </c>
      <c r="T15" t="s">
        <v>74</v>
      </c>
      <c r="U15" t="s">
        <v>357</v>
      </c>
      <c r="V15" t="s">
        <v>358</v>
      </c>
      <c r="W15" t="s">
        <v>359</v>
      </c>
      <c r="X15" t="s">
        <v>360</v>
      </c>
      <c r="Y15" t="s">
        <v>361</v>
      </c>
      <c r="Z15" t="s">
        <v>362</v>
      </c>
      <c r="AA15" t="s">
        <v>363</v>
      </c>
      <c r="AB15" t="s">
        <v>364</v>
      </c>
      <c r="AC15" t="s">
        <v>365</v>
      </c>
      <c r="AD15" t="s">
        <v>366</v>
      </c>
      <c r="AE15" t="s">
        <v>367</v>
      </c>
      <c r="AF15" t="s">
        <v>74</v>
      </c>
      <c r="AG15">
        <v>58</v>
      </c>
      <c r="AH15">
        <v>18</v>
      </c>
      <c r="AI15">
        <v>21</v>
      </c>
      <c r="AJ15">
        <v>0</v>
      </c>
      <c r="AK15">
        <v>8</v>
      </c>
      <c r="AL15" t="s">
        <v>368</v>
      </c>
      <c r="AM15" t="s">
        <v>369</v>
      </c>
      <c r="AN15" t="s">
        <v>370</v>
      </c>
      <c r="AO15" t="s">
        <v>371</v>
      </c>
      <c r="AP15" t="s">
        <v>372</v>
      </c>
      <c r="AQ15" t="s">
        <v>74</v>
      </c>
      <c r="AR15" t="s">
        <v>373</v>
      </c>
      <c r="AS15" t="s">
        <v>374</v>
      </c>
      <c r="AT15" t="s">
        <v>99</v>
      </c>
      <c r="AU15">
        <v>2013</v>
      </c>
      <c r="AV15">
        <v>89</v>
      </c>
      <c r="AW15">
        <v>4</v>
      </c>
      <c r="AX15" t="s">
        <v>74</v>
      </c>
      <c r="AY15" t="s">
        <v>74</v>
      </c>
      <c r="AZ15" t="s">
        <v>74</v>
      </c>
      <c r="BA15" t="s">
        <v>74</v>
      </c>
      <c r="BB15">
        <v>792</v>
      </c>
      <c r="BC15">
        <v>810</v>
      </c>
      <c r="BD15" t="s">
        <v>74</v>
      </c>
      <c r="BE15" t="s">
        <v>375</v>
      </c>
      <c r="BF15" t="str">
        <f>HYPERLINK("http://dx.doi.org/10.1111/mmi.12315","http://dx.doi.org/10.1111/mmi.12315")</f>
        <v>http://dx.doi.org/10.1111/mmi.12315</v>
      </c>
      <c r="BG15" t="s">
        <v>74</v>
      </c>
      <c r="BH15" t="s">
        <v>74</v>
      </c>
      <c r="BI15">
        <v>19</v>
      </c>
      <c r="BJ15" t="s">
        <v>376</v>
      </c>
      <c r="BK15" t="s">
        <v>102</v>
      </c>
      <c r="BL15" t="s">
        <v>376</v>
      </c>
      <c r="BM15" t="s">
        <v>377</v>
      </c>
      <c r="BN15">
        <v>23815755</v>
      </c>
      <c r="BO15" t="s">
        <v>104</v>
      </c>
      <c r="BP15" t="s">
        <v>74</v>
      </c>
      <c r="BQ15" t="s">
        <v>74</v>
      </c>
      <c r="BR15" t="s">
        <v>105</v>
      </c>
      <c r="BS15" t="s">
        <v>378</v>
      </c>
      <c r="BT15" t="str">
        <f>HYPERLINK("https%3A%2F%2Fwww.webofscience.com%2Fwos%2Fwoscc%2Ffull-record%2FWOS:000322948500015","View Full Record in Web of Science")</f>
        <v>View Full Record in Web of Science</v>
      </c>
    </row>
    <row r="16" spans="1:72" x14ac:dyDescent="0.15">
      <c r="A16" t="s">
        <v>72</v>
      </c>
      <c r="B16" t="s">
        <v>379</v>
      </c>
      <c r="C16" t="s">
        <v>74</v>
      </c>
      <c r="D16" t="s">
        <v>74</v>
      </c>
      <c r="E16" t="s">
        <v>74</v>
      </c>
      <c r="F16" t="s">
        <v>380</v>
      </c>
      <c r="G16" t="s">
        <v>74</v>
      </c>
      <c r="H16" t="s">
        <v>74</v>
      </c>
      <c r="I16" t="s">
        <v>381</v>
      </c>
      <c r="J16" t="s">
        <v>382</v>
      </c>
      <c r="K16" t="s">
        <v>74</v>
      </c>
      <c r="L16" t="s">
        <v>74</v>
      </c>
      <c r="M16" t="s">
        <v>78</v>
      </c>
      <c r="N16" t="s">
        <v>79</v>
      </c>
      <c r="O16" t="s">
        <v>74</v>
      </c>
      <c r="P16" t="s">
        <v>74</v>
      </c>
      <c r="Q16" t="s">
        <v>74</v>
      </c>
      <c r="R16" t="s">
        <v>74</v>
      </c>
      <c r="S16" t="s">
        <v>74</v>
      </c>
      <c r="T16" t="s">
        <v>383</v>
      </c>
      <c r="U16" t="s">
        <v>74</v>
      </c>
      <c r="V16" t="s">
        <v>384</v>
      </c>
      <c r="W16" t="s">
        <v>385</v>
      </c>
      <c r="X16" t="s">
        <v>386</v>
      </c>
      <c r="Y16" t="s">
        <v>387</v>
      </c>
      <c r="Z16" t="s">
        <v>74</v>
      </c>
      <c r="AA16" t="s">
        <v>388</v>
      </c>
      <c r="AB16" t="s">
        <v>389</v>
      </c>
      <c r="AC16" t="s">
        <v>74</v>
      </c>
      <c r="AD16" t="s">
        <v>74</v>
      </c>
      <c r="AE16" t="s">
        <v>74</v>
      </c>
      <c r="AF16" t="s">
        <v>74</v>
      </c>
      <c r="AG16">
        <v>58</v>
      </c>
      <c r="AH16">
        <v>1</v>
      </c>
      <c r="AI16">
        <v>2</v>
      </c>
      <c r="AJ16">
        <v>0</v>
      </c>
      <c r="AK16">
        <v>2</v>
      </c>
      <c r="AL16" t="s">
        <v>390</v>
      </c>
      <c r="AM16" t="s">
        <v>391</v>
      </c>
      <c r="AN16" t="s">
        <v>392</v>
      </c>
      <c r="AO16" t="s">
        <v>393</v>
      </c>
      <c r="AP16" t="s">
        <v>394</v>
      </c>
      <c r="AQ16" t="s">
        <v>74</v>
      </c>
      <c r="AR16" t="s">
        <v>395</v>
      </c>
      <c r="AS16" t="s">
        <v>396</v>
      </c>
      <c r="AT16" t="s">
        <v>99</v>
      </c>
      <c r="AU16">
        <v>2013</v>
      </c>
      <c r="AV16">
        <v>29</v>
      </c>
      <c r="AW16">
        <v>3</v>
      </c>
      <c r="AX16" t="s">
        <v>74</v>
      </c>
      <c r="AY16" t="s">
        <v>74</v>
      </c>
      <c r="AZ16" t="s">
        <v>74</v>
      </c>
      <c r="BA16" t="s">
        <v>74</v>
      </c>
      <c r="BB16">
        <v>278</v>
      </c>
      <c r="BC16">
        <v>293</v>
      </c>
      <c r="BD16" t="s">
        <v>74</v>
      </c>
      <c r="BE16" t="s">
        <v>397</v>
      </c>
      <c r="BF16" t="str">
        <f>HYPERLINK("http://dx.doi.org/10.1017/S0266464X13000468","http://dx.doi.org/10.1017/S0266464X13000468")</f>
        <v>http://dx.doi.org/10.1017/S0266464X13000468</v>
      </c>
      <c r="BG16" t="s">
        <v>74</v>
      </c>
      <c r="BH16" t="s">
        <v>74</v>
      </c>
      <c r="BI16">
        <v>16</v>
      </c>
      <c r="BJ16" t="s">
        <v>398</v>
      </c>
      <c r="BK16" t="s">
        <v>399</v>
      </c>
      <c r="BL16" t="s">
        <v>398</v>
      </c>
      <c r="BM16" t="s">
        <v>400</v>
      </c>
      <c r="BN16" t="s">
        <v>74</v>
      </c>
      <c r="BO16" t="s">
        <v>74</v>
      </c>
      <c r="BP16" t="s">
        <v>74</v>
      </c>
      <c r="BQ16" t="s">
        <v>74</v>
      </c>
      <c r="BR16" t="s">
        <v>105</v>
      </c>
      <c r="BS16" t="s">
        <v>401</v>
      </c>
      <c r="BT16" t="str">
        <f>HYPERLINK("https%3A%2F%2Fwww.webofscience.com%2Fwos%2Fwoscc%2Ffull-record%2FWOS:000323012700006","View Full Record in Web of Science")</f>
        <v>View Full Record in Web of Science</v>
      </c>
    </row>
    <row r="17" spans="1:72" x14ac:dyDescent="0.15">
      <c r="A17" t="s">
        <v>72</v>
      </c>
      <c r="B17" t="s">
        <v>402</v>
      </c>
      <c r="C17" t="s">
        <v>74</v>
      </c>
      <c r="D17" t="s">
        <v>74</v>
      </c>
      <c r="E17" t="s">
        <v>74</v>
      </c>
      <c r="F17" t="s">
        <v>403</v>
      </c>
      <c r="G17" t="s">
        <v>74</v>
      </c>
      <c r="H17" t="s">
        <v>74</v>
      </c>
      <c r="I17" t="s">
        <v>404</v>
      </c>
      <c r="J17" t="s">
        <v>405</v>
      </c>
      <c r="K17" t="s">
        <v>74</v>
      </c>
      <c r="L17" t="s">
        <v>74</v>
      </c>
      <c r="M17" t="s">
        <v>78</v>
      </c>
      <c r="N17" t="s">
        <v>79</v>
      </c>
      <c r="O17" t="s">
        <v>74</v>
      </c>
      <c r="P17" t="s">
        <v>74</v>
      </c>
      <c r="Q17" t="s">
        <v>74</v>
      </c>
      <c r="R17" t="s">
        <v>74</v>
      </c>
      <c r="S17" t="s">
        <v>74</v>
      </c>
      <c r="T17" t="s">
        <v>74</v>
      </c>
      <c r="U17" t="s">
        <v>406</v>
      </c>
      <c r="V17" t="s">
        <v>407</v>
      </c>
      <c r="W17" t="s">
        <v>408</v>
      </c>
      <c r="X17" t="s">
        <v>409</v>
      </c>
      <c r="Y17" t="s">
        <v>410</v>
      </c>
      <c r="Z17" t="s">
        <v>411</v>
      </c>
      <c r="AA17" t="s">
        <v>74</v>
      </c>
      <c r="AB17" t="s">
        <v>412</v>
      </c>
      <c r="AC17" t="s">
        <v>413</v>
      </c>
      <c r="AD17" t="s">
        <v>414</v>
      </c>
      <c r="AE17" t="s">
        <v>415</v>
      </c>
      <c r="AF17" t="s">
        <v>74</v>
      </c>
      <c r="AG17">
        <v>37</v>
      </c>
      <c r="AH17">
        <v>9</v>
      </c>
      <c r="AI17">
        <v>10</v>
      </c>
      <c r="AJ17">
        <v>1</v>
      </c>
      <c r="AK17">
        <v>26</v>
      </c>
      <c r="AL17" t="s">
        <v>416</v>
      </c>
      <c r="AM17" t="s">
        <v>417</v>
      </c>
      <c r="AN17" t="s">
        <v>418</v>
      </c>
      <c r="AO17" t="s">
        <v>74</v>
      </c>
      <c r="AP17" t="s">
        <v>419</v>
      </c>
      <c r="AQ17" t="s">
        <v>74</v>
      </c>
      <c r="AR17" t="s">
        <v>420</v>
      </c>
      <c r="AS17" t="s">
        <v>421</v>
      </c>
      <c r="AT17" t="s">
        <v>99</v>
      </c>
      <c r="AU17">
        <v>2013</v>
      </c>
      <c r="AV17">
        <v>69</v>
      </c>
      <c r="AW17" t="s">
        <v>74</v>
      </c>
      <c r="AX17">
        <v>8</v>
      </c>
      <c r="AY17" t="s">
        <v>74</v>
      </c>
      <c r="AZ17" t="s">
        <v>74</v>
      </c>
      <c r="BA17" t="s">
        <v>74</v>
      </c>
      <c r="BB17">
        <v>828</v>
      </c>
      <c r="BC17">
        <v>833</v>
      </c>
      <c r="BD17" t="s">
        <v>74</v>
      </c>
      <c r="BE17" t="s">
        <v>422</v>
      </c>
      <c r="BF17" t="str">
        <f>HYPERLINK("http://dx.doi.org/10.1107/S1744309113014565","http://dx.doi.org/10.1107/S1744309113014565")</f>
        <v>http://dx.doi.org/10.1107/S1744309113014565</v>
      </c>
      <c r="BG17" t="s">
        <v>74</v>
      </c>
      <c r="BH17" t="s">
        <v>74</v>
      </c>
      <c r="BI17">
        <v>6</v>
      </c>
      <c r="BJ17" t="s">
        <v>423</v>
      </c>
      <c r="BK17" t="s">
        <v>102</v>
      </c>
      <c r="BL17" t="s">
        <v>424</v>
      </c>
      <c r="BM17" t="s">
        <v>425</v>
      </c>
      <c r="BN17">
        <v>23908022</v>
      </c>
      <c r="BO17" t="s">
        <v>426</v>
      </c>
      <c r="BP17" t="s">
        <v>74</v>
      </c>
      <c r="BQ17" t="s">
        <v>74</v>
      </c>
      <c r="BR17" t="s">
        <v>105</v>
      </c>
      <c r="BS17" t="s">
        <v>427</v>
      </c>
      <c r="BT17" t="str">
        <f>HYPERLINK("https%3A%2F%2Fwww.webofscience.com%2Fwos%2Fwoscc%2Ffull-record%2FWOS:000322512300002","View Full Record in Web of Science")</f>
        <v>View Full Record in Web of Science</v>
      </c>
    </row>
    <row r="18" spans="1:72" x14ac:dyDescent="0.15">
      <c r="A18" t="s">
        <v>72</v>
      </c>
      <c r="B18" t="s">
        <v>428</v>
      </c>
      <c r="C18" t="s">
        <v>74</v>
      </c>
      <c r="D18" t="s">
        <v>74</v>
      </c>
      <c r="E18" t="s">
        <v>74</v>
      </c>
      <c r="F18" t="s">
        <v>429</v>
      </c>
      <c r="G18" t="s">
        <v>74</v>
      </c>
      <c r="H18" t="s">
        <v>74</v>
      </c>
      <c r="I18" t="s">
        <v>430</v>
      </c>
      <c r="J18" t="s">
        <v>431</v>
      </c>
      <c r="K18" t="s">
        <v>74</v>
      </c>
      <c r="L18" t="s">
        <v>74</v>
      </c>
      <c r="M18" t="s">
        <v>78</v>
      </c>
      <c r="N18" t="s">
        <v>79</v>
      </c>
      <c r="O18" t="s">
        <v>74</v>
      </c>
      <c r="P18" t="s">
        <v>74</v>
      </c>
      <c r="Q18" t="s">
        <v>74</v>
      </c>
      <c r="R18" t="s">
        <v>74</v>
      </c>
      <c r="S18" t="s">
        <v>74</v>
      </c>
      <c r="T18" t="s">
        <v>74</v>
      </c>
      <c r="U18" t="s">
        <v>432</v>
      </c>
      <c r="V18" t="s">
        <v>74</v>
      </c>
      <c r="W18" t="s">
        <v>433</v>
      </c>
      <c r="X18" t="s">
        <v>434</v>
      </c>
      <c r="Y18" t="s">
        <v>435</v>
      </c>
      <c r="Z18" t="s">
        <v>436</v>
      </c>
      <c r="AA18" t="s">
        <v>74</v>
      </c>
      <c r="AB18" t="s">
        <v>437</v>
      </c>
      <c r="AC18" t="s">
        <v>438</v>
      </c>
      <c r="AD18" t="s">
        <v>439</v>
      </c>
      <c r="AE18" t="s">
        <v>440</v>
      </c>
      <c r="AF18" t="s">
        <v>74</v>
      </c>
      <c r="AG18">
        <v>48</v>
      </c>
      <c r="AH18">
        <v>35</v>
      </c>
      <c r="AI18">
        <v>38</v>
      </c>
      <c r="AJ18">
        <v>0</v>
      </c>
      <c r="AK18">
        <v>16</v>
      </c>
      <c r="AL18" t="s">
        <v>441</v>
      </c>
      <c r="AM18" t="s">
        <v>442</v>
      </c>
      <c r="AN18" t="s">
        <v>443</v>
      </c>
      <c r="AO18" t="s">
        <v>444</v>
      </c>
      <c r="AP18" t="s">
        <v>445</v>
      </c>
      <c r="AQ18" t="s">
        <v>74</v>
      </c>
      <c r="AR18" t="s">
        <v>446</v>
      </c>
      <c r="AS18" t="s">
        <v>447</v>
      </c>
      <c r="AT18" t="s">
        <v>99</v>
      </c>
      <c r="AU18">
        <v>2013</v>
      </c>
      <c r="AV18">
        <v>54</v>
      </c>
      <c r="AW18">
        <v>4</v>
      </c>
      <c r="AX18" t="s">
        <v>74</v>
      </c>
      <c r="AY18" t="s">
        <v>74</v>
      </c>
      <c r="AZ18" t="s">
        <v>74</v>
      </c>
      <c r="BA18" t="s">
        <v>74</v>
      </c>
      <c r="BB18">
        <v>28</v>
      </c>
      <c r="BC18">
        <v>32</v>
      </c>
      <c r="BD18" t="s">
        <v>74</v>
      </c>
      <c r="BE18" t="s">
        <v>74</v>
      </c>
      <c r="BF18" t="s">
        <v>74</v>
      </c>
      <c r="BG18" t="s">
        <v>74</v>
      </c>
      <c r="BH18" t="s">
        <v>74</v>
      </c>
      <c r="BI18">
        <v>5</v>
      </c>
      <c r="BJ18" t="s">
        <v>448</v>
      </c>
      <c r="BK18" t="s">
        <v>102</v>
      </c>
      <c r="BL18" t="s">
        <v>448</v>
      </c>
      <c r="BM18" t="s">
        <v>449</v>
      </c>
      <c r="BN18" t="s">
        <v>74</v>
      </c>
      <c r="BO18" t="s">
        <v>74</v>
      </c>
      <c r="BP18" t="s">
        <v>74</v>
      </c>
      <c r="BQ18" t="s">
        <v>74</v>
      </c>
      <c r="BR18" t="s">
        <v>105</v>
      </c>
      <c r="BS18" t="s">
        <v>450</v>
      </c>
      <c r="BT18" t="str">
        <f>HYPERLINK("https%3A%2F%2Fwww.webofscience.com%2Fwos%2Fwoscc%2Ffull-record%2FWOS:000322427900026","View Full Record in Web of Science")</f>
        <v>View Full Record in Web of Science</v>
      </c>
    </row>
    <row r="19" spans="1:72" x14ac:dyDescent="0.15">
      <c r="A19" t="s">
        <v>72</v>
      </c>
      <c r="B19" t="s">
        <v>451</v>
      </c>
      <c r="C19" t="s">
        <v>74</v>
      </c>
      <c r="D19" t="s">
        <v>74</v>
      </c>
      <c r="E19" t="s">
        <v>74</v>
      </c>
      <c r="F19" t="s">
        <v>452</v>
      </c>
      <c r="G19" t="s">
        <v>74</v>
      </c>
      <c r="H19" t="s">
        <v>74</v>
      </c>
      <c r="I19" t="s">
        <v>453</v>
      </c>
      <c r="J19" t="s">
        <v>431</v>
      </c>
      <c r="K19" t="s">
        <v>74</v>
      </c>
      <c r="L19" t="s">
        <v>74</v>
      </c>
      <c r="M19" t="s">
        <v>78</v>
      </c>
      <c r="N19" t="s">
        <v>79</v>
      </c>
      <c r="O19" t="s">
        <v>74</v>
      </c>
      <c r="P19" t="s">
        <v>74</v>
      </c>
      <c r="Q19" t="s">
        <v>74</v>
      </c>
      <c r="R19" t="s">
        <v>74</v>
      </c>
      <c r="S19" t="s">
        <v>74</v>
      </c>
      <c r="T19" t="s">
        <v>74</v>
      </c>
      <c r="U19" t="s">
        <v>454</v>
      </c>
      <c r="V19" t="s">
        <v>74</v>
      </c>
      <c r="W19" t="s">
        <v>455</v>
      </c>
      <c r="X19" t="s">
        <v>456</v>
      </c>
      <c r="Y19" t="s">
        <v>457</v>
      </c>
      <c r="Z19" t="s">
        <v>74</v>
      </c>
      <c r="AA19" t="s">
        <v>458</v>
      </c>
      <c r="AB19" t="s">
        <v>459</v>
      </c>
      <c r="AC19" t="s">
        <v>460</v>
      </c>
      <c r="AD19" t="s">
        <v>461</v>
      </c>
      <c r="AE19" t="s">
        <v>462</v>
      </c>
      <c r="AF19" t="s">
        <v>74</v>
      </c>
      <c r="AG19">
        <v>81</v>
      </c>
      <c r="AH19">
        <v>2</v>
      </c>
      <c r="AI19">
        <v>2</v>
      </c>
      <c r="AJ19">
        <v>1</v>
      </c>
      <c r="AK19">
        <v>11</v>
      </c>
      <c r="AL19" t="s">
        <v>441</v>
      </c>
      <c r="AM19" t="s">
        <v>442</v>
      </c>
      <c r="AN19" t="s">
        <v>443</v>
      </c>
      <c r="AO19" t="s">
        <v>444</v>
      </c>
      <c r="AP19" t="s">
        <v>445</v>
      </c>
      <c r="AQ19" t="s">
        <v>74</v>
      </c>
      <c r="AR19" t="s">
        <v>446</v>
      </c>
      <c r="AS19" t="s">
        <v>447</v>
      </c>
      <c r="AT19" t="s">
        <v>99</v>
      </c>
      <c r="AU19">
        <v>2013</v>
      </c>
      <c r="AV19">
        <v>54</v>
      </c>
      <c r="AW19">
        <v>4</v>
      </c>
      <c r="AX19" t="s">
        <v>74</v>
      </c>
      <c r="AY19" t="s">
        <v>74</v>
      </c>
      <c r="AZ19" t="s">
        <v>74</v>
      </c>
      <c r="BA19" t="s">
        <v>74</v>
      </c>
      <c r="BB19">
        <v>33</v>
      </c>
      <c r="BC19">
        <v>38</v>
      </c>
      <c r="BD19" t="s">
        <v>74</v>
      </c>
      <c r="BE19" t="s">
        <v>74</v>
      </c>
      <c r="BF19" t="s">
        <v>74</v>
      </c>
      <c r="BG19" t="s">
        <v>74</v>
      </c>
      <c r="BH19" t="s">
        <v>74</v>
      </c>
      <c r="BI19">
        <v>6</v>
      </c>
      <c r="BJ19" t="s">
        <v>448</v>
      </c>
      <c r="BK19" t="s">
        <v>102</v>
      </c>
      <c r="BL19" t="s">
        <v>448</v>
      </c>
      <c r="BM19" t="s">
        <v>449</v>
      </c>
      <c r="BN19" t="s">
        <v>74</v>
      </c>
      <c r="BO19" t="s">
        <v>74</v>
      </c>
      <c r="BP19" t="s">
        <v>74</v>
      </c>
      <c r="BQ19" t="s">
        <v>74</v>
      </c>
      <c r="BR19" t="s">
        <v>105</v>
      </c>
      <c r="BS19" t="s">
        <v>463</v>
      </c>
      <c r="BT19" t="str">
        <f>HYPERLINK("https%3A%2F%2Fwww.webofscience.com%2Fwos%2Fwoscc%2Ffull-record%2FWOS:000322427900027","View Full Record in Web of Science")</f>
        <v>View Full Record in Web of Science</v>
      </c>
    </row>
    <row r="20" spans="1:72" x14ac:dyDescent="0.15">
      <c r="A20" t="s">
        <v>72</v>
      </c>
      <c r="B20" t="s">
        <v>464</v>
      </c>
      <c r="C20" t="s">
        <v>74</v>
      </c>
      <c r="D20" t="s">
        <v>74</v>
      </c>
      <c r="E20" t="s">
        <v>74</v>
      </c>
      <c r="F20" t="s">
        <v>465</v>
      </c>
      <c r="G20" t="s">
        <v>74</v>
      </c>
      <c r="H20" t="s">
        <v>74</v>
      </c>
      <c r="I20" t="s">
        <v>466</v>
      </c>
      <c r="J20" t="s">
        <v>467</v>
      </c>
      <c r="K20" t="s">
        <v>74</v>
      </c>
      <c r="L20" t="s">
        <v>74</v>
      </c>
      <c r="M20" t="s">
        <v>78</v>
      </c>
      <c r="N20" t="s">
        <v>79</v>
      </c>
      <c r="O20" t="s">
        <v>74</v>
      </c>
      <c r="P20" t="s">
        <v>74</v>
      </c>
      <c r="Q20" t="s">
        <v>74</v>
      </c>
      <c r="R20" t="s">
        <v>74</v>
      </c>
      <c r="S20" t="s">
        <v>74</v>
      </c>
      <c r="T20" t="s">
        <v>74</v>
      </c>
      <c r="U20" t="s">
        <v>468</v>
      </c>
      <c r="V20" t="s">
        <v>469</v>
      </c>
      <c r="W20" t="s">
        <v>470</v>
      </c>
      <c r="X20" t="s">
        <v>471</v>
      </c>
      <c r="Y20" t="s">
        <v>472</v>
      </c>
      <c r="Z20" t="s">
        <v>473</v>
      </c>
      <c r="AA20" t="s">
        <v>474</v>
      </c>
      <c r="AB20" t="s">
        <v>475</v>
      </c>
      <c r="AC20" t="s">
        <v>476</v>
      </c>
      <c r="AD20" t="s">
        <v>477</v>
      </c>
      <c r="AE20" t="s">
        <v>478</v>
      </c>
      <c r="AF20" t="s">
        <v>74</v>
      </c>
      <c r="AG20">
        <v>77</v>
      </c>
      <c r="AH20">
        <v>10</v>
      </c>
      <c r="AI20">
        <v>10</v>
      </c>
      <c r="AJ20">
        <v>2</v>
      </c>
      <c r="AK20">
        <v>42</v>
      </c>
      <c r="AL20" t="s">
        <v>479</v>
      </c>
      <c r="AM20" t="s">
        <v>480</v>
      </c>
      <c r="AN20" t="s">
        <v>481</v>
      </c>
      <c r="AO20" t="s">
        <v>482</v>
      </c>
      <c r="AP20" t="s">
        <v>483</v>
      </c>
      <c r="AQ20" t="s">
        <v>74</v>
      </c>
      <c r="AR20" t="s">
        <v>484</v>
      </c>
      <c r="AS20" t="s">
        <v>485</v>
      </c>
      <c r="AT20" t="s">
        <v>99</v>
      </c>
      <c r="AU20">
        <v>2013</v>
      </c>
      <c r="AV20">
        <v>70</v>
      </c>
      <c r="AW20">
        <v>8</v>
      </c>
      <c r="AX20" t="s">
        <v>74</v>
      </c>
      <c r="AY20" t="s">
        <v>74</v>
      </c>
      <c r="AZ20" t="s">
        <v>74</v>
      </c>
      <c r="BA20" t="s">
        <v>74</v>
      </c>
      <c r="BB20">
        <v>1209</v>
      </c>
      <c r="BC20">
        <v>1230</v>
      </c>
      <c r="BD20" t="s">
        <v>74</v>
      </c>
      <c r="BE20" t="s">
        <v>486</v>
      </c>
      <c r="BF20" t="str">
        <f>HYPERLINK("http://dx.doi.org/10.1139/cjfas-2013-0083","http://dx.doi.org/10.1139/cjfas-2013-0083")</f>
        <v>http://dx.doi.org/10.1139/cjfas-2013-0083</v>
      </c>
      <c r="BG20" t="s">
        <v>74</v>
      </c>
      <c r="BH20" t="s">
        <v>74</v>
      </c>
      <c r="BI20">
        <v>22</v>
      </c>
      <c r="BJ20" t="s">
        <v>487</v>
      </c>
      <c r="BK20" t="s">
        <v>102</v>
      </c>
      <c r="BL20" t="s">
        <v>487</v>
      </c>
      <c r="BM20" t="s">
        <v>488</v>
      </c>
      <c r="BN20" t="s">
        <v>74</v>
      </c>
      <c r="BO20" t="s">
        <v>74</v>
      </c>
      <c r="BP20" t="s">
        <v>74</v>
      </c>
      <c r="BQ20" t="s">
        <v>74</v>
      </c>
      <c r="BR20" t="s">
        <v>105</v>
      </c>
      <c r="BS20" t="s">
        <v>489</v>
      </c>
      <c r="BT20" t="str">
        <f>HYPERLINK("https%3A%2F%2Fwww.webofscience.com%2Fwos%2Fwoscc%2Ffull-record%2FWOS:000322528400009","View Full Record in Web of Science")</f>
        <v>View Full Record in Web of Science</v>
      </c>
    </row>
    <row r="21" spans="1:72" x14ac:dyDescent="0.15">
      <c r="A21" t="s">
        <v>72</v>
      </c>
      <c r="B21" t="s">
        <v>490</v>
      </c>
      <c r="C21" t="s">
        <v>74</v>
      </c>
      <c r="D21" t="s">
        <v>74</v>
      </c>
      <c r="E21" t="s">
        <v>74</v>
      </c>
      <c r="F21" t="s">
        <v>491</v>
      </c>
      <c r="G21" t="s">
        <v>74</v>
      </c>
      <c r="H21" t="s">
        <v>74</v>
      </c>
      <c r="I21" t="s">
        <v>492</v>
      </c>
      <c r="J21" t="s">
        <v>493</v>
      </c>
      <c r="K21" t="s">
        <v>74</v>
      </c>
      <c r="L21" t="s">
        <v>74</v>
      </c>
      <c r="M21" t="s">
        <v>78</v>
      </c>
      <c r="N21" t="s">
        <v>79</v>
      </c>
      <c r="O21" t="s">
        <v>74</v>
      </c>
      <c r="P21" t="s">
        <v>74</v>
      </c>
      <c r="Q21" t="s">
        <v>74</v>
      </c>
      <c r="R21" t="s">
        <v>74</v>
      </c>
      <c r="S21" t="s">
        <v>74</v>
      </c>
      <c r="T21" t="s">
        <v>494</v>
      </c>
      <c r="U21" t="s">
        <v>495</v>
      </c>
      <c r="V21" t="s">
        <v>496</v>
      </c>
      <c r="W21" t="s">
        <v>497</v>
      </c>
      <c r="X21" t="s">
        <v>498</v>
      </c>
      <c r="Y21" t="s">
        <v>499</v>
      </c>
      <c r="Z21" t="s">
        <v>500</v>
      </c>
      <c r="AA21" t="s">
        <v>501</v>
      </c>
      <c r="AB21" t="s">
        <v>502</v>
      </c>
      <c r="AC21" t="s">
        <v>503</v>
      </c>
      <c r="AD21" t="s">
        <v>504</v>
      </c>
      <c r="AE21" t="s">
        <v>505</v>
      </c>
      <c r="AF21" t="s">
        <v>74</v>
      </c>
      <c r="AG21">
        <v>37</v>
      </c>
      <c r="AH21">
        <v>20</v>
      </c>
      <c r="AI21">
        <v>25</v>
      </c>
      <c r="AJ21">
        <v>10</v>
      </c>
      <c r="AK21">
        <v>124</v>
      </c>
      <c r="AL21" t="s">
        <v>506</v>
      </c>
      <c r="AM21" t="s">
        <v>442</v>
      </c>
      <c r="AN21" t="s">
        <v>507</v>
      </c>
      <c r="AO21" t="s">
        <v>508</v>
      </c>
      <c r="AP21" t="s">
        <v>509</v>
      </c>
      <c r="AQ21" t="s">
        <v>74</v>
      </c>
      <c r="AR21" t="s">
        <v>493</v>
      </c>
      <c r="AS21" t="s">
        <v>510</v>
      </c>
      <c r="AT21" t="s">
        <v>99</v>
      </c>
      <c r="AU21">
        <v>2013</v>
      </c>
      <c r="AV21">
        <v>92</v>
      </c>
      <c r="AW21">
        <v>8</v>
      </c>
      <c r="AX21" t="s">
        <v>74</v>
      </c>
      <c r="AY21" t="s">
        <v>74</v>
      </c>
      <c r="AZ21" t="s">
        <v>74</v>
      </c>
      <c r="BA21" t="s">
        <v>74</v>
      </c>
      <c r="BB21">
        <v>1017</v>
      </c>
      <c r="BC21">
        <v>1021</v>
      </c>
      <c r="BD21" t="s">
        <v>74</v>
      </c>
      <c r="BE21" t="s">
        <v>511</v>
      </c>
      <c r="BF21" t="str">
        <f>HYPERLINK("http://dx.doi.org/10.1016/j.chemosphere.2013.03.038","http://dx.doi.org/10.1016/j.chemosphere.2013.03.038")</f>
        <v>http://dx.doi.org/10.1016/j.chemosphere.2013.03.038</v>
      </c>
      <c r="BG21" t="s">
        <v>74</v>
      </c>
      <c r="BH21" t="s">
        <v>74</v>
      </c>
      <c r="BI21">
        <v>5</v>
      </c>
      <c r="BJ21" t="s">
        <v>512</v>
      </c>
      <c r="BK21" t="s">
        <v>102</v>
      </c>
      <c r="BL21" t="s">
        <v>262</v>
      </c>
      <c r="BM21" t="s">
        <v>513</v>
      </c>
      <c r="BN21">
        <v>23601895</v>
      </c>
      <c r="BO21" t="s">
        <v>74</v>
      </c>
      <c r="BP21" t="s">
        <v>74</v>
      </c>
      <c r="BQ21" t="s">
        <v>74</v>
      </c>
      <c r="BR21" t="s">
        <v>105</v>
      </c>
      <c r="BS21" t="s">
        <v>514</v>
      </c>
      <c r="BT21" t="str">
        <f>HYPERLINK("https%3A%2F%2Fwww.webofscience.com%2Fwos%2Fwoscc%2Ffull-record%2FWOS:000322428500020","View Full Record in Web of Science")</f>
        <v>View Full Record in Web of Science</v>
      </c>
    </row>
    <row r="22" spans="1:72" x14ac:dyDescent="0.15">
      <c r="A22" t="s">
        <v>72</v>
      </c>
      <c r="B22" t="s">
        <v>515</v>
      </c>
      <c r="C22" t="s">
        <v>74</v>
      </c>
      <c r="D22" t="s">
        <v>74</v>
      </c>
      <c r="E22" t="s">
        <v>74</v>
      </c>
      <c r="F22" t="s">
        <v>516</v>
      </c>
      <c r="G22" t="s">
        <v>74</v>
      </c>
      <c r="H22" t="s">
        <v>74</v>
      </c>
      <c r="I22" t="s">
        <v>517</v>
      </c>
      <c r="J22" t="s">
        <v>518</v>
      </c>
      <c r="K22" t="s">
        <v>74</v>
      </c>
      <c r="L22" t="s">
        <v>74</v>
      </c>
      <c r="M22" t="s">
        <v>78</v>
      </c>
      <c r="N22" t="s">
        <v>79</v>
      </c>
      <c r="O22" t="s">
        <v>74</v>
      </c>
      <c r="P22" t="s">
        <v>74</v>
      </c>
      <c r="Q22" t="s">
        <v>74</v>
      </c>
      <c r="R22" t="s">
        <v>74</v>
      </c>
      <c r="S22" t="s">
        <v>74</v>
      </c>
      <c r="T22" t="s">
        <v>519</v>
      </c>
      <c r="U22" t="s">
        <v>520</v>
      </c>
      <c r="V22" t="s">
        <v>521</v>
      </c>
      <c r="W22" t="s">
        <v>522</v>
      </c>
      <c r="X22" t="s">
        <v>523</v>
      </c>
      <c r="Y22" t="s">
        <v>524</v>
      </c>
      <c r="Z22" t="s">
        <v>525</v>
      </c>
      <c r="AA22" t="s">
        <v>74</v>
      </c>
      <c r="AB22" t="s">
        <v>526</v>
      </c>
      <c r="AC22" t="s">
        <v>527</v>
      </c>
      <c r="AD22" t="s">
        <v>527</v>
      </c>
      <c r="AE22" t="s">
        <v>528</v>
      </c>
      <c r="AF22" t="s">
        <v>74</v>
      </c>
      <c r="AG22">
        <v>31</v>
      </c>
      <c r="AH22">
        <v>11</v>
      </c>
      <c r="AI22">
        <v>11</v>
      </c>
      <c r="AJ22">
        <v>0</v>
      </c>
      <c r="AK22">
        <v>21</v>
      </c>
      <c r="AL22" t="s">
        <v>529</v>
      </c>
      <c r="AM22" t="s">
        <v>391</v>
      </c>
      <c r="AN22" t="s">
        <v>530</v>
      </c>
      <c r="AO22" t="s">
        <v>531</v>
      </c>
      <c r="AP22" t="s">
        <v>532</v>
      </c>
      <c r="AQ22" t="s">
        <v>74</v>
      </c>
      <c r="AR22" t="s">
        <v>533</v>
      </c>
      <c r="AS22" t="s">
        <v>534</v>
      </c>
      <c r="AT22" t="s">
        <v>99</v>
      </c>
      <c r="AU22">
        <v>2013</v>
      </c>
      <c r="AV22">
        <v>59</v>
      </c>
      <c r="AW22">
        <v>3</v>
      </c>
      <c r="AX22" t="s">
        <v>74</v>
      </c>
      <c r="AY22" t="s">
        <v>74</v>
      </c>
      <c r="AZ22" t="s">
        <v>74</v>
      </c>
      <c r="BA22" t="s">
        <v>74</v>
      </c>
      <c r="BB22">
        <v>129</v>
      </c>
      <c r="BC22">
        <v>137</v>
      </c>
      <c r="BD22" t="s">
        <v>74</v>
      </c>
      <c r="BE22" t="s">
        <v>535</v>
      </c>
      <c r="BF22" t="str">
        <f>HYPERLINK("http://dx.doi.org/10.1007/s00294-013-0394-x","http://dx.doi.org/10.1007/s00294-013-0394-x")</f>
        <v>http://dx.doi.org/10.1007/s00294-013-0394-x</v>
      </c>
      <c r="BG22" t="s">
        <v>74</v>
      </c>
      <c r="BH22" t="s">
        <v>74</v>
      </c>
      <c r="BI22">
        <v>9</v>
      </c>
      <c r="BJ22" t="s">
        <v>536</v>
      </c>
      <c r="BK22" t="s">
        <v>102</v>
      </c>
      <c r="BL22" t="s">
        <v>536</v>
      </c>
      <c r="BM22" t="s">
        <v>537</v>
      </c>
      <c r="BN22">
        <v>23779196</v>
      </c>
      <c r="BO22" t="s">
        <v>74</v>
      </c>
      <c r="BP22" t="s">
        <v>74</v>
      </c>
      <c r="BQ22" t="s">
        <v>74</v>
      </c>
      <c r="BR22" t="s">
        <v>105</v>
      </c>
      <c r="BS22" t="s">
        <v>538</v>
      </c>
      <c r="BT22" t="str">
        <f>HYPERLINK("https%3A%2F%2Fwww.webofscience.com%2Fwos%2Fwoscc%2Ffull-record%2FWOS:000322013700005","View Full Record in Web of Science")</f>
        <v>View Full Record in Web of Science</v>
      </c>
    </row>
    <row r="23" spans="1:72" x14ac:dyDescent="0.15">
      <c r="A23" t="s">
        <v>72</v>
      </c>
      <c r="B23" t="s">
        <v>539</v>
      </c>
      <c r="C23" t="s">
        <v>74</v>
      </c>
      <c r="D23" t="s">
        <v>74</v>
      </c>
      <c r="E23" t="s">
        <v>74</v>
      </c>
      <c r="F23" t="s">
        <v>540</v>
      </c>
      <c r="G23" t="s">
        <v>74</v>
      </c>
      <c r="H23" t="s">
        <v>74</v>
      </c>
      <c r="I23" t="s">
        <v>541</v>
      </c>
      <c r="J23" t="s">
        <v>542</v>
      </c>
      <c r="K23" t="s">
        <v>74</v>
      </c>
      <c r="L23" t="s">
        <v>74</v>
      </c>
      <c r="M23" t="s">
        <v>78</v>
      </c>
      <c r="N23" t="s">
        <v>79</v>
      </c>
      <c r="O23" t="s">
        <v>74</v>
      </c>
      <c r="P23" t="s">
        <v>74</v>
      </c>
      <c r="Q23" t="s">
        <v>74</v>
      </c>
      <c r="R23" t="s">
        <v>74</v>
      </c>
      <c r="S23" t="s">
        <v>74</v>
      </c>
      <c r="T23" t="s">
        <v>543</v>
      </c>
      <c r="U23" t="s">
        <v>544</v>
      </c>
      <c r="V23" t="s">
        <v>545</v>
      </c>
      <c r="W23" t="s">
        <v>546</v>
      </c>
      <c r="X23" t="s">
        <v>547</v>
      </c>
      <c r="Y23" t="s">
        <v>548</v>
      </c>
      <c r="Z23" t="s">
        <v>549</v>
      </c>
      <c r="AA23" t="s">
        <v>550</v>
      </c>
      <c r="AB23" t="s">
        <v>551</v>
      </c>
      <c r="AC23" t="s">
        <v>552</v>
      </c>
      <c r="AD23" t="s">
        <v>553</v>
      </c>
      <c r="AE23" t="s">
        <v>554</v>
      </c>
      <c r="AF23" t="s">
        <v>74</v>
      </c>
      <c r="AG23">
        <v>35</v>
      </c>
      <c r="AH23">
        <v>13</v>
      </c>
      <c r="AI23">
        <v>16</v>
      </c>
      <c r="AJ23">
        <v>0</v>
      </c>
      <c r="AK23">
        <v>21</v>
      </c>
      <c r="AL23" t="s">
        <v>237</v>
      </c>
      <c r="AM23" t="s">
        <v>238</v>
      </c>
      <c r="AN23" t="s">
        <v>239</v>
      </c>
      <c r="AO23" t="s">
        <v>555</v>
      </c>
      <c r="AP23" t="s">
        <v>74</v>
      </c>
      <c r="AQ23" t="s">
        <v>74</v>
      </c>
      <c r="AR23" t="s">
        <v>556</v>
      </c>
      <c r="AS23" t="s">
        <v>557</v>
      </c>
      <c r="AT23" t="s">
        <v>99</v>
      </c>
      <c r="AU23">
        <v>2013</v>
      </c>
      <c r="AV23">
        <v>26</v>
      </c>
      <c r="AW23">
        <v>16</v>
      </c>
      <c r="AX23" t="s">
        <v>74</v>
      </c>
      <c r="AY23" t="s">
        <v>74</v>
      </c>
      <c r="AZ23" t="s">
        <v>74</v>
      </c>
      <c r="BA23" t="s">
        <v>74</v>
      </c>
      <c r="BB23">
        <v>6033</v>
      </c>
      <c r="BC23">
        <v>6045</v>
      </c>
      <c r="BD23" t="s">
        <v>74</v>
      </c>
      <c r="BE23" t="s">
        <v>558</v>
      </c>
      <c r="BF23" t="str">
        <f>HYPERLINK("http://dx.doi.org/10.1175/JCLI-D-12-00648.1","http://dx.doi.org/10.1175/JCLI-D-12-00648.1")</f>
        <v>http://dx.doi.org/10.1175/JCLI-D-12-00648.1</v>
      </c>
      <c r="BG23" t="s">
        <v>74</v>
      </c>
      <c r="BH23" t="s">
        <v>74</v>
      </c>
      <c r="BI23">
        <v>13</v>
      </c>
      <c r="BJ23" t="s">
        <v>305</v>
      </c>
      <c r="BK23" t="s">
        <v>102</v>
      </c>
      <c r="BL23" t="s">
        <v>305</v>
      </c>
      <c r="BM23" t="s">
        <v>559</v>
      </c>
      <c r="BN23" t="s">
        <v>74</v>
      </c>
      <c r="BO23" t="s">
        <v>248</v>
      </c>
      <c r="BP23" t="s">
        <v>74</v>
      </c>
      <c r="BQ23" t="s">
        <v>74</v>
      </c>
      <c r="BR23" t="s">
        <v>105</v>
      </c>
      <c r="BS23" t="s">
        <v>560</v>
      </c>
      <c r="BT23" t="str">
        <f>HYPERLINK("https%3A%2F%2Fwww.webofscience.com%2Fwos%2Fwoscc%2Ffull-record%2FWOS:000322759700019","View Full Record in Web of Science")</f>
        <v>View Full Record in Web of Science</v>
      </c>
    </row>
    <row r="24" spans="1:72" x14ac:dyDescent="0.15">
      <c r="A24" t="s">
        <v>72</v>
      </c>
      <c r="B24" t="s">
        <v>561</v>
      </c>
      <c r="C24" t="s">
        <v>74</v>
      </c>
      <c r="D24" t="s">
        <v>74</v>
      </c>
      <c r="E24" t="s">
        <v>74</v>
      </c>
      <c r="F24" t="s">
        <v>562</v>
      </c>
      <c r="G24" t="s">
        <v>74</v>
      </c>
      <c r="H24" t="s">
        <v>74</v>
      </c>
      <c r="I24" t="s">
        <v>563</v>
      </c>
      <c r="J24" t="s">
        <v>542</v>
      </c>
      <c r="K24" t="s">
        <v>74</v>
      </c>
      <c r="L24" t="s">
        <v>74</v>
      </c>
      <c r="M24" t="s">
        <v>78</v>
      </c>
      <c r="N24" t="s">
        <v>79</v>
      </c>
      <c r="O24" t="s">
        <v>74</v>
      </c>
      <c r="P24" t="s">
        <v>74</v>
      </c>
      <c r="Q24" t="s">
        <v>74</v>
      </c>
      <c r="R24" t="s">
        <v>74</v>
      </c>
      <c r="S24" t="s">
        <v>74</v>
      </c>
      <c r="T24" t="s">
        <v>564</v>
      </c>
      <c r="U24" t="s">
        <v>565</v>
      </c>
      <c r="V24" t="s">
        <v>566</v>
      </c>
      <c r="W24" t="s">
        <v>567</v>
      </c>
      <c r="X24" t="s">
        <v>568</v>
      </c>
      <c r="Y24" t="s">
        <v>569</v>
      </c>
      <c r="Z24" t="s">
        <v>570</v>
      </c>
      <c r="AA24" t="s">
        <v>571</v>
      </c>
      <c r="AB24" t="s">
        <v>74</v>
      </c>
      <c r="AC24" t="s">
        <v>572</v>
      </c>
      <c r="AD24" t="s">
        <v>573</v>
      </c>
      <c r="AE24" t="s">
        <v>574</v>
      </c>
      <c r="AF24" t="s">
        <v>74</v>
      </c>
      <c r="AG24">
        <v>25</v>
      </c>
      <c r="AH24">
        <v>5</v>
      </c>
      <c r="AI24">
        <v>5</v>
      </c>
      <c r="AJ24">
        <v>1</v>
      </c>
      <c r="AK24">
        <v>13</v>
      </c>
      <c r="AL24" t="s">
        <v>237</v>
      </c>
      <c r="AM24" t="s">
        <v>238</v>
      </c>
      <c r="AN24" t="s">
        <v>239</v>
      </c>
      <c r="AO24" t="s">
        <v>555</v>
      </c>
      <c r="AP24" t="s">
        <v>575</v>
      </c>
      <c r="AQ24" t="s">
        <v>74</v>
      </c>
      <c r="AR24" t="s">
        <v>556</v>
      </c>
      <c r="AS24" t="s">
        <v>557</v>
      </c>
      <c r="AT24" t="s">
        <v>99</v>
      </c>
      <c r="AU24">
        <v>2013</v>
      </c>
      <c r="AV24">
        <v>26</v>
      </c>
      <c r="AW24">
        <v>16</v>
      </c>
      <c r="AX24" t="s">
        <v>74</v>
      </c>
      <c r="AY24" t="s">
        <v>74</v>
      </c>
      <c r="AZ24" t="s">
        <v>74</v>
      </c>
      <c r="BA24" t="s">
        <v>74</v>
      </c>
      <c r="BB24">
        <v>6081</v>
      </c>
      <c r="BC24">
        <v>6091</v>
      </c>
      <c r="BD24" t="s">
        <v>74</v>
      </c>
      <c r="BE24" t="s">
        <v>576</v>
      </c>
      <c r="BF24" t="str">
        <f>HYPERLINK("http://dx.doi.org/10.1175/JCLI-D-12-00293.1","http://dx.doi.org/10.1175/JCLI-D-12-00293.1")</f>
        <v>http://dx.doi.org/10.1175/JCLI-D-12-00293.1</v>
      </c>
      <c r="BG24" t="s">
        <v>74</v>
      </c>
      <c r="BH24" t="s">
        <v>74</v>
      </c>
      <c r="BI24">
        <v>11</v>
      </c>
      <c r="BJ24" t="s">
        <v>305</v>
      </c>
      <c r="BK24" t="s">
        <v>102</v>
      </c>
      <c r="BL24" t="s">
        <v>305</v>
      </c>
      <c r="BM24" t="s">
        <v>559</v>
      </c>
      <c r="BN24" t="s">
        <v>74</v>
      </c>
      <c r="BO24" t="s">
        <v>577</v>
      </c>
      <c r="BP24" t="s">
        <v>74</v>
      </c>
      <c r="BQ24" t="s">
        <v>74</v>
      </c>
      <c r="BR24" t="s">
        <v>105</v>
      </c>
      <c r="BS24" t="s">
        <v>578</v>
      </c>
      <c r="BT24" t="str">
        <f>HYPERLINK("https%3A%2F%2Fwww.webofscience.com%2Fwos%2Fwoscc%2Ffull-record%2FWOS:000322759700022","View Full Record in Web of Science")</f>
        <v>View Full Record in Web of Science</v>
      </c>
    </row>
    <row r="25" spans="1:72" x14ac:dyDescent="0.15">
      <c r="A25" t="s">
        <v>72</v>
      </c>
      <c r="B25" t="s">
        <v>579</v>
      </c>
      <c r="C25" t="s">
        <v>74</v>
      </c>
      <c r="D25" t="s">
        <v>74</v>
      </c>
      <c r="E25" t="s">
        <v>74</v>
      </c>
      <c r="F25" t="s">
        <v>580</v>
      </c>
      <c r="G25" t="s">
        <v>74</v>
      </c>
      <c r="H25" t="s">
        <v>74</v>
      </c>
      <c r="I25" t="s">
        <v>581</v>
      </c>
      <c r="J25" t="s">
        <v>582</v>
      </c>
      <c r="K25" t="s">
        <v>74</v>
      </c>
      <c r="L25" t="s">
        <v>74</v>
      </c>
      <c r="M25" t="s">
        <v>78</v>
      </c>
      <c r="N25" t="s">
        <v>79</v>
      </c>
      <c r="O25" t="s">
        <v>74</v>
      </c>
      <c r="P25" t="s">
        <v>74</v>
      </c>
      <c r="Q25" t="s">
        <v>74</v>
      </c>
      <c r="R25" t="s">
        <v>74</v>
      </c>
      <c r="S25" t="s">
        <v>74</v>
      </c>
      <c r="T25" t="s">
        <v>74</v>
      </c>
      <c r="U25" t="s">
        <v>583</v>
      </c>
      <c r="V25" t="s">
        <v>584</v>
      </c>
      <c r="W25" t="s">
        <v>585</v>
      </c>
      <c r="X25" t="s">
        <v>586</v>
      </c>
      <c r="Y25" t="s">
        <v>587</v>
      </c>
      <c r="Z25" t="s">
        <v>588</v>
      </c>
      <c r="AA25" t="s">
        <v>589</v>
      </c>
      <c r="AB25" t="s">
        <v>74</v>
      </c>
      <c r="AC25" t="s">
        <v>590</v>
      </c>
      <c r="AD25" t="s">
        <v>591</v>
      </c>
      <c r="AE25" t="s">
        <v>592</v>
      </c>
      <c r="AF25" t="s">
        <v>74</v>
      </c>
      <c r="AG25">
        <v>39</v>
      </c>
      <c r="AH25">
        <v>20</v>
      </c>
      <c r="AI25">
        <v>24</v>
      </c>
      <c r="AJ25">
        <v>2</v>
      </c>
      <c r="AK25">
        <v>61</v>
      </c>
      <c r="AL25" t="s">
        <v>593</v>
      </c>
      <c r="AM25" t="s">
        <v>594</v>
      </c>
      <c r="AN25" t="s">
        <v>595</v>
      </c>
      <c r="AO25" t="s">
        <v>596</v>
      </c>
      <c r="AP25" t="s">
        <v>74</v>
      </c>
      <c r="AQ25" t="s">
        <v>74</v>
      </c>
      <c r="AR25" t="s">
        <v>597</v>
      </c>
      <c r="AS25" t="s">
        <v>598</v>
      </c>
      <c r="AT25" t="s">
        <v>99</v>
      </c>
      <c r="AU25">
        <v>2013</v>
      </c>
      <c r="AV25">
        <v>121</v>
      </c>
      <c r="AW25" t="s">
        <v>599</v>
      </c>
      <c r="AX25" t="s">
        <v>74</v>
      </c>
      <c r="AY25" t="s">
        <v>74</v>
      </c>
      <c r="AZ25" t="s">
        <v>74</v>
      </c>
      <c r="BA25" t="s">
        <v>74</v>
      </c>
      <c r="BB25">
        <v>189</v>
      </c>
      <c r="BC25">
        <v>197</v>
      </c>
      <c r="BD25" t="s">
        <v>74</v>
      </c>
      <c r="BE25" t="s">
        <v>600</v>
      </c>
      <c r="BF25" t="str">
        <f>HYPERLINK("http://dx.doi.org/10.1007/s00703-013-0261-9","http://dx.doi.org/10.1007/s00703-013-0261-9")</f>
        <v>http://dx.doi.org/10.1007/s00703-013-0261-9</v>
      </c>
      <c r="BG25" t="s">
        <v>74</v>
      </c>
      <c r="BH25" t="s">
        <v>74</v>
      </c>
      <c r="BI25">
        <v>9</v>
      </c>
      <c r="BJ25" t="s">
        <v>305</v>
      </c>
      <c r="BK25" t="s">
        <v>102</v>
      </c>
      <c r="BL25" t="s">
        <v>305</v>
      </c>
      <c r="BM25" t="s">
        <v>601</v>
      </c>
      <c r="BN25" t="s">
        <v>74</v>
      </c>
      <c r="BO25" t="s">
        <v>74</v>
      </c>
      <c r="BP25" t="s">
        <v>74</v>
      </c>
      <c r="BQ25" t="s">
        <v>74</v>
      </c>
      <c r="BR25" t="s">
        <v>105</v>
      </c>
      <c r="BS25" t="s">
        <v>602</v>
      </c>
      <c r="BT25" t="str">
        <f>HYPERLINK("https%3A%2F%2Fwww.webofscience.com%2Fwos%2Fwoscc%2Ffull-record%2FWOS:000322339700008","View Full Record in Web of Science")</f>
        <v>View Full Record in Web of Science</v>
      </c>
    </row>
    <row r="26" spans="1:72" x14ac:dyDescent="0.15">
      <c r="A26" t="s">
        <v>72</v>
      </c>
      <c r="B26" t="s">
        <v>603</v>
      </c>
      <c r="C26" t="s">
        <v>74</v>
      </c>
      <c r="D26" t="s">
        <v>74</v>
      </c>
      <c r="E26" t="s">
        <v>74</v>
      </c>
      <c r="F26" t="s">
        <v>604</v>
      </c>
      <c r="G26" t="s">
        <v>74</v>
      </c>
      <c r="H26" t="s">
        <v>74</v>
      </c>
      <c r="I26" t="s">
        <v>605</v>
      </c>
      <c r="J26" t="s">
        <v>606</v>
      </c>
      <c r="K26" t="s">
        <v>74</v>
      </c>
      <c r="L26" t="s">
        <v>74</v>
      </c>
      <c r="M26" t="s">
        <v>78</v>
      </c>
      <c r="N26" t="s">
        <v>79</v>
      </c>
      <c r="O26" t="s">
        <v>74</v>
      </c>
      <c r="P26" t="s">
        <v>74</v>
      </c>
      <c r="Q26" t="s">
        <v>74</v>
      </c>
      <c r="R26" t="s">
        <v>74</v>
      </c>
      <c r="S26" t="s">
        <v>74</v>
      </c>
      <c r="T26" t="s">
        <v>607</v>
      </c>
      <c r="U26" t="s">
        <v>608</v>
      </c>
      <c r="V26" t="s">
        <v>609</v>
      </c>
      <c r="W26" t="s">
        <v>610</v>
      </c>
      <c r="X26" t="s">
        <v>611</v>
      </c>
      <c r="Y26" t="s">
        <v>612</v>
      </c>
      <c r="Z26" t="s">
        <v>613</v>
      </c>
      <c r="AA26" t="s">
        <v>614</v>
      </c>
      <c r="AB26" t="s">
        <v>615</v>
      </c>
      <c r="AC26" t="s">
        <v>616</v>
      </c>
      <c r="AD26" t="s">
        <v>616</v>
      </c>
      <c r="AE26" t="s">
        <v>617</v>
      </c>
      <c r="AF26" t="s">
        <v>74</v>
      </c>
      <c r="AG26">
        <v>59</v>
      </c>
      <c r="AH26">
        <v>22</v>
      </c>
      <c r="AI26">
        <v>22</v>
      </c>
      <c r="AJ26">
        <v>0</v>
      </c>
      <c r="AK26">
        <v>39</v>
      </c>
      <c r="AL26" t="s">
        <v>368</v>
      </c>
      <c r="AM26" t="s">
        <v>369</v>
      </c>
      <c r="AN26" t="s">
        <v>370</v>
      </c>
      <c r="AO26" t="s">
        <v>618</v>
      </c>
      <c r="AP26" t="s">
        <v>619</v>
      </c>
      <c r="AQ26" t="s">
        <v>74</v>
      </c>
      <c r="AR26" t="s">
        <v>620</v>
      </c>
      <c r="AS26" t="s">
        <v>621</v>
      </c>
      <c r="AT26" t="s">
        <v>99</v>
      </c>
      <c r="AU26">
        <v>2013</v>
      </c>
      <c r="AV26">
        <v>22</v>
      </c>
      <c r="AW26">
        <v>15</v>
      </c>
      <c r="AX26" t="s">
        <v>74</v>
      </c>
      <c r="AY26" t="s">
        <v>74</v>
      </c>
      <c r="AZ26" t="s">
        <v>74</v>
      </c>
      <c r="BA26" t="s">
        <v>74</v>
      </c>
      <c r="BB26">
        <v>4029</v>
      </c>
      <c r="BC26">
        <v>4037</v>
      </c>
      <c r="BD26" t="s">
        <v>74</v>
      </c>
      <c r="BE26" t="s">
        <v>622</v>
      </c>
      <c r="BF26" t="str">
        <f>HYPERLINK("http://dx.doi.org/10.1111/mec.12363","http://dx.doi.org/10.1111/mec.12363")</f>
        <v>http://dx.doi.org/10.1111/mec.12363</v>
      </c>
      <c r="BG26" t="s">
        <v>74</v>
      </c>
      <c r="BH26" t="s">
        <v>74</v>
      </c>
      <c r="BI26">
        <v>9</v>
      </c>
      <c r="BJ26" t="s">
        <v>623</v>
      </c>
      <c r="BK26" t="s">
        <v>102</v>
      </c>
      <c r="BL26" t="s">
        <v>624</v>
      </c>
      <c r="BM26" t="s">
        <v>625</v>
      </c>
      <c r="BN26">
        <v>23829588</v>
      </c>
      <c r="BO26" t="s">
        <v>74</v>
      </c>
      <c r="BP26" t="s">
        <v>74</v>
      </c>
      <c r="BQ26" t="s">
        <v>74</v>
      </c>
      <c r="BR26" t="s">
        <v>105</v>
      </c>
      <c r="BS26" t="s">
        <v>626</v>
      </c>
      <c r="BT26" t="str">
        <f>HYPERLINK("https%3A%2F%2Fwww.webofscience.com%2Fwos%2Fwoscc%2Ffull-record%2FWOS:000322229800013","View Full Record in Web of Science")</f>
        <v>View Full Record in Web of Science</v>
      </c>
    </row>
    <row r="27" spans="1:72" x14ac:dyDescent="0.15">
      <c r="A27" t="s">
        <v>72</v>
      </c>
      <c r="B27" t="s">
        <v>627</v>
      </c>
      <c r="C27" t="s">
        <v>74</v>
      </c>
      <c r="D27" t="s">
        <v>74</v>
      </c>
      <c r="E27" t="s">
        <v>74</v>
      </c>
      <c r="F27" t="s">
        <v>628</v>
      </c>
      <c r="G27" t="s">
        <v>74</v>
      </c>
      <c r="H27" t="s">
        <v>74</v>
      </c>
      <c r="I27" t="s">
        <v>629</v>
      </c>
      <c r="J27" t="s">
        <v>630</v>
      </c>
      <c r="K27" t="s">
        <v>74</v>
      </c>
      <c r="L27" t="s">
        <v>74</v>
      </c>
      <c r="M27" t="s">
        <v>78</v>
      </c>
      <c r="N27" t="s">
        <v>79</v>
      </c>
      <c r="O27" t="s">
        <v>74</v>
      </c>
      <c r="P27" t="s">
        <v>74</v>
      </c>
      <c r="Q27" t="s">
        <v>74</v>
      </c>
      <c r="R27" t="s">
        <v>74</v>
      </c>
      <c r="S27" t="s">
        <v>74</v>
      </c>
      <c r="T27" t="s">
        <v>631</v>
      </c>
      <c r="U27" t="s">
        <v>632</v>
      </c>
      <c r="V27" t="s">
        <v>633</v>
      </c>
      <c r="W27" t="s">
        <v>634</v>
      </c>
      <c r="X27" t="s">
        <v>635</v>
      </c>
      <c r="Y27" t="s">
        <v>636</v>
      </c>
      <c r="Z27" t="s">
        <v>637</v>
      </c>
      <c r="AA27" t="s">
        <v>638</v>
      </c>
      <c r="AB27" t="s">
        <v>639</v>
      </c>
      <c r="AC27" t="s">
        <v>640</v>
      </c>
      <c r="AD27" t="s">
        <v>640</v>
      </c>
      <c r="AE27" t="s">
        <v>641</v>
      </c>
      <c r="AF27" t="s">
        <v>74</v>
      </c>
      <c r="AG27">
        <v>84</v>
      </c>
      <c r="AH27">
        <v>23</v>
      </c>
      <c r="AI27">
        <v>25</v>
      </c>
      <c r="AJ27">
        <v>2</v>
      </c>
      <c r="AK27">
        <v>28</v>
      </c>
      <c r="AL27" t="s">
        <v>642</v>
      </c>
      <c r="AM27" t="s">
        <v>643</v>
      </c>
      <c r="AN27" t="s">
        <v>644</v>
      </c>
      <c r="AO27" t="s">
        <v>645</v>
      </c>
      <c r="AP27" t="s">
        <v>646</v>
      </c>
      <c r="AQ27" t="s">
        <v>74</v>
      </c>
      <c r="AR27" t="s">
        <v>647</v>
      </c>
      <c r="AS27" t="s">
        <v>648</v>
      </c>
      <c r="AT27" t="s">
        <v>99</v>
      </c>
      <c r="AU27">
        <v>2013</v>
      </c>
      <c r="AV27">
        <v>37</v>
      </c>
      <c r="AW27">
        <v>4</v>
      </c>
      <c r="AX27" t="s">
        <v>74</v>
      </c>
      <c r="AY27" t="s">
        <v>74</v>
      </c>
      <c r="AZ27" t="s">
        <v>74</v>
      </c>
      <c r="BA27" t="s">
        <v>74</v>
      </c>
      <c r="BB27">
        <v>468</v>
      </c>
      <c r="BC27">
        <v>483</v>
      </c>
      <c r="BD27" t="s">
        <v>74</v>
      </c>
      <c r="BE27" t="s">
        <v>649</v>
      </c>
      <c r="BF27" t="str">
        <f>HYPERLINK("http://dx.doi.org/10.1177/0309133313479815","http://dx.doi.org/10.1177/0309133313479815")</f>
        <v>http://dx.doi.org/10.1177/0309133313479815</v>
      </c>
      <c r="BG27" t="s">
        <v>74</v>
      </c>
      <c r="BH27" t="s">
        <v>74</v>
      </c>
      <c r="BI27">
        <v>16</v>
      </c>
      <c r="BJ27" t="s">
        <v>650</v>
      </c>
      <c r="BK27" t="s">
        <v>102</v>
      </c>
      <c r="BL27" t="s">
        <v>651</v>
      </c>
      <c r="BM27" t="s">
        <v>652</v>
      </c>
      <c r="BN27" t="s">
        <v>74</v>
      </c>
      <c r="BO27" t="s">
        <v>74</v>
      </c>
      <c r="BP27" t="s">
        <v>74</v>
      </c>
      <c r="BQ27" t="s">
        <v>74</v>
      </c>
      <c r="BR27" t="s">
        <v>105</v>
      </c>
      <c r="BS27" t="s">
        <v>653</v>
      </c>
      <c r="BT27" t="str">
        <f>HYPERLINK("https%3A%2F%2Fwww.webofscience.com%2Fwos%2Fwoscc%2Ffull-record%2FWOS:000322155100002","View Full Record in Web of Science")</f>
        <v>View Full Record in Web of Science</v>
      </c>
    </row>
    <row r="28" spans="1:72" x14ac:dyDescent="0.15">
      <c r="A28" t="s">
        <v>72</v>
      </c>
      <c r="B28" t="s">
        <v>654</v>
      </c>
      <c r="C28" t="s">
        <v>74</v>
      </c>
      <c r="D28" t="s">
        <v>74</v>
      </c>
      <c r="E28" t="s">
        <v>74</v>
      </c>
      <c r="F28" t="s">
        <v>655</v>
      </c>
      <c r="G28" t="s">
        <v>74</v>
      </c>
      <c r="H28" t="s">
        <v>74</v>
      </c>
      <c r="I28" t="s">
        <v>656</v>
      </c>
      <c r="J28" t="s">
        <v>657</v>
      </c>
      <c r="K28" t="s">
        <v>74</v>
      </c>
      <c r="L28" t="s">
        <v>74</v>
      </c>
      <c r="M28" t="s">
        <v>78</v>
      </c>
      <c r="N28" t="s">
        <v>79</v>
      </c>
      <c r="O28" t="s">
        <v>74</v>
      </c>
      <c r="P28" t="s">
        <v>74</v>
      </c>
      <c r="Q28" t="s">
        <v>74</v>
      </c>
      <c r="R28" t="s">
        <v>74</v>
      </c>
      <c r="S28" t="s">
        <v>74</v>
      </c>
      <c r="T28" t="s">
        <v>658</v>
      </c>
      <c r="U28" t="s">
        <v>659</v>
      </c>
      <c r="V28" t="s">
        <v>660</v>
      </c>
      <c r="W28" t="s">
        <v>661</v>
      </c>
      <c r="X28" t="s">
        <v>662</v>
      </c>
      <c r="Y28" t="s">
        <v>663</v>
      </c>
      <c r="Z28" t="s">
        <v>664</v>
      </c>
      <c r="AA28" t="s">
        <v>665</v>
      </c>
      <c r="AB28" t="s">
        <v>666</v>
      </c>
      <c r="AC28" t="s">
        <v>667</v>
      </c>
      <c r="AD28" t="s">
        <v>668</v>
      </c>
      <c r="AE28" t="s">
        <v>669</v>
      </c>
      <c r="AF28" t="s">
        <v>74</v>
      </c>
      <c r="AG28">
        <v>63</v>
      </c>
      <c r="AH28">
        <v>37</v>
      </c>
      <c r="AI28">
        <v>48</v>
      </c>
      <c r="AJ28">
        <v>3</v>
      </c>
      <c r="AK28">
        <v>42</v>
      </c>
      <c r="AL28" t="s">
        <v>670</v>
      </c>
      <c r="AM28" t="s">
        <v>643</v>
      </c>
      <c r="AN28" t="s">
        <v>671</v>
      </c>
      <c r="AO28" t="s">
        <v>672</v>
      </c>
      <c r="AP28" t="s">
        <v>74</v>
      </c>
      <c r="AQ28" t="s">
        <v>74</v>
      </c>
      <c r="AR28" t="s">
        <v>673</v>
      </c>
      <c r="AS28" t="s">
        <v>674</v>
      </c>
      <c r="AT28" t="s">
        <v>99</v>
      </c>
      <c r="AU28">
        <v>2013</v>
      </c>
      <c r="AV28">
        <v>7</v>
      </c>
      <c r="AW28">
        <v>8</v>
      </c>
      <c r="AX28" t="s">
        <v>74</v>
      </c>
      <c r="AY28" t="s">
        <v>74</v>
      </c>
      <c r="AZ28" t="s">
        <v>74</v>
      </c>
      <c r="BA28" t="s">
        <v>74</v>
      </c>
      <c r="BB28">
        <v>1632</v>
      </c>
      <c r="BC28">
        <v>1640</v>
      </c>
      <c r="BD28" t="s">
        <v>74</v>
      </c>
      <c r="BE28" t="s">
        <v>675</v>
      </c>
      <c r="BF28" t="str">
        <f>HYPERLINK("http://dx.doi.org/10.1038/ismej.2013.49","http://dx.doi.org/10.1038/ismej.2013.49")</f>
        <v>http://dx.doi.org/10.1038/ismej.2013.49</v>
      </c>
      <c r="BG28" t="s">
        <v>74</v>
      </c>
      <c r="BH28" t="s">
        <v>74</v>
      </c>
      <c r="BI28">
        <v>9</v>
      </c>
      <c r="BJ28" t="s">
        <v>676</v>
      </c>
      <c r="BK28" t="s">
        <v>102</v>
      </c>
      <c r="BL28" t="s">
        <v>677</v>
      </c>
      <c r="BM28" t="s">
        <v>678</v>
      </c>
      <c r="BN28">
        <v>23552624</v>
      </c>
      <c r="BO28" t="s">
        <v>426</v>
      </c>
      <c r="BP28" t="s">
        <v>74</v>
      </c>
      <c r="BQ28" t="s">
        <v>74</v>
      </c>
      <c r="BR28" t="s">
        <v>105</v>
      </c>
      <c r="BS28" t="s">
        <v>679</v>
      </c>
      <c r="BT28" t="str">
        <f>HYPERLINK("https%3A%2F%2Fwww.webofscience.com%2Fwos%2Fwoscc%2Ffull-record%2FWOS:000322119600015","View Full Record in Web of Science")</f>
        <v>View Full Record in Web of Science</v>
      </c>
    </row>
    <row r="29" spans="1:72" x14ac:dyDescent="0.15">
      <c r="A29" t="s">
        <v>72</v>
      </c>
      <c r="B29" t="s">
        <v>680</v>
      </c>
      <c r="C29" t="s">
        <v>74</v>
      </c>
      <c r="D29" t="s">
        <v>74</v>
      </c>
      <c r="E29" t="s">
        <v>74</v>
      </c>
      <c r="F29" t="s">
        <v>681</v>
      </c>
      <c r="G29" t="s">
        <v>74</v>
      </c>
      <c r="H29" t="s">
        <v>74</v>
      </c>
      <c r="I29" t="s">
        <v>682</v>
      </c>
      <c r="J29" t="s">
        <v>542</v>
      </c>
      <c r="K29" t="s">
        <v>74</v>
      </c>
      <c r="L29" t="s">
        <v>74</v>
      </c>
      <c r="M29" t="s">
        <v>78</v>
      </c>
      <c r="N29" t="s">
        <v>79</v>
      </c>
      <c r="O29" t="s">
        <v>74</v>
      </c>
      <c r="P29" t="s">
        <v>74</v>
      </c>
      <c r="Q29" t="s">
        <v>74</v>
      </c>
      <c r="R29" t="s">
        <v>74</v>
      </c>
      <c r="S29" t="s">
        <v>74</v>
      </c>
      <c r="T29" t="s">
        <v>683</v>
      </c>
      <c r="U29" t="s">
        <v>684</v>
      </c>
      <c r="V29" t="s">
        <v>685</v>
      </c>
      <c r="W29" t="s">
        <v>686</v>
      </c>
      <c r="X29" t="s">
        <v>687</v>
      </c>
      <c r="Y29" t="s">
        <v>688</v>
      </c>
      <c r="Z29" t="s">
        <v>689</v>
      </c>
      <c r="AA29" t="s">
        <v>690</v>
      </c>
      <c r="AB29" t="s">
        <v>691</v>
      </c>
      <c r="AC29" t="s">
        <v>74</v>
      </c>
      <c r="AD29" t="s">
        <v>74</v>
      </c>
      <c r="AE29" t="s">
        <v>74</v>
      </c>
      <c r="AF29" t="s">
        <v>74</v>
      </c>
      <c r="AG29">
        <v>36</v>
      </c>
      <c r="AH29">
        <v>43</v>
      </c>
      <c r="AI29">
        <v>46</v>
      </c>
      <c r="AJ29">
        <v>3</v>
      </c>
      <c r="AK29">
        <v>54</v>
      </c>
      <c r="AL29" t="s">
        <v>237</v>
      </c>
      <c r="AM29" t="s">
        <v>238</v>
      </c>
      <c r="AN29" t="s">
        <v>239</v>
      </c>
      <c r="AO29" t="s">
        <v>555</v>
      </c>
      <c r="AP29" t="s">
        <v>575</v>
      </c>
      <c r="AQ29" t="s">
        <v>74</v>
      </c>
      <c r="AR29" t="s">
        <v>556</v>
      </c>
      <c r="AS29" t="s">
        <v>557</v>
      </c>
      <c r="AT29" t="s">
        <v>99</v>
      </c>
      <c r="AU29">
        <v>2013</v>
      </c>
      <c r="AV29">
        <v>26</v>
      </c>
      <c r="AW29">
        <v>15</v>
      </c>
      <c r="AX29" t="s">
        <v>74</v>
      </c>
      <c r="AY29" t="s">
        <v>74</v>
      </c>
      <c r="AZ29" t="s">
        <v>74</v>
      </c>
      <c r="BA29" t="s">
        <v>74</v>
      </c>
      <c r="BB29">
        <v>5624</v>
      </c>
      <c r="BC29">
        <v>5636</v>
      </c>
      <c r="BD29" t="s">
        <v>74</v>
      </c>
      <c r="BE29" t="s">
        <v>692</v>
      </c>
      <c r="BF29" t="str">
        <f>HYPERLINK("http://dx.doi.org/10.1175/JCLI-D-12-00492.1","http://dx.doi.org/10.1175/JCLI-D-12-00492.1")</f>
        <v>http://dx.doi.org/10.1175/JCLI-D-12-00492.1</v>
      </c>
      <c r="BG29" t="s">
        <v>74</v>
      </c>
      <c r="BH29" t="s">
        <v>74</v>
      </c>
      <c r="BI29">
        <v>13</v>
      </c>
      <c r="BJ29" t="s">
        <v>305</v>
      </c>
      <c r="BK29" t="s">
        <v>102</v>
      </c>
      <c r="BL29" t="s">
        <v>305</v>
      </c>
      <c r="BM29" t="s">
        <v>693</v>
      </c>
      <c r="BN29" t="s">
        <v>74</v>
      </c>
      <c r="BO29" t="s">
        <v>577</v>
      </c>
      <c r="BP29" t="s">
        <v>74</v>
      </c>
      <c r="BQ29" t="s">
        <v>74</v>
      </c>
      <c r="BR29" t="s">
        <v>105</v>
      </c>
      <c r="BS29" t="s">
        <v>694</v>
      </c>
      <c r="BT29" t="str">
        <f>HYPERLINK("https%3A%2F%2Fwww.webofscience.com%2Fwos%2Fwoscc%2Ffull-record%2FWOS:000322327700019","View Full Record in Web of Science")</f>
        <v>View Full Record in Web of Science</v>
      </c>
    </row>
    <row r="30" spans="1:72" x14ac:dyDescent="0.15">
      <c r="A30" t="s">
        <v>72</v>
      </c>
      <c r="B30" t="s">
        <v>695</v>
      </c>
      <c r="C30" t="s">
        <v>74</v>
      </c>
      <c r="D30" t="s">
        <v>74</v>
      </c>
      <c r="E30" t="s">
        <v>74</v>
      </c>
      <c r="F30" t="s">
        <v>696</v>
      </c>
      <c r="G30" t="s">
        <v>74</v>
      </c>
      <c r="H30" t="s">
        <v>74</v>
      </c>
      <c r="I30" t="s">
        <v>697</v>
      </c>
      <c r="J30" t="s">
        <v>698</v>
      </c>
      <c r="K30" t="s">
        <v>74</v>
      </c>
      <c r="L30" t="s">
        <v>74</v>
      </c>
      <c r="M30" t="s">
        <v>78</v>
      </c>
      <c r="N30" t="s">
        <v>79</v>
      </c>
      <c r="O30" t="s">
        <v>74</v>
      </c>
      <c r="P30" t="s">
        <v>74</v>
      </c>
      <c r="Q30" t="s">
        <v>74</v>
      </c>
      <c r="R30" t="s">
        <v>74</v>
      </c>
      <c r="S30" t="s">
        <v>74</v>
      </c>
      <c r="T30" t="s">
        <v>699</v>
      </c>
      <c r="U30" t="s">
        <v>700</v>
      </c>
      <c r="V30" t="s">
        <v>701</v>
      </c>
      <c r="W30" t="s">
        <v>702</v>
      </c>
      <c r="X30" t="s">
        <v>703</v>
      </c>
      <c r="Y30" t="s">
        <v>704</v>
      </c>
      <c r="Z30" t="s">
        <v>705</v>
      </c>
      <c r="AA30" t="s">
        <v>74</v>
      </c>
      <c r="AB30" t="s">
        <v>74</v>
      </c>
      <c r="AC30" t="s">
        <v>706</v>
      </c>
      <c r="AD30" t="s">
        <v>707</v>
      </c>
      <c r="AE30" t="s">
        <v>708</v>
      </c>
      <c r="AF30" t="s">
        <v>74</v>
      </c>
      <c r="AG30">
        <v>40</v>
      </c>
      <c r="AH30">
        <v>32</v>
      </c>
      <c r="AI30">
        <v>40</v>
      </c>
      <c r="AJ30">
        <v>2</v>
      </c>
      <c r="AK30">
        <v>30</v>
      </c>
      <c r="AL30" t="s">
        <v>237</v>
      </c>
      <c r="AM30" t="s">
        <v>238</v>
      </c>
      <c r="AN30" t="s">
        <v>239</v>
      </c>
      <c r="AO30" t="s">
        <v>709</v>
      </c>
      <c r="AP30" t="s">
        <v>74</v>
      </c>
      <c r="AQ30" t="s">
        <v>74</v>
      </c>
      <c r="AR30" t="s">
        <v>710</v>
      </c>
      <c r="AS30" t="s">
        <v>711</v>
      </c>
      <c r="AT30" t="s">
        <v>99</v>
      </c>
      <c r="AU30">
        <v>2013</v>
      </c>
      <c r="AV30">
        <v>141</v>
      </c>
      <c r="AW30">
        <v>8</v>
      </c>
      <c r="AX30" t="s">
        <v>74</v>
      </c>
      <c r="AY30" t="s">
        <v>74</v>
      </c>
      <c r="AZ30" t="s">
        <v>74</v>
      </c>
      <c r="BA30" t="s">
        <v>74</v>
      </c>
      <c r="BB30">
        <v>2721</v>
      </c>
      <c r="BC30">
        <v>2739</v>
      </c>
      <c r="BD30" t="s">
        <v>74</v>
      </c>
      <c r="BE30" t="s">
        <v>712</v>
      </c>
      <c r="BF30" t="str">
        <f>HYPERLINK("http://dx.doi.org/10.1175/MWR-D-12-00130.1","http://dx.doi.org/10.1175/MWR-D-12-00130.1")</f>
        <v>http://dx.doi.org/10.1175/MWR-D-12-00130.1</v>
      </c>
      <c r="BG30" t="s">
        <v>74</v>
      </c>
      <c r="BH30" t="s">
        <v>74</v>
      </c>
      <c r="BI30">
        <v>19</v>
      </c>
      <c r="BJ30" t="s">
        <v>305</v>
      </c>
      <c r="BK30" t="s">
        <v>102</v>
      </c>
      <c r="BL30" t="s">
        <v>305</v>
      </c>
      <c r="BM30" t="s">
        <v>713</v>
      </c>
      <c r="BN30" t="s">
        <v>74</v>
      </c>
      <c r="BO30" t="s">
        <v>248</v>
      </c>
      <c r="BP30" t="s">
        <v>74</v>
      </c>
      <c r="BQ30" t="s">
        <v>74</v>
      </c>
      <c r="BR30" t="s">
        <v>105</v>
      </c>
      <c r="BS30" t="s">
        <v>714</v>
      </c>
      <c r="BT30" t="str">
        <f>HYPERLINK("https%3A%2F%2Fwww.webofscience.com%2Fwos%2Fwoscc%2Ffull-record%2FWOS:000322225200009","View Full Record in Web of Science")</f>
        <v>View Full Record in Web of Science</v>
      </c>
    </row>
    <row r="31" spans="1:72" x14ac:dyDescent="0.15">
      <c r="A31" t="s">
        <v>72</v>
      </c>
      <c r="B31" t="s">
        <v>715</v>
      </c>
      <c r="C31" t="s">
        <v>74</v>
      </c>
      <c r="D31" t="s">
        <v>74</v>
      </c>
      <c r="E31" t="s">
        <v>74</v>
      </c>
      <c r="F31" t="s">
        <v>716</v>
      </c>
      <c r="G31" t="s">
        <v>74</v>
      </c>
      <c r="H31" t="s">
        <v>74</v>
      </c>
      <c r="I31" t="s">
        <v>717</v>
      </c>
      <c r="J31" t="s">
        <v>718</v>
      </c>
      <c r="K31" t="s">
        <v>74</v>
      </c>
      <c r="L31" t="s">
        <v>74</v>
      </c>
      <c r="M31" t="s">
        <v>78</v>
      </c>
      <c r="N31" t="s">
        <v>79</v>
      </c>
      <c r="O31" t="s">
        <v>74</v>
      </c>
      <c r="P31" t="s">
        <v>74</v>
      </c>
      <c r="Q31" t="s">
        <v>74</v>
      </c>
      <c r="R31" t="s">
        <v>74</v>
      </c>
      <c r="S31" t="s">
        <v>74</v>
      </c>
      <c r="T31" t="s">
        <v>719</v>
      </c>
      <c r="U31" t="s">
        <v>720</v>
      </c>
      <c r="V31" t="s">
        <v>721</v>
      </c>
      <c r="W31" t="s">
        <v>722</v>
      </c>
      <c r="X31" t="s">
        <v>723</v>
      </c>
      <c r="Y31" t="s">
        <v>724</v>
      </c>
      <c r="Z31" t="s">
        <v>725</v>
      </c>
      <c r="AA31" t="s">
        <v>726</v>
      </c>
      <c r="AB31" t="s">
        <v>727</v>
      </c>
      <c r="AC31" t="s">
        <v>728</v>
      </c>
      <c r="AD31" t="s">
        <v>729</v>
      </c>
      <c r="AE31" t="s">
        <v>730</v>
      </c>
      <c r="AF31" t="s">
        <v>74</v>
      </c>
      <c r="AG31">
        <v>54</v>
      </c>
      <c r="AH31">
        <v>3</v>
      </c>
      <c r="AI31">
        <v>3</v>
      </c>
      <c r="AJ31">
        <v>0</v>
      </c>
      <c r="AK31">
        <v>43</v>
      </c>
      <c r="AL31" t="s">
        <v>731</v>
      </c>
      <c r="AM31" t="s">
        <v>732</v>
      </c>
      <c r="AN31" t="s">
        <v>733</v>
      </c>
      <c r="AO31" t="s">
        <v>734</v>
      </c>
      <c r="AP31" t="s">
        <v>735</v>
      </c>
      <c r="AQ31" t="s">
        <v>74</v>
      </c>
      <c r="AR31" t="s">
        <v>736</v>
      </c>
      <c r="AS31" t="s">
        <v>737</v>
      </c>
      <c r="AT31" t="s">
        <v>99</v>
      </c>
      <c r="AU31">
        <v>2013</v>
      </c>
      <c r="AV31">
        <v>182</v>
      </c>
      <c r="AW31">
        <v>2</v>
      </c>
      <c r="AX31" t="s">
        <v>74</v>
      </c>
      <c r="AY31" t="s">
        <v>74</v>
      </c>
      <c r="AZ31" t="s">
        <v>74</v>
      </c>
      <c r="BA31" t="s">
        <v>74</v>
      </c>
      <c r="BB31" t="s">
        <v>738</v>
      </c>
      <c r="BC31" t="s">
        <v>739</v>
      </c>
      <c r="BD31" t="s">
        <v>74</v>
      </c>
      <c r="BE31" t="s">
        <v>740</v>
      </c>
      <c r="BF31" t="str">
        <f>HYPERLINK("http://dx.doi.org/10.1086/670810","http://dx.doi.org/10.1086/670810")</f>
        <v>http://dx.doi.org/10.1086/670810</v>
      </c>
      <c r="BG31" t="s">
        <v>74</v>
      </c>
      <c r="BH31" t="s">
        <v>74</v>
      </c>
      <c r="BI31">
        <v>15</v>
      </c>
      <c r="BJ31" t="s">
        <v>741</v>
      </c>
      <c r="BK31" t="s">
        <v>102</v>
      </c>
      <c r="BL31" t="s">
        <v>742</v>
      </c>
      <c r="BM31" t="s">
        <v>743</v>
      </c>
      <c r="BN31">
        <v>23852361</v>
      </c>
      <c r="BO31" t="s">
        <v>74</v>
      </c>
      <c r="BP31" t="s">
        <v>74</v>
      </c>
      <c r="BQ31" t="s">
        <v>74</v>
      </c>
      <c r="BR31" t="s">
        <v>105</v>
      </c>
      <c r="BS31" t="s">
        <v>744</v>
      </c>
      <c r="BT31" t="str">
        <f>HYPERLINK("https%3A%2F%2Fwww.webofscience.com%2Fwos%2Fwoscc%2Ffull-record%2FWOS:000321703400001","View Full Record in Web of Science")</f>
        <v>View Full Record in Web of Science</v>
      </c>
    </row>
    <row r="32" spans="1:72" x14ac:dyDescent="0.15">
      <c r="A32" t="s">
        <v>72</v>
      </c>
      <c r="B32" t="s">
        <v>745</v>
      </c>
      <c r="C32" t="s">
        <v>74</v>
      </c>
      <c r="D32" t="s">
        <v>74</v>
      </c>
      <c r="E32" t="s">
        <v>74</v>
      </c>
      <c r="F32" t="s">
        <v>746</v>
      </c>
      <c r="G32" t="s">
        <v>74</v>
      </c>
      <c r="H32" t="s">
        <v>74</v>
      </c>
      <c r="I32" t="s">
        <v>747</v>
      </c>
      <c r="J32" t="s">
        <v>748</v>
      </c>
      <c r="K32" t="s">
        <v>74</v>
      </c>
      <c r="L32" t="s">
        <v>74</v>
      </c>
      <c r="M32" t="s">
        <v>78</v>
      </c>
      <c r="N32" t="s">
        <v>79</v>
      </c>
      <c r="O32" t="s">
        <v>74</v>
      </c>
      <c r="P32" t="s">
        <v>74</v>
      </c>
      <c r="Q32" t="s">
        <v>74</v>
      </c>
      <c r="R32" t="s">
        <v>74</v>
      </c>
      <c r="S32" t="s">
        <v>74</v>
      </c>
      <c r="T32" t="s">
        <v>749</v>
      </c>
      <c r="U32" t="s">
        <v>750</v>
      </c>
      <c r="V32" t="s">
        <v>751</v>
      </c>
      <c r="W32" t="s">
        <v>752</v>
      </c>
      <c r="X32" t="s">
        <v>753</v>
      </c>
      <c r="Y32" t="s">
        <v>754</v>
      </c>
      <c r="Z32" t="s">
        <v>755</v>
      </c>
      <c r="AA32" t="s">
        <v>756</v>
      </c>
      <c r="AB32" t="s">
        <v>757</v>
      </c>
      <c r="AC32" t="s">
        <v>758</v>
      </c>
      <c r="AD32" t="s">
        <v>759</v>
      </c>
      <c r="AE32" t="s">
        <v>760</v>
      </c>
      <c r="AF32" t="s">
        <v>74</v>
      </c>
      <c r="AG32">
        <v>58</v>
      </c>
      <c r="AH32">
        <v>27</v>
      </c>
      <c r="AI32">
        <v>30</v>
      </c>
      <c r="AJ32">
        <v>0</v>
      </c>
      <c r="AK32">
        <v>28</v>
      </c>
      <c r="AL32" t="s">
        <v>441</v>
      </c>
      <c r="AM32" t="s">
        <v>442</v>
      </c>
      <c r="AN32" t="s">
        <v>443</v>
      </c>
      <c r="AO32" t="s">
        <v>761</v>
      </c>
      <c r="AP32" t="s">
        <v>762</v>
      </c>
      <c r="AQ32" t="s">
        <v>74</v>
      </c>
      <c r="AR32" t="s">
        <v>763</v>
      </c>
      <c r="AS32" t="s">
        <v>764</v>
      </c>
      <c r="AT32" t="s">
        <v>99</v>
      </c>
      <c r="AU32">
        <v>2013</v>
      </c>
      <c r="AV32">
        <v>194</v>
      </c>
      <c r="AW32">
        <v>2</v>
      </c>
      <c r="AX32" t="s">
        <v>74</v>
      </c>
      <c r="AY32" t="s">
        <v>74</v>
      </c>
      <c r="AZ32" t="s">
        <v>74</v>
      </c>
      <c r="BA32" t="s">
        <v>74</v>
      </c>
      <c r="BB32">
        <v>719</v>
      </c>
      <c r="BC32">
        <v>736</v>
      </c>
      <c r="BD32" t="s">
        <v>74</v>
      </c>
      <c r="BE32" t="s">
        <v>765</v>
      </c>
      <c r="BF32" t="str">
        <f>HYPERLINK("http://dx.doi.org/10.1093/gji/ggt131","http://dx.doi.org/10.1093/gji/ggt131")</f>
        <v>http://dx.doi.org/10.1093/gji/ggt131</v>
      </c>
      <c r="BG32" t="s">
        <v>74</v>
      </c>
      <c r="BH32" t="s">
        <v>74</v>
      </c>
      <c r="BI32">
        <v>18</v>
      </c>
      <c r="BJ32" t="s">
        <v>766</v>
      </c>
      <c r="BK32" t="s">
        <v>102</v>
      </c>
      <c r="BL32" t="s">
        <v>766</v>
      </c>
      <c r="BM32" t="s">
        <v>767</v>
      </c>
      <c r="BN32" t="s">
        <v>74</v>
      </c>
      <c r="BO32" t="s">
        <v>74</v>
      </c>
      <c r="BP32" t="s">
        <v>74</v>
      </c>
      <c r="BQ32" t="s">
        <v>74</v>
      </c>
      <c r="BR32" t="s">
        <v>105</v>
      </c>
      <c r="BS32" t="s">
        <v>768</v>
      </c>
      <c r="BT32" t="str">
        <f>HYPERLINK("https%3A%2F%2Fwww.webofscience.com%2Fwos%2Fwoscc%2Ffull-record%2FWOS:000321773500011","View Full Record in Web of Science")</f>
        <v>View Full Record in Web of Science</v>
      </c>
    </row>
    <row r="33" spans="1:72" x14ac:dyDescent="0.15">
      <c r="A33" t="s">
        <v>72</v>
      </c>
      <c r="B33" t="s">
        <v>769</v>
      </c>
      <c r="C33" t="s">
        <v>74</v>
      </c>
      <c r="D33" t="s">
        <v>74</v>
      </c>
      <c r="E33" t="s">
        <v>74</v>
      </c>
      <c r="F33" t="s">
        <v>770</v>
      </c>
      <c r="G33" t="s">
        <v>74</v>
      </c>
      <c r="H33" t="s">
        <v>74</v>
      </c>
      <c r="I33" t="s">
        <v>771</v>
      </c>
      <c r="J33" t="s">
        <v>772</v>
      </c>
      <c r="K33" t="s">
        <v>74</v>
      </c>
      <c r="L33" t="s">
        <v>74</v>
      </c>
      <c r="M33" t="s">
        <v>78</v>
      </c>
      <c r="N33" t="s">
        <v>79</v>
      </c>
      <c r="O33" t="s">
        <v>74</v>
      </c>
      <c r="P33" t="s">
        <v>74</v>
      </c>
      <c r="Q33" t="s">
        <v>74</v>
      </c>
      <c r="R33" t="s">
        <v>74</v>
      </c>
      <c r="S33" t="s">
        <v>74</v>
      </c>
      <c r="T33" t="s">
        <v>773</v>
      </c>
      <c r="U33" t="s">
        <v>774</v>
      </c>
      <c r="V33" t="s">
        <v>775</v>
      </c>
      <c r="W33" t="s">
        <v>776</v>
      </c>
      <c r="X33" t="s">
        <v>777</v>
      </c>
      <c r="Y33" t="s">
        <v>778</v>
      </c>
      <c r="Z33" t="s">
        <v>779</v>
      </c>
      <c r="AA33" t="s">
        <v>780</v>
      </c>
      <c r="AB33" t="s">
        <v>781</v>
      </c>
      <c r="AC33" t="s">
        <v>782</v>
      </c>
      <c r="AD33" t="s">
        <v>783</v>
      </c>
      <c r="AE33" t="s">
        <v>784</v>
      </c>
      <c r="AF33" t="s">
        <v>74</v>
      </c>
      <c r="AG33">
        <v>63</v>
      </c>
      <c r="AH33">
        <v>20</v>
      </c>
      <c r="AI33">
        <v>20</v>
      </c>
      <c r="AJ33">
        <v>0</v>
      </c>
      <c r="AK33">
        <v>18</v>
      </c>
      <c r="AL33" t="s">
        <v>529</v>
      </c>
      <c r="AM33" t="s">
        <v>391</v>
      </c>
      <c r="AN33" t="s">
        <v>530</v>
      </c>
      <c r="AO33" t="s">
        <v>785</v>
      </c>
      <c r="AP33" t="s">
        <v>786</v>
      </c>
      <c r="AQ33" t="s">
        <v>74</v>
      </c>
      <c r="AR33" t="s">
        <v>787</v>
      </c>
      <c r="AS33" t="s">
        <v>788</v>
      </c>
      <c r="AT33" t="s">
        <v>99</v>
      </c>
      <c r="AU33">
        <v>2013</v>
      </c>
      <c r="AV33">
        <v>19</v>
      </c>
      <c r="AW33">
        <v>8</v>
      </c>
      <c r="AX33" t="s">
        <v>74</v>
      </c>
      <c r="AY33" t="s">
        <v>74</v>
      </c>
      <c r="AZ33" t="s">
        <v>74</v>
      </c>
      <c r="BA33" t="s">
        <v>74</v>
      </c>
      <c r="BB33">
        <v>3369</v>
      </c>
      <c r="BC33">
        <v>3383</v>
      </c>
      <c r="BD33" t="s">
        <v>74</v>
      </c>
      <c r="BE33" t="s">
        <v>789</v>
      </c>
      <c r="BF33" t="str">
        <f>HYPERLINK("http://dx.doi.org/10.1007/s00894-013-1861-5","http://dx.doi.org/10.1007/s00894-013-1861-5")</f>
        <v>http://dx.doi.org/10.1007/s00894-013-1861-5</v>
      </c>
      <c r="BG33" t="s">
        <v>74</v>
      </c>
      <c r="BH33" t="s">
        <v>74</v>
      </c>
      <c r="BI33">
        <v>15</v>
      </c>
      <c r="BJ33" t="s">
        <v>790</v>
      </c>
      <c r="BK33" t="s">
        <v>102</v>
      </c>
      <c r="BL33" t="s">
        <v>791</v>
      </c>
      <c r="BM33" t="s">
        <v>792</v>
      </c>
      <c r="BN33">
        <v>23686283</v>
      </c>
      <c r="BO33" t="s">
        <v>74</v>
      </c>
      <c r="BP33" t="s">
        <v>74</v>
      </c>
      <c r="BQ33" t="s">
        <v>74</v>
      </c>
      <c r="BR33" t="s">
        <v>105</v>
      </c>
      <c r="BS33" t="s">
        <v>793</v>
      </c>
      <c r="BT33" t="str">
        <f>HYPERLINK("https%3A%2F%2Fwww.webofscience.com%2Fwos%2Fwoscc%2Ffull-record%2FWOS:000321922600042","View Full Record in Web of Science")</f>
        <v>View Full Record in Web of Science</v>
      </c>
    </row>
    <row r="34" spans="1:72" x14ac:dyDescent="0.15">
      <c r="A34" t="s">
        <v>72</v>
      </c>
      <c r="B34" t="s">
        <v>794</v>
      </c>
      <c r="C34" t="s">
        <v>74</v>
      </c>
      <c r="D34" t="s">
        <v>74</v>
      </c>
      <c r="E34" t="s">
        <v>74</v>
      </c>
      <c r="F34" t="s">
        <v>795</v>
      </c>
      <c r="G34" t="s">
        <v>74</v>
      </c>
      <c r="H34" t="s">
        <v>74</v>
      </c>
      <c r="I34" t="s">
        <v>796</v>
      </c>
      <c r="J34" t="s">
        <v>797</v>
      </c>
      <c r="K34" t="s">
        <v>74</v>
      </c>
      <c r="L34" t="s">
        <v>74</v>
      </c>
      <c r="M34" t="s">
        <v>78</v>
      </c>
      <c r="N34" t="s">
        <v>79</v>
      </c>
      <c r="O34" t="s">
        <v>74</v>
      </c>
      <c r="P34" t="s">
        <v>74</v>
      </c>
      <c r="Q34" t="s">
        <v>74</v>
      </c>
      <c r="R34" t="s">
        <v>74</v>
      </c>
      <c r="S34" t="s">
        <v>74</v>
      </c>
      <c r="T34" t="s">
        <v>798</v>
      </c>
      <c r="U34" t="s">
        <v>799</v>
      </c>
      <c r="V34" t="s">
        <v>800</v>
      </c>
      <c r="W34" t="s">
        <v>801</v>
      </c>
      <c r="X34" t="s">
        <v>802</v>
      </c>
      <c r="Y34" t="s">
        <v>803</v>
      </c>
      <c r="Z34" t="s">
        <v>804</v>
      </c>
      <c r="AA34" t="s">
        <v>74</v>
      </c>
      <c r="AB34" t="s">
        <v>805</v>
      </c>
      <c r="AC34" t="s">
        <v>74</v>
      </c>
      <c r="AD34" t="s">
        <v>74</v>
      </c>
      <c r="AE34" t="s">
        <v>74</v>
      </c>
      <c r="AF34" t="s">
        <v>74</v>
      </c>
      <c r="AG34">
        <v>71</v>
      </c>
      <c r="AH34">
        <v>28</v>
      </c>
      <c r="AI34">
        <v>29</v>
      </c>
      <c r="AJ34">
        <v>0</v>
      </c>
      <c r="AK34">
        <v>37</v>
      </c>
      <c r="AL34" t="s">
        <v>390</v>
      </c>
      <c r="AM34" t="s">
        <v>391</v>
      </c>
      <c r="AN34" t="s">
        <v>392</v>
      </c>
      <c r="AO34" t="s">
        <v>806</v>
      </c>
      <c r="AP34" t="s">
        <v>807</v>
      </c>
      <c r="AQ34" t="s">
        <v>74</v>
      </c>
      <c r="AR34" t="s">
        <v>808</v>
      </c>
      <c r="AS34" t="s">
        <v>809</v>
      </c>
      <c r="AT34" t="s">
        <v>99</v>
      </c>
      <c r="AU34">
        <v>2013</v>
      </c>
      <c r="AV34">
        <v>25</v>
      </c>
      <c r="AW34">
        <v>4</v>
      </c>
      <c r="AX34" t="s">
        <v>74</v>
      </c>
      <c r="AY34" t="s">
        <v>74</v>
      </c>
      <c r="AZ34" t="s">
        <v>74</v>
      </c>
      <c r="BA34" t="s">
        <v>74</v>
      </c>
      <c r="BB34">
        <v>475</v>
      </c>
      <c r="BC34">
        <v>500</v>
      </c>
      <c r="BD34" t="s">
        <v>74</v>
      </c>
      <c r="BE34" t="s">
        <v>810</v>
      </c>
      <c r="BF34" t="str">
        <f>HYPERLINK("http://dx.doi.org/10.1017/S0954102013000436","http://dx.doi.org/10.1017/S0954102013000436")</f>
        <v>http://dx.doi.org/10.1017/S0954102013000436</v>
      </c>
      <c r="BG34" t="s">
        <v>74</v>
      </c>
      <c r="BH34" t="s">
        <v>74</v>
      </c>
      <c r="BI34">
        <v>26</v>
      </c>
      <c r="BJ34" t="s">
        <v>811</v>
      </c>
      <c r="BK34" t="s">
        <v>102</v>
      </c>
      <c r="BL34" t="s">
        <v>812</v>
      </c>
      <c r="BM34" t="s">
        <v>813</v>
      </c>
      <c r="BN34" t="s">
        <v>74</v>
      </c>
      <c r="BO34" t="s">
        <v>74</v>
      </c>
      <c r="BP34" t="s">
        <v>74</v>
      </c>
      <c r="BQ34" t="s">
        <v>74</v>
      </c>
      <c r="BR34" t="s">
        <v>105</v>
      </c>
      <c r="BS34" t="s">
        <v>814</v>
      </c>
      <c r="BT34" t="str">
        <f>HYPERLINK("https%3A%2F%2Fwww.webofscience.com%2Fwos%2Fwoscc%2Ffull-record%2FWOS:000321760000002","View Full Record in Web of Science")</f>
        <v>View Full Record in Web of Science</v>
      </c>
    </row>
    <row r="35" spans="1:72" x14ac:dyDescent="0.15">
      <c r="A35" t="s">
        <v>72</v>
      </c>
      <c r="B35" t="s">
        <v>815</v>
      </c>
      <c r="C35" t="s">
        <v>74</v>
      </c>
      <c r="D35" t="s">
        <v>74</v>
      </c>
      <c r="E35" t="s">
        <v>74</v>
      </c>
      <c r="F35" t="s">
        <v>816</v>
      </c>
      <c r="G35" t="s">
        <v>74</v>
      </c>
      <c r="H35" t="s">
        <v>74</v>
      </c>
      <c r="I35" t="s">
        <v>817</v>
      </c>
      <c r="J35" t="s">
        <v>797</v>
      </c>
      <c r="K35" t="s">
        <v>74</v>
      </c>
      <c r="L35" t="s">
        <v>74</v>
      </c>
      <c r="M35" t="s">
        <v>78</v>
      </c>
      <c r="N35" t="s">
        <v>79</v>
      </c>
      <c r="O35" t="s">
        <v>74</v>
      </c>
      <c r="P35" t="s">
        <v>74</v>
      </c>
      <c r="Q35" t="s">
        <v>74</v>
      </c>
      <c r="R35" t="s">
        <v>74</v>
      </c>
      <c r="S35" t="s">
        <v>74</v>
      </c>
      <c r="T35" t="s">
        <v>818</v>
      </c>
      <c r="U35" t="s">
        <v>819</v>
      </c>
      <c r="V35" t="s">
        <v>820</v>
      </c>
      <c r="W35" t="s">
        <v>821</v>
      </c>
      <c r="X35" t="s">
        <v>822</v>
      </c>
      <c r="Y35" t="s">
        <v>823</v>
      </c>
      <c r="Z35" t="s">
        <v>824</v>
      </c>
      <c r="AA35" t="s">
        <v>825</v>
      </c>
      <c r="AB35" t="s">
        <v>826</v>
      </c>
      <c r="AC35" t="s">
        <v>827</v>
      </c>
      <c r="AD35" t="s">
        <v>828</v>
      </c>
      <c r="AE35" t="s">
        <v>829</v>
      </c>
      <c r="AF35" t="s">
        <v>74</v>
      </c>
      <c r="AG35">
        <v>43</v>
      </c>
      <c r="AH35">
        <v>19</v>
      </c>
      <c r="AI35">
        <v>20</v>
      </c>
      <c r="AJ35">
        <v>0</v>
      </c>
      <c r="AK35">
        <v>36</v>
      </c>
      <c r="AL35" t="s">
        <v>390</v>
      </c>
      <c r="AM35" t="s">
        <v>391</v>
      </c>
      <c r="AN35" t="s">
        <v>392</v>
      </c>
      <c r="AO35" t="s">
        <v>806</v>
      </c>
      <c r="AP35" t="s">
        <v>74</v>
      </c>
      <c r="AQ35" t="s">
        <v>74</v>
      </c>
      <c r="AR35" t="s">
        <v>808</v>
      </c>
      <c r="AS35" t="s">
        <v>809</v>
      </c>
      <c r="AT35" t="s">
        <v>99</v>
      </c>
      <c r="AU35">
        <v>2013</v>
      </c>
      <c r="AV35">
        <v>25</v>
      </c>
      <c r="AW35">
        <v>4</v>
      </c>
      <c r="AX35" t="s">
        <v>74</v>
      </c>
      <c r="AY35" t="s">
        <v>74</v>
      </c>
      <c r="AZ35" t="s">
        <v>74</v>
      </c>
      <c r="BA35" t="s">
        <v>74</v>
      </c>
      <c r="BB35">
        <v>501</v>
      </c>
      <c r="BC35">
        <v>513</v>
      </c>
      <c r="BD35" t="s">
        <v>74</v>
      </c>
      <c r="BE35" t="s">
        <v>830</v>
      </c>
      <c r="BF35" t="str">
        <f>HYPERLINK("http://dx.doi.org/10.1017/S0954102012001101","http://dx.doi.org/10.1017/S0954102012001101")</f>
        <v>http://dx.doi.org/10.1017/S0954102012001101</v>
      </c>
      <c r="BG35" t="s">
        <v>74</v>
      </c>
      <c r="BH35" t="s">
        <v>74</v>
      </c>
      <c r="BI35">
        <v>13</v>
      </c>
      <c r="BJ35" t="s">
        <v>811</v>
      </c>
      <c r="BK35" t="s">
        <v>102</v>
      </c>
      <c r="BL35" t="s">
        <v>812</v>
      </c>
      <c r="BM35" t="s">
        <v>813</v>
      </c>
      <c r="BN35" t="s">
        <v>74</v>
      </c>
      <c r="BO35" t="s">
        <v>74</v>
      </c>
      <c r="BP35" t="s">
        <v>74</v>
      </c>
      <c r="BQ35" t="s">
        <v>74</v>
      </c>
      <c r="BR35" t="s">
        <v>105</v>
      </c>
      <c r="BS35" t="s">
        <v>831</v>
      </c>
      <c r="BT35" t="str">
        <f>HYPERLINK("https%3A%2F%2Fwww.webofscience.com%2Fwos%2Fwoscc%2Ffull-record%2FWOS:000321760000003","View Full Record in Web of Science")</f>
        <v>View Full Record in Web of Science</v>
      </c>
    </row>
    <row r="36" spans="1:72" x14ac:dyDescent="0.15">
      <c r="A36" t="s">
        <v>72</v>
      </c>
      <c r="B36" t="s">
        <v>832</v>
      </c>
      <c r="C36" t="s">
        <v>74</v>
      </c>
      <c r="D36" t="s">
        <v>74</v>
      </c>
      <c r="E36" t="s">
        <v>74</v>
      </c>
      <c r="F36" t="s">
        <v>833</v>
      </c>
      <c r="G36" t="s">
        <v>74</v>
      </c>
      <c r="H36" t="s">
        <v>74</v>
      </c>
      <c r="I36" t="s">
        <v>834</v>
      </c>
      <c r="J36" t="s">
        <v>797</v>
      </c>
      <c r="K36" t="s">
        <v>74</v>
      </c>
      <c r="L36" t="s">
        <v>74</v>
      </c>
      <c r="M36" t="s">
        <v>78</v>
      </c>
      <c r="N36" t="s">
        <v>79</v>
      </c>
      <c r="O36" t="s">
        <v>74</v>
      </c>
      <c r="P36" t="s">
        <v>74</v>
      </c>
      <c r="Q36" t="s">
        <v>74</v>
      </c>
      <c r="R36" t="s">
        <v>74</v>
      </c>
      <c r="S36" t="s">
        <v>74</v>
      </c>
      <c r="T36" t="s">
        <v>835</v>
      </c>
      <c r="U36" t="s">
        <v>836</v>
      </c>
      <c r="V36" t="s">
        <v>837</v>
      </c>
      <c r="W36" t="s">
        <v>838</v>
      </c>
      <c r="X36" t="s">
        <v>839</v>
      </c>
      <c r="Y36" t="s">
        <v>840</v>
      </c>
      <c r="Z36" t="s">
        <v>841</v>
      </c>
      <c r="AA36" t="s">
        <v>74</v>
      </c>
      <c r="AB36" t="s">
        <v>74</v>
      </c>
      <c r="AC36" t="s">
        <v>842</v>
      </c>
      <c r="AD36" t="s">
        <v>843</v>
      </c>
      <c r="AE36" t="s">
        <v>844</v>
      </c>
      <c r="AF36" t="s">
        <v>74</v>
      </c>
      <c r="AG36">
        <v>31</v>
      </c>
      <c r="AH36">
        <v>18</v>
      </c>
      <c r="AI36">
        <v>20</v>
      </c>
      <c r="AJ36">
        <v>1</v>
      </c>
      <c r="AK36">
        <v>39</v>
      </c>
      <c r="AL36" t="s">
        <v>390</v>
      </c>
      <c r="AM36" t="s">
        <v>391</v>
      </c>
      <c r="AN36" t="s">
        <v>392</v>
      </c>
      <c r="AO36" t="s">
        <v>806</v>
      </c>
      <c r="AP36" t="s">
        <v>807</v>
      </c>
      <c r="AQ36" t="s">
        <v>74</v>
      </c>
      <c r="AR36" t="s">
        <v>808</v>
      </c>
      <c r="AS36" t="s">
        <v>809</v>
      </c>
      <c r="AT36" t="s">
        <v>99</v>
      </c>
      <c r="AU36">
        <v>2013</v>
      </c>
      <c r="AV36">
        <v>25</v>
      </c>
      <c r="AW36">
        <v>4</v>
      </c>
      <c r="AX36" t="s">
        <v>74</v>
      </c>
      <c r="AY36" t="s">
        <v>74</v>
      </c>
      <c r="AZ36" t="s">
        <v>74</v>
      </c>
      <c r="BA36" t="s">
        <v>74</v>
      </c>
      <c r="BB36">
        <v>531</v>
      </c>
      <c r="BC36">
        <v>535</v>
      </c>
      <c r="BD36" t="s">
        <v>74</v>
      </c>
      <c r="BE36" t="s">
        <v>845</v>
      </c>
      <c r="BF36" t="str">
        <f>HYPERLINK("http://dx.doi.org/10.1017/S0954102012001174","http://dx.doi.org/10.1017/S0954102012001174")</f>
        <v>http://dx.doi.org/10.1017/S0954102012001174</v>
      </c>
      <c r="BG36" t="s">
        <v>74</v>
      </c>
      <c r="BH36" t="s">
        <v>74</v>
      </c>
      <c r="BI36">
        <v>5</v>
      </c>
      <c r="BJ36" t="s">
        <v>811</v>
      </c>
      <c r="BK36" t="s">
        <v>102</v>
      </c>
      <c r="BL36" t="s">
        <v>812</v>
      </c>
      <c r="BM36" t="s">
        <v>813</v>
      </c>
      <c r="BN36" t="s">
        <v>74</v>
      </c>
      <c r="BO36" t="s">
        <v>74</v>
      </c>
      <c r="BP36" t="s">
        <v>74</v>
      </c>
      <c r="BQ36" t="s">
        <v>74</v>
      </c>
      <c r="BR36" t="s">
        <v>105</v>
      </c>
      <c r="BS36" t="s">
        <v>846</v>
      </c>
      <c r="BT36" t="str">
        <f>HYPERLINK("https%3A%2F%2Fwww.webofscience.com%2Fwos%2Fwoscc%2Ffull-record%2FWOS:000321760000005","View Full Record in Web of Science")</f>
        <v>View Full Record in Web of Science</v>
      </c>
    </row>
    <row r="37" spans="1:72" x14ac:dyDescent="0.15">
      <c r="A37" t="s">
        <v>72</v>
      </c>
      <c r="B37" t="s">
        <v>847</v>
      </c>
      <c r="C37" t="s">
        <v>74</v>
      </c>
      <c r="D37" t="s">
        <v>74</v>
      </c>
      <c r="E37" t="s">
        <v>74</v>
      </c>
      <c r="F37" t="s">
        <v>848</v>
      </c>
      <c r="G37" t="s">
        <v>74</v>
      </c>
      <c r="H37" t="s">
        <v>74</v>
      </c>
      <c r="I37" t="s">
        <v>849</v>
      </c>
      <c r="J37" t="s">
        <v>797</v>
      </c>
      <c r="K37" t="s">
        <v>74</v>
      </c>
      <c r="L37" t="s">
        <v>74</v>
      </c>
      <c r="M37" t="s">
        <v>78</v>
      </c>
      <c r="N37" t="s">
        <v>79</v>
      </c>
      <c r="O37" t="s">
        <v>74</v>
      </c>
      <c r="P37" t="s">
        <v>74</v>
      </c>
      <c r="Q37" t="s">
        <v>74</v>
      </c>
      <c r="R37" t="s">
        <v>74</v>
      </c>
      <c r="S37" t="s">
        <v>74</v>
      </c>
      <c r="T37" t="s">
        <v>850</v>
      </c>
      <c r="U37" t="s">
        <v>851</v>
      </c>
      <c r="V37" t="s">
        <v>852</v>
      </c>
      <c r="W37" t="s">
        <v>853</v>
      </c>
      <c r="X37" t="s">
        <v>854</v>
      </c>
      <c r="Y37" t="s">
        <v>855</v>
      </c>
      <c r="Z37" t="s">
        <v>856</v>
      </c>
      <c r="AA37" t="s">
        <v>857</v>
      </c>
      <c r="AB37" t="s">
        <v>858</v>
      </c>
      <c r="AC37" t="s">
        <v>74</v>
      </c>
      <c r="AD37" t="s">
        <v>74</v>
      </c>
      <c r="AE37" t="s">
        <v>74</v>
      </c>
      <c r="AF37" t="s">
        <v>74</v>
      </c>
      <c r="AG37">
        <v>43</v>
      </c>
      <c r="AH37">
        <v>7</v>
      </c>
      <c r="AI37">
        <v>7</v>
      </c>
      <c r="AJ37">
        <v>0</v>
      </c>
      <c r="AK37">
        <v>21</v>
      </c>
      <c r="AL37" t="s">
        <v>390</v>
      </c>
      <c r="AM37" t="s">
        <v>391</v>
      </c>
      <c r="AN37" t="s">
        <v>392</v>
      </c>
      <c r="AO37" t="s">
        <v>806</v>
      </c>
      <c r="AP37" t="s">
        <v>807</v>
      </c>
      <c r="AQ37" t="s">
        <v>74</v>
      </c>
      <c r="AR37" t="s">
        <v>808</v>
      </c>
      <c r="AS37" t="s">
        <v>809</v>
      </c>
      <c r="AT37" t="s">
        <v>99</v>
      </c>
      <c r="AU37">
        <v>2013</v>
      </c>
      <c r="AV37">
        <v>25</v>
      </c>
      <c r="AW37">
        <v>4</v>
      </c>
      <c r="AX37" t="s">
        <v>74</v>
      </c>
      <c r="AY37" t="s">
        <v>74</v>
      </c>
      <c r="AZ37" t="s">
        <v>74</v>
      </c>
      <c r="BA37" t="s">
        <v>74</v>
      </c>
      <c r="BB37">
        <v>565</v>
      </c>
      <c r="BC37">
        <v>574</v>
      </c>
      <c r="BD37" t="s">
        <v>74</v>
      </c>
      <c r="BE37" t="s">
        <v>859</v>
      </c>
      <c r="BF37" t="str">
        <f>HYPERLINK("http://dx.doi.org/10.1017/S0954102012001186","http://dx.doi.org/10.1017/S0954102012001186")</f>
        <v>http://dx.doi.org/10.1017/S0954102012001186</v>
      </c>
      <c r="BG37" t="s">
        <v>74</v>
      </c>
      <c r="BH37" t="s">
        <v>74</v>
      </c>
      <c r="BI37">
        <v>10</v>
      </c>
      <c r="BJ37" t="s">
        <v>811</v>
      </c>
      <c r="BK37" t="s">
        <v>102</v>
      </c>
      <c r="BL37" t="s">
        <v>812</v>
      </c>
      <c r="BM37" t="s">
        <v>813</v>
      </c>
      <c r="BN37" t="s">
        <v>74</v>
      </c>
      <c r="BO37" t="s">
        <v>74</v>
      </c>
      <c r="BP37" t="s">
        <v>74</v>
      </c>
      <c r="BQ37" t="s">
        <v>74</v>
      </c>
      <c r="BR37" t="s">
        <v>105</v>
      </c>
      <c r="BS37" t="s">
        <v>860</v>
      </c>
      <c r="BT37" t="str">
        <f>HYPERLINK("https%3A%2F%2Fwww.webofscience.com%2Fwos%2Fwoscc%2Ffull-record%2FWOS:000321760000009","View Full Record in Web of Science")</f>
        <v>View Full Record in Web of Science</v>
      </c>
    </row>
    <row r="38" spans="1:72" x14ac:dyDescent="0.15">
      <c r="A38" t="s">
        <v>72</v>
      </c>
      <c r="B38" t="s">
        <v>861</v>
      </c>
      <c r="C38" t="s">
        <v>74</v>
      </c>
      <c r="D38" t="s">
        <v>74</v>
      </c>
      <c r="E38" t="s">
        <v>74</v>
      </c>
      <c r="F38" t="s">
        <v>862</v>
      </c>
      <c r="G38" t="s">
        <v>74</v>
      </c>
      <c r="H38" t="s">
        <v>74</v>
      </c>
      <c r="I38" t="s">
        <v>863</v>
      </c>
      <c r="J38" t="s">
        <v>797</v>
      </c>
      <c r="K38" t="s">
        <v>74</v>
      </c>
      <c r="L38" t="s">
        <v>74</v>
      </c>
      <c r="M38" t="s">
        <v>78</v>
      </c>
      <c r="N38" t="s">
        <v>79</v>
      </c>
      <c r="O38" t="s">
        <v>74</v>
      </c>
      <c r="P38" t="s">
        <v>74</v>
      </c>
      <c r="Q38" t="s">
        <v>74</v>
      </c>
      <c r="R38" t="s">
        <v>74</v>
      </c>
      <c r="S38" t="s">
        <v>74</v>
      </c>
      <c r="T38" t="s">
        <v>864</v>
      </c>
      <c r="U38" t="s">
        <v>865</v>
      </c>
      <c r="V38" t="s">
        <v>866</v>
      </c>
      <c r="W38" t="s">
        <v>867</v>
      </c>
      <c r="X38" t="s">
        <v>868</v>
      </c>
      <c r="Y38" t="s">
        <v>869</v>
      </c>
      <c r="Z38" t="s">
        <v>870</v>
      </c>
      <c r="AA38" t="s">
        <v>871</v>
      </c>
      <c r="AB38" t="s">
        <v>872</v>
      </c>
      <c r="AC38" t="s">
        <v>873</v>
      </c>
      <c r="AD38" t="s">
        <v>874</v>
      </c>
      <c r="AE38" t="s">
        <v>875</v>
      </c>
      <c r="AF38" t="s">
        <v>74</v>
      </c>
      <c r="AG38">
        <v>38</v>
      </c>
      <c r="AH38">
        <v>22</v>
      </c>
      <c r="AI38">
        <v>23</v>
      </c>
      <c r="AJ38">
        <v>1</v>
      </c>
      <c r="AK38">
        <v>22</v>
      </c>
      <c r="AL38" t="s">
        <v>390</v>
      </c>
      <c r="AM38" t="s">
        <v>391</v>
      </c>
      <c r="AN38" t="s">
        <v>392</v>
      </c>
      <c r="AO38" t="s">
        <v>806</v>
      </c>
      <c r="AP38" t="s">
        <v>807</v>
      </c>
      <c r="AQ38" t="s">
        <v>74</v>
      </c>
      <c r="AR38" t="s">
        <v>808</v>
      </c>
      <c r="AS38" t="s">
        <v>809</v>
      </c>
      <c r="AT38" t="s">
        <v>99</v>
      </c>
      <c r="AU38">
        <v>2013</v>
      </c>
      <c r="AV38">
        <v>25</v>
      </c>
      <c r="AW38">
        <v>4</v>
      </c>
      <c r="AX38" t="s">
        <v>74</v>
      </c>
      <c r="AY38" t="s">
        <v>74</v>
      </c>
      <c r="AZ38" t="s">
        <v>74</v>
      </c>
      <c r="BA38" t="s">
        <v>74</v>
      </c>
      <c r="BB38">
        <v>575</v>
      </c>
      <c r="BC38">
        <v>582</v>
      </c>
      <c r="BD38" t="s">
        <v>74</v>
      </c>
      <c r="BE38" t="s">
        <v>876</v>
      </c>
      <c r="BF38" t="str">
        <f>HYPERLINK("http://dx.doi.org/10.1017/S095410201200123X","http://dx.doi.org/10.1017/S095410201200123X")</f>
        <v>http://dx.doi.org/10.1017/S095410201200123X</v>
      </c>
      <c r="BG38" t="s">
        <v>74</v>
      </c>
      <c r="BH38" t="s">
        <v>74</v>
      </c>
      <c r="BI38">
        <v>8</v>
      </c>
      <c r="BJ38" t="s">
        <v>811</v>
      </c>
      <c r="BK38" t="s">
        <v>102</v>
      </c>
      <c r="BL38" t="s">
        <v>812</v>
      </c>
      <c r="BM38" t="s">
        <v>813</v>
      </c>
      <c r="BN38" t="s">
        <v>74</v>
      </c>
      <c r="BO38" t="s">
        <v>74</v>
      </c>
      <c r="BP38" t="s">
        <v>74</v>
      </c>
      <c r="BQ38" t="s">
        <v>74</v>
      </c>
      <c r="BR38" t="s">
        <v>105</v>
      </c>
      <c r="BS38" t="s">
        <v>877</v>
      </c>
      <c r="BT38" t="str">
        <f>HYPERLINK("https%3A%2F%2Fwww.webofscience.com%2Fwos%2Fwoscc%2Ffull-record%2FWOS:000321760000010","View Full Record in Web of Science")</f>
        <v>View Full Record in Web of Science</v>
      </c>
    </row>
    <row r="39" spans="1:72" x14ac:dyDescent="0.15">
      <c r="A39" t="s">
        <v>72</v>
      </c>
      <c r="B39" t="s">
        <v>878</v>
      </c>
      <c r="C39" t="s">
        <v>74</v>
      </c>
      <c r="D39" t="s">
        <v>74</v>
      </c>
      <c r="E39" t="s">
        <v>74</v>
      </c>
      <c r="F39" t="s">
        <v>879</v>
      </c>
      <c r="G39" t="s">
        <v>74</v>
      </c>
      <c r="H39" t="s">
        <v>74</v>
      </c>
      <c r="I39" t="s">
        <v>880</v>
      </c>
      <c r="J39" t="s">
        <v>797</v>
      </c>
      <c r="K39" t="s">
        <v>74</v>
      </c>
      <c r="L39" t="s">
        <v>74</v>
      </c>
      <c r="M39" t="s">
        <v>78</v>
      </c>
      <c r="N39" t="s">
        <v>79</v>
      </c>
      <c r="O39" t="s">
        <v>74</v>
      </c>
      <c r="P39" t="s">
        <v>74</v>
      </c>
      <c r="Q39" t="s">
        <v>74</v>
      </c>
      <c r="R39" t="s">
        <v>74</v>
      </c>
      <c r="S39" t="s">
        <v>74</v>
      </c>
      <c r="T39" t="s">
        <v>881</v>
      </c>
      <c r="U39" t="s">
        <v>882</v>
      </c>
      <c r="V39" t="s">
        <v>883</v>
      </c>
      <c r="W39" t="s">
        <v>884</v>
      </c>
      <c r="X39" t="s">
        <v>885</v>
      </c>
      <c r="Y39" t="s">
        <v>886</v>
      </c>
      <c r="Z39" t="s">
        <v>887</v>
      </c>
      <c r="AA39" t="s">
        <v>74</v>
      </c>
      <c r="AB39" t="s">
        <v>888</v>
      </c>
      <c r="AC39" t="s">
        <v>74</v>
      </c>
      <c r="AD39" t="s">
        <v>74</v>
      </c>
      <c r="AE39" t="s">
        <v>74</v>
      </c>
      <c r="AF39" t="s">
        <v>74</v>
      </c>
      <c r="AG39">
        <v>31</v>
      </c>
      <c r="AH39">
        <v>2</v>
      </c>
      <c r="AI39">
        <v>3</v>
      </c>
      <c r="AJ39">
        <v>1</v>
      </c>
      <c r="AK39">
        <v>24</v>
      </c>
      <c r="AL39" t="s">
        <v>390</v>
      </c>
      <c r="AM39" t="s">
        <v>391</v>
      </c>
      <c r="AN39" t="s">
        <v>392</v>
      </c>
      <c r="AO39" t="s">
        <v>806</v>
      </c>
      <c r="AP39" t="s">
        <v>807</v>
      </c>
      <c r="AQ39" t="s">
        <v>74</v>
      </c>
      <c r="AR39" t="s">
        <v>808</v>
      </c>
      <c r="AS39" t="s">
        <v>809</v>
      </c>
      <c r="AT39" t="s">
        <v>99</v>
      </c>
      <c r="AU39">
        <v>2013</v>
      </c>
      <c r="AV39">
        <v>25</v>
      </c>
      <c r="AW39">
        <v>4</v>
      </c>
      <c r="AX39" t="s">
        <v>74</v>
      </c>
      <c r="AY39" t="s">
        <v>74</v>
      </c>
      <c r="AZ39" t="s">
        <v>74</v>
      </c>
      <c r="BA39" t="s">
        <v>74</v>
      </c>
      <c r="BB39">
        <v>583</v>
      </c>
      <c r="BC39">
        <v>599</v>
      </c>
      <c r="BD39" t="s">
        <v>74</v>
      </c>
      <c r="BE39" t="s">
        <v>889</v>
      </c>
      <c r="BF39" t="str">
        <f>HYPERLINK("http://dx.doi.org/10.1017/S0954102013000011","http://dx.doi.org/10.1017/S0954102013000011")</f>
        <v>http://dx.doi.org/10.1017/S0954102013000011</v>
      </c>
      <c r="BG39" t="s">
        <v>74</v>
      </c>
      <c r="BH39" t="s">
        <v>74</v>
      </c>
      <c r="BI39">
        <v>17</v>
      </c>
      <c r="BJ39" t="s">
        <v>811</v>
      </c>
      <c r="BK39" t="s">
        <v>102</v>
      </c>
      <c r="BL39" t="s">
        <v>812</v>
      </c>
      <c r="BM39" t="s">
        <v>813</v>
      </c>
      <c r="BN39" t="s">
        <v>74</v>
      </c>
      <c r="BO39" t="s">
        <v>74</v>
      </c>
      <c r="BP39" t="s">
        <v>74</v>
      </c>
      <c r="BQ39" t="s">
        <v>74</v>
      </c>
      <c r="BR39" t="s">
        <v>105</v>
      </c>
      <c r="BS39" t="s">
        <v>890</v>
      </c>
      <c r="BT39" t="str">
        <f>HYPERLINK("https%3A%2F%2Fwww.webofscience.com%2Fwos%2Fwoscc%2Ffull-record%2FWOS:000321760000011","View Full Record in Web of Science")</f>
        <v>View Full Record in Web of Science</v>
      </c>
    </row>
    <row r="40" spans="1:72" x14ac:dyDescent="0.15">
      <c r="A40" t="s">
        <v>72</v>
      </c>
      <c r="B40" t="s">
        <v>891</v>
      </c>
      <c r="C40" t="s">
        <v>74</v>
      </c>
      <c r="D40" t="s">
        <v>74</v>
      </c>
      <c r="E40" t="s">
        <v>74</v>
      </c>
      <c r="F40" t="s">
        <v>892</v>
      </c>
      <c r="G40" t="s">
        <v>74</v>
      </c>
      <c r="H40" t="s">
        <v>74</v>
      </c>
      <c r="I40" t="s">
        <v>893</v>
      </c>
      <c r="J40" t="s">
        <v>894</v>
      </c>
      <c r="K40" t="s">
        <v>74</v>
      </c>
      <c r="L40" t="s">
        <v>74</v>
      </c>
      <c r="M40" t="s">
        <v>78</v>
      </c>
      <c r="N40" t="s">
        <v>79</v>
      </c>
      <c r="O40" t="s">
        <v>74</v>
      </c>
      <c r="P40" t="s">
        <v>74</v>
      </c>
      <c r="Q40" t="s">
        <v>74</v>
      </c>
      <c r="R40" t="s">
        <v>74</v>
      </c>
      <c r="S40" t="s">
        <v>74</v>
      </c>
      <c r="T40" t="s">
        <v>895</v>
      </c>
      <c r="U40" t="s">
        <v>896</v>
      </c>
      <c r="V40" t="s">
        <v>897</v>
      </c>
      <c r="W40" t="s">
        <v>898</v>
      </c>
      <c r="X40" t="s">
        <v>899</v>
      </c>
      <c r="Y40" t="s">
        <v>900</v>
      </c>
      <c r="Z40" t="s">
        <v>901</v>
      </c>
      <c r="AA40" t="s">
        <v>74</v>
      </c>
      <c r="AB40" t="s">
        <v>902</v>
      </c>
      <c r="AC40" t="s">
        <v>903</v>
      </c>
      <c r="AD40" t="s">
        <v>904</v>
      </c>
      <c r="AE40" t="s">
        <v>905</v>
      </c>
      <c r="AF40" t="s">
        <v>74</v>
      </c>
      <c r="AG40">
        <v>45</v>
      </c>
      <c r="AH40">
        <v>12</v>
      </c>
      <c r="AI40">
        <v>13</v>
      </c>
      <c r="AJ40">
        <v>0</v>
      </c>
      <c r="AK40">
        <v>4</v>
      </c>
      <c r="AL40" t="s">
        <v>906</v>
      </c>
      <c r="AM40" t="s">
        <v>643</v>
      </c>
      <c r="AN40" t="s">
        <v>907</v>
      </c>
      <c r="AO40" t="s">
        <v>908</v>
      </c>
      <c r="AP40" t="s">
        <v>909</v>
      </c>
      <c r="AQ40" t="s">
        <v>74</v>
      </c>
      <c r="AR40" t="s">
        <v>910</v>
      </c>
      <c r="AS40" t="s">
        <v>911</v>
      </c>
      <c r="AT40" t="s">
        <v>99</v>
      </c>
      <c r="AU40">
        <v>2013</v>
      </c>
      <c r="AV40">
        <v>44</v>
      </c>
      <c r="AW40" t="s">
        <v>74</v>
      </c>
      <c r="AX40" t="s">
        <v>74</v>
      </c>
      <c r="AY40" t="s">
        <v>74</v>
      </c>
      <c r="AZ40" t="s">
        <v>74</v>
      </c>
      <c r="BA40" t="s">
        <v>74</v>
      </c>
      <c r="BB40">
        <v>214</v>
      </c>
      <c r="BC40">
        <v>222</v>
      </c>
      <c r="BD40" t="s">
        <v>74</v>
      </c>
      <c r="BE40" t="s">
        <v>912</v>
      </c>
      <c r="BF40" t="str">
        <f>HYPERLINK("http://dx.doi.org/10.1016/j.cretres.2013.04.011","http://dx.doi.org/10.1016/j.cretres.2013.04.011")</f>
        <v>http://dx.doi.org/10.1016/j.cretres.2013.04.011</v>
      </c>
      <c r="BG40" t="s">
        <v>74</v>
      </c>
      <c r="BH40" t="s">
        <v>74</v>
      </c>
      <c r="BI40">
        <v>9</v>
      </c>
      <c r="BJ40" t="s">
        <v>913</v>
      </c>
      <c r="BK40" t="s">
        <v>102</v>
      </c>
      <c r="BL40" t="s">
        <v>913</v>
      </c>
      <c r="BM40" t="s">
        <v>914</v>
      </c>
      <c r="BN40" t="s">
        <v>74</v>
      </c>
      <c r="BO40" t="s">
        <v>426</v>
      </c>
      <c r="BP40" t="s">
        <v>74</v>
      </c>
      <c r="BQ40" t="s">
        <v>74</v>
      </c>
      <c r="BR40" t="s">
        <v>105</v>
      </c>
      <c r="BS40" t="s">
        <v>915</v>
      </c>
      <c r="BT40" t="str">
        <f>HYPERLINK("https%3A%2F%2Fwww.webofscience.com%2Fwos%2Fwoscc%2Ffull-record%2FWOS:000321315800017","View Full Record in Web of Science")</f>
        <v>View Full Record in Web of Science</v>
      </c>
    </row>
    <row r="41" spans="1:72" x14ac:dyDescent="0.15">
      <c r="A41" t="s">
        <v>72</v>
      </c>
      <c r="B41" t="s">
        <v>916</v>
      </c>
      <c r="C41" t="s">
        <v>74</v>
      </c>
      <c r="D41" t="s">
        <v>74</v>
      </c>
      <c r="E41" t="s">
        <v>74</v>
      </c>
      <c r="F41" t="s">
        <v>917</v>
      </c>
      <c r="G41" t="s">
        <v>74</v>
      </c>
      <c r="H41" t="s">
        <v>74</v>
      </c>
      <c r="I41" t="s">
        <v>918</v>
      </c>
      <c r="J41" t="s">
        <v>919</v>
      </c>
      <c r="K41" t="s">
        <v>74</v>
      </c>
      <c r="L41" t="s">
        <v>74</v>
      </c>
      <c r="M41" t="s">
        <v>78</v>
      </c>
      <c r="N41" t="s">
        <v>79</v>
      </c>
      <c r="O41" t="s">
        <v>74</v>
      </c>
      <c r="P41" t="s">
        <v>74</v>
      </c>
      <c r="Q41" t="s">
        <v>74</v>
      </c>
      <c r="R41" t="s">
        <v>74</v>
      </c>
      <c r="S41" t="s">
        <v>74</v>
      </c>
      <c r="T41" t="s">
        <v>920</v>
      </c>
      <c r="U41" t="s">
        <v>921</v>
      </c>
      <c r="V41" t="s">
        <v>922</v>
      </c>
      <c r="W41" t="s">
        <v>923</v>
      </c>
      <c r="X41" t="s">
        <v>924</v>
      </c>
      <c r="Y41" t="s">
        <v>925</v>
      </c>
      <c r="Z41" t="s">
        <v>926</v>
      </c>
      <c r="AA41" t="s">
        <v>927</v>
      </c>
      <c r="AB41" t="s">
        <v>74</v>
      </c>
      <c r="AC41" t="s">
        <v>928</v>
      </c>
      <c r="AD41" t="s">
        <v>929</v>
      </c>
      <c r="AE41" t="s">
        <v>930</v>
      </c>
      <c r="AF41" t="s">
        <v>74</v>
      </c>
      <c r="AG41">
        <v>35</v>
      </c>
      <c r="AH41">
        <v>10</v>
      </c>
      <c r="AI41">
        <v>12</v>
      </c>
      <c r="AJ41">
        <v>1</v>
      </c>
      <c r="AK41">
        <v>29</v>
      </c>
      <c r="AL41" t="s">
        <v>506</v>
      </c>
      <c r="AM41" t="s">
        <v>442</v>
      </c>
      <c r="AN41" t="s">
        <v>507</v>
      </c>
      <c r="AO41" t="s">
        <v>931</v>
      </c>
      <c r="AP41" t="s">
        <v>932</v>
      </c>
      <c r="AQ41" t="s">
        <v>74</v>
      </c>
      <c r="AR41" t="s">
        <v>933</v>
      </c>
      <c r="AS41" t="s">
        <v>934</v>
      </c>
      <c r="AT41" t="s">
        <v>99</v>
      </c>
      <c r="AU41">
        <v>2013</v>
      </c>
      <c r="AV41">
        <v>92</v>
      </c>
      <c r="AW41" t="s">
        <v>74</v>
      </c>
      <c r="AX41" t="s">
        <v>74</v>
      </c>
      <c r="AY41" t="s">
        <v>74</v>
      </c>
      <c r="AZ41" t="s">
        <v>935</v>
      </c>
      <c r="BA41" t="s">
        <v>74</v>
      </c>
      <c r="BB41">
        <v>201</v>
      </c>
      <c r="BC41">
        <v>206</v>
      </c>
      <c r="BD41" t="s">
        <v>74</v>
      </c>
      <c r="BE41" t="s">
        <v>936</v>
      </c>
      <c r="BF41" t="str">
        <f>HYPERLINK("http://dx.doi.org/10.1016/j.dsr2.2013.03.006","http://dx.doi.org/10.1016/j.dsr2.2013.03.006")</f>
        <v>http://dx.doi.org/10.1016/j.dsr2.2013.03.006</v>
      </c>
      <c r="BG41" t="s">
        <v>74</v>
      </c>
      <c r="BH41" t="s">
        <v>74</v>
      </c>
      <c r="BI41">
        <v>6</v>
      </c>
      <c r="BJ41" t="s">
        <v>327</v>
      </c>
      <c r="BK41" t="s">
        <v>102</v>
      </c>
      <c r="BL41" t="s">
        <v>327</v>
      </c>
      <c r="BM41" t="s">
        <v>937</v>
      </c>
      <c r="BN41" t="s">
        <v>74</v>
      </c>
      <c r="BO41" t="s">
        <v>74</v>
      </c>
      <c r="BP41" t="s">
        <v>74</v>
      </c>
      <c r="BQ41" t="s">
        <v>74</v>
      </c>
      <c r="BR41" t="s">
        <v>105</v>
      </c>
      <c r="BS41" t="s">
        <v>938</v>
      </c>
      <c r="BT41" t="str">
        <f>HYPERLINK("https%3A%2F%2Fwww.webofscience.com%2Fwos%2Fwoscc%2Ffull-record%2FWOS:000321177000023","View Full Record in Web of Science")</f>
        <v>View Full Record in Web of Science</v>
      </c>
    </row>
    <row r="42" spans="1:72" x14ac:dyDescent="0.15">
      <c r="A42" t="s">
        <v>72</v>
      </c>
      <c r="B42" t="s">
        <v>939</v>
      </c>
      <c r="C42" t="s">
        <v>74</v>
      </c>
      <c r="D42" t="s">
        <v>74</v>
      </c>
      <c r="E42" t="s">
        <v>74</v>
      </c>
      <c r="F42" t="s">
        <v>940</v>
      </c>
      <c r="G42" t="s">
        <v>74</v>
      </c>
      <c r="H42" t="s">
        <v>74</v>
      </c>
      <c r="I42" t="s">
        <v>941</v>
      </c>
      <c r="J42" t="s">
        <v>942</v>
      </c>
      <c r="K42" t="s">
        <v>74</v>
      </c>
      <c r="L42" t="s">
        <v>74</v>
      </c>
      <c r="M42" t="s">
        <v>78</v>
      </c>
      <c r="N42" t="s">
        <v>79</v>
      </c>
      <c r="O42" t="s">
        <v>74</v>
      </c>
      <c r="P42" t="s">
        <v>74</v>
      </c>
      <c r="Q42" t="s">
        <v>74</v>
      </c>
      <c r="R42" t="s">
        <v>74</v>
      </c>
      <c r="S42" t="s">
        <v>74</v>
      </c>
      <c r="T42" t="s">
        <v>943</v>
      </c>
      <c r="U42" t="s">
        <v>944</v>
      </c>
      <c r="V42" t="s">
        <v>945</v>
      </c>
      <c r="W42" t="s">
        <v>946</v>
      </c>
      <c r="X42" t="s">
        <v>947</v>
      </c>
      <c r="Y42" t="s">
        <v>948</v>
      </c>
      <c r="Z42" t="s">
        <v>949</v>
      </c>
      <c r="AA42" t="s">
        <v>74</v>
      </c>
      <c r="AB42" t="s">
        <v>950</v>
      </c>
      <c r="AC42" t="s">
        <v>951</v>
      </c>
      <c r="AD42" t="s">
        <v>952</v>
      </c>
      <c r="AE42" t="s">
        <v>953</v>
      </c>
      <c r="AF42" t="s">
        <v>74</v>
      </c>
      <c r="AG42">
        <v>24</v>
      </c>
      <c r="AH42">
        <v>10</v>
      </c>
      <c r="AI42">
        <v>15</v>
      </c>
      <c r="AJ42">
        <v>1</v>
      </c>
      <c r="AK42">
        <v>40</v>
      </c>
      <c r="AL42" t="s">
        <v>954</v>
      </c>
      <c r="AM42" t="s">
        <v>955</v>
      </c>
      <c r="AN42" t="s">
        <v>956</v>
      </c>
      <c r="AO42" t="s">
        <v>957</v>
      </c>
      <c r="AP42" t="s">
        <v>958</v>
      </c>
      <c r="AQ42" t="s">
        <v>74</v>
      </c>
      <c r="AR42" t="s">
        <v>942</v>
      </c>
      <c r="AS42" t="s">
        <v>959</v>
      </c>
      <c r="AT42" t="s">
        <v>99</v>
      </c>
      <c r="AU42">
        <v>2013</v>
      </c>
      <c r="AV42">
        <v>225</v>
      </c>
      <c r="AW42">
        <v>2</v>
      </c>
      <c r="AX42" t="s">
        <v>74</v>
      </c>
      <c r="AY42" t="s">
        <v>74</v>
      </c>
      <c r="AZ42" t="s">
        <v>74</v>
      </c>
      <c r="BA42" t="s">
        <v>74</v>
      </c>
      <c r="BB42">
        <v>933</v>
      </c>
      <c r="BC42">
        <v>939</v>
      </c>
      <c r="BD42" t="s">
        <v>74</v>
      </c>
      <c r="BE42" t="s">
        <v>960</v>
      </c>
      <c r="BF42" t="str">
        <f>HYPERLINK("http://dx.doi.org/10.1016/j.icarus.2012.08.040","http://dx.doi.org/10.1016/j.icarus.2012.08.040")</f>
        <v>http://dx.doi.org/10.1016/j.icarus.2012.08.040</v>
      </c>
      <c r="BG42" t="s">
        <v>74</v>
      </c>
      <c r="BH42" t="s">
        <v>74</v>
      </c>
      <c r="BI42">
        <v>7</v>
      </c>
      <c r="BJ42" t="s">
        <v>101</v>
      </c>
      <c r="BK42" t="s">
        <v>102</v>
      </c>
      <c r="BL42" t="s">
        <v>101</v>
      </c>
      <c r="BM42" t="s">
        <v>961</v>
      </c>
      <c r="BN42" t="s">
        <v>74</v>
      </c>
      <c r="BO42" t="s">
        <v>74</v>
      </c>
      <c r="BP42" t="s">
        <v>74</v>
      </c>
      <c r="BQ42" t="s">
        <v>74</v>
      </c>
      <c r="BR42" t="s">
        <v>105</v>
      </c>
      <c r="BS42" t="s">
        <v>962</v>
      </c>
      <c r="BT42" t="str">
        <f>HYPERLINK("https%3A%2F%2Fwww.webofscience.com%2Fwos%2Fwoscc%2Ffull-record%2FWOS:000321802400007","View Full Record in Web of Science")</f>
        <v>View Full Record in Web of Science</v>
      </c>
    </row>
    <row r="43" spans="1:72" x14ac:dyDescent="0.15">
      <c r="A43" t="s">
        <v>72</v>
      </c>
      <c r="B43" t="s">
        <v>963</v>
      </c>
      <c r="C43" t="s">
        <v>74</v>
      </c>
      <c r="D43" t="s">
        <v>74</v>
      </c>
      <c r="E43" t="s">
        <v>74</v>
      </c>
      <c r="F43" t="s">
        <v>964</v>
      </c>
      <c r="G43" t="s">
        <v>74</v>
      </c>
      <c r="H43" t="s">
        <v>74</v>
      </c>
      <c r="I43" t="s">
        <v>965</v>
      </c>
      <c r="J43" t="s">
        <v>966</v>
      </c>
      <c r="K43" t="s">
        <v>74</v>
      </c>
      <c r="L43" t="s">
        <v>74</v>
      </c>
      <c r="M43" t="s">
        <v>78</v>
      </c>
      <c r="N43" t="s">
        <v>79</v>
      </c>
      <c r="O43" t="s">
        <v>74</v>
      </c>
      <c r="P43" t="s">
        <v>74</v>
      </c>
      <c r="Q43" t="s">
        <v>74</v>
      </c>
      <c r="R43" t="s">
        <v>74</v>
      </c>
      <c r="S43" t="s">
        <v>74</v>
      </c>
      <c r="T43" t="s">
        <v>967</v>
      </c>
      <c r="U43" t="s">
        <v>968</v>
      </c>
      <c r="V43" t="s">
        <v>969</v>
      </c>
      <c r="W43" t="s">
        <v>970</v>
      </c>
      <c r="X43" t="s">
        <v>971</v>
      </c>
      <c r="Y43" t="s">
        <v>972</v>
      </c>
      <c r="Z43" t="s">
        <v>973</v>
      </c>
      <c r="AA43" t="s">
        <v>974</v>
      </c>
      <c r="AB43" t="s">
        <v>975</v>
      </c>
      <c r="AC43" t="s">
        <v>976</v>
      </c>
      <c r="AD43" t="s">
        <v>977</v>
      </c>
      <c r="AE43" t="s">
        <v>978</v>
      </c>
      <c r="AF43" t="s">
        <v>74</v>
      </c>
      <c r="AG43">
        <v>65</v>
      </c>
      <c r="AH43">
        <v>19</v>
      </c>
      <c r="AI43">
        <v>27</v>
      </c>
      <c r="AJ43">
        <v>0</v>
      </c>
      <c r="AK43">
        <v>33</v>
      </c>
      <c r="AL43" t="s">
        <v>154</v>
      </c>
      <c r="AM43" t="s">
        <v>155</v>
      </c>
      <c r="AN43" t="s">
        <v>156</v>
      </c>
      <c r="AO43" t="s">
        <v>979</v>
      </c>
      <c r="AP43" t="s">
        <v>980</v>
      </c>
      <c r="AQ43" t="s">
        <v>74</v>
      </c>
      <c r="AR43" t="s">
        <v>981</v>
      </c>
      <c r="AS43" t="s">
        <v>982</v>
      </c>
      <c r="AT43" t="s">
        <v>99</v>
      </c>
      <c r="AU43">
        <v>2013</v>
      </c>
      <c r="AV43">
        <v>383</v>
      </c>
      <c r="AW43" t="s">
        <v>74</v>
      </c>
      <c r="AX43" t="s">
        <v>74</v>
      </c>
      <c r="AY43" t="s">
        <v>74</v>
      </c>
      <c r="AZ43" t="s">
        <v>74</v>
      </c>
      <c r="BA43" t="s">
        <v>74</v>
      </c>
      <c r="BB43">
        <v>72</v>
      </c>
      <c r="BC43">
        <v>78</v>
      </c>
      <c r="BD43" t="s">
        <v>74</v>
      </c>
      <c r="BE43" t="s">
        <v>983</v>
      </c>
      <c r="BF43" t="str">
        <f>HYPERLINK("http://dx.doi.org/10.1016/j.palaeo.2013.05.004","http://dx.doi.org/10.1016/j.palaeo.2013.05.004")</f>
        <v>http://dx.doi.org/10.1016/j.palaeo.2013.05.004</v>
      </c>
      <c r="BG43" t="s">
        <v>74</v>
      </c>
      <c r="BH43" t="s">
        <v>74</v>
      </c>
      <c r="BI43">
        <v>7</v>
      </c>
      <c r="BJ43" t="s">
        <v>984</v>
      </c>
      <c r="BK43" t="s">
        <v>102</v>
      </c>
      <c r="BL43" t="s">
        <v>985</v>
      </c>
      <c r="BM43" t="s">
        <v>986</v>
      </c>
      <c r="BN43" t="s">
        <v>74</v>
      </c>
      <c r="BO43" t="s">
        <v>74</v>
      </c>
      <c r="BP43" t="s">
        <v>74</v>
      </c>
      <c r="BQ43" t="s">
        <v>74</v>
      </c>
      <c r="BR43" t="s">
        <v>105</v>
      </c>
      <c r="BS43" t="s">
        <v>987</v>
      </c>
      <c r="BT43" t="str">
        <f>HYPERLINK("https%3A%2F%2Fwww.webofscience.com%2Fwos%2Fwoscc%2Ffull-record%2FWOS:000321421400007","View Full Record in Web of Science")</f>
        <v>View Full Record in Web of Science</v>
      </c>
    </row>
    <row r="44" spans="1:72" x14ac:dyDescent="0.15">
      <c r="A44" t="s">
        <v>72</v>
      </c>
      <c r="B44" t="s">
        <v>988</v>
      </c>
      <c r="C44" t="s">
        <v>74</v>
      </c>
      <c r="D44" t="s">
        <v>74</v>
      </c>
      <c r="E44" t="s">
        <v>74</v>
      </c>
      <c r="F44" t="s">
        <v>989</v>
      </c>
      <c r="G44" t="s">
        <v>74</v>
      </c>
      <c r="H44" t="s">
        <v>74</v>
      </c>
      <c r="I44" t="s">
        <v>990</v>
      </c>
      <c r="J44" t="s">
        <v>797</v>
      </c>
      <c r="K44" t="s">
        <v>74</v>
      </c>
      <c r="L44" t="s">
        <v>74</v>
      </c>
      <c r="M44" t="s">
        <v>78</v>
      </c>
      <c r="N44" t="s">
        <v>991</v>
      </c>
      <c r="O44" t="s">
        <v>74</v>
      </c>
      <c r="P44" t="s">
        <v>74</v>
      </c>
      <c r="Q44" t="s">
        <v>74</v>
      </c>
      <c r="R44" t="s">
        <v>74</v>
      </c>
      <c r="S44" t="s">
        <v>74</v>
      </c>
      <c r="T44" t="s">
        <v>74</v>
      </c>
      <c r="U44" t="s">
        <v>74</v>
      </c>
      <c r="V44" t="s">
        <v>74</v>
      </c>
      <c r="W44" t="s">
        <v>74</v>
      </c>
      <c r="X44" t="s">
        <v>74</v>
      </c>
      <c r="Y44" t="s">
        <v>74</v>
      </c>
      <c r="Z44" t="s">
        <v>74</v>
      </c>
      <c r="AA44" t="s">
        <v>992</v>
      </c>
      <c r="AB44" t="s">
        <v>993</v>
      </c>
      <c r="AC44" t="s">
        <v>994</v>
      </c>
      <c r="AD44" t="s">
        <v>995</v>
      </c>
      <c r="AE44" t="s">
        <v>74</v>
      </c>
      <c r="AF44" t="s">
        <v>74</v>
      </c>
      <c r="AG44">
        <v>0</v>
      </c>
      <c r="AH44">
        <v>7</v>
      </c>
      <c r="AI44">
        <v>7</v>
      </c>
      <c r="AJ44">
        <v>0</v>
      </c>
      <c r="AK44">
        <v>5</v>
      </c>
      <c r="AL44" t="s">
        <v>390</v>
      </c>
      <c r="AM44" t="s">
        <v>391</v>
      </c>
      <c r="AN44" t="s">
        <v>392</v>
      </c>
      <c r="AO44" t="s">
        <v>806</v>
      </c>
      <c r="AP44" t="s">
        <v>74</v>
      </c>
      <c r="AQ44" t="s">
        <v>74</v>
      </c>
      <c r="AR44" t="s">
        <v>808</v>
      </c>
      <c r="AS44" t="s">
        <v>809</v>
      </c>
      <c r="AT44" t="s">
        <v>99</v>
      </c>
      <c r="AU44">
        <v>2013</v>
      </c>
      <c r="AV44">
        <v>25</v>
      </c>
      <c r="AW44">
        <v>4</v>
      </c>
      <c r="AX44" t="s">
        <v>74</v>
      </c>
      <c r="AY44" t="s">
        <v>74</v>
      </c>
      <c r="AZ44" t="s">
        <v>74</v>
      </c>
      <c r="BA44" t="s">
        <v>74</v>
      </c>
      <c r="BB44">
        <v>473</v>
      </c>
      <c r="BC44">
        <v>473</v>
      </c>
      <c r="BD44" t="s">
        <v>74</v>
      </c>
      <c r="BE44" t="s">
        <v>996</v>
      </c>
      <c r="BF44" t="str">
        <f>HYPERLINK("http://dx.doi.org/10.1017/S0954102013000485","http://dx.doi.org/10.1017/S0954102013000485")</f>
        <v>http://dx.doi.org/10.1017/S0954102013000485</v>
      </c>
      <c r="BG44" t="s">
        <v>74</v>
      </c>
      <c r="BH44" t="s">
        <v>74</v>
      </c>
      <c r="BI44">
        <v>1</v>
      </c>
      <c r="BJ44" t="s">
        <v>811</v>
      </c>
      <c r="BK44" t="s">
        <v>102</v>
      </c>
      <c r="BL44" t="s">
        <v>812</v>
      </c>
      <c r="BM44" t="s">
        <v>813</v>
      </c>
      <c r="BN44" t="s">
        <v>74</v>
      </c>
      <c r="BO44" t="s">
        <v>997</v>
      </c>
      <c r="BP44" t="s">
        <v>74</v>
      </c>
      <c r="BQ44" t="s">
        <v>74</v>
      </c>
      <c r="BR44" t="s">
        <v>105</v>
      </c>
      <c r="BS44" t="s">
        <v>998</v>
      </c>
      <c r="BT44" t="str">
        <f>HYPERLINK("https%3A%2F%2Fwww.webofscience.com%2Fwos%2Fwoscc%2Ffull-record%2FWOS:000321760000001","View Full Record in Web of Science")</f>
        <v>View Full Record in Web of Science</v>
      </c>
    </row>
    <row r="45" spans="1:72" x14ac:dyDescent="0.15">
      <c r="A45" t="s">
        <v>72</v>
      </c>
      <c r="B45" t="s">
        <v>999</v>
      </c>
      <c r="C45" t="s">
        <v>74</v>
      </c>
      <c r="D45" t="s">
        <v>74</v>
      </c>
      <c r="E45" t="s">
        <v>74</v>
      </c>
      <c r="F45" t="s">
        <v>1000</v>
      </c>
      <c r="G45" t="s">
        <v>74</v>
      </c>
      <c r="H45" t="s">
        <v>74</v>
      </c>
      <c r="I45" t="s">
        <v>1001</v>
      </c>
      <c r="J45" t="s">
        <v>797</v>
      </c>
      <c r="K45" t="s">
        <v>74</v>
      </c>
      <c r="L45" t="s">
        <v>74</v>
      </c>
      <c r="M45" t="s">
        <v>78</v>
      </c>
      <c r="N45" t="s">
        <v>79</v>
      </c>
      <c r="O45" t="s">
        <v>74</v>
      </c>
      <c r="P45" t="s">
        <v>74</v>
      </c>
      <c r="Q45" t="s">
        <v>74</v>
      </c>
      <c r="R45" t="s">
        <v>74</v>
      </c>
      <c r="S45" t="s">
        <v>74</v>
      </c>
      <c r="T45" t="s">
        <v>1002</v>
      </c>
      <c r="U45" t="s">
        <v>1003</v>
      </c>
      <c r="V45" t="s">
        <v>1004</v>
      </c>
      <c r="W45" t="s">
        <v>1005</v>
      </c>
      <c r="X45" t="s">
        <v>1006</v>
      </c>
      <c r="Y45" t="s">
        <v>1007</v>
      </c>
      <c r="Z45" t="s">
        <v>1008</v>
      </c>
      <c r="AA45" t="s">
        <v>1009</v>
      </c>
      <c r="AB45" t="s">
        <v>1010</v>
      </c>
      <c r="AC45" t="s">
        <v>1011</v>
      </c>
      <c r="AD45" t="s">
        <v>1011</v>
      </c>
      <c r="AE45" t="s">
        <v>1012</v>
      </c>
      <c r="AF45" t="s">
        <v>74</v>
      </c>
      <c r="AG45">
        <v>28</v>
      </c>
      <c r="AH45">
        <v>13</v>
      </c>
      <c r="AI45">
        <v>15</v>
      </c>
      <c r="AJ45">
        <v>0</v>
      </c>
      <c r="AK45">
        <v>19</v>
      </c>
      <c r="AL45" t="s">
        <v>390</v>
      </c>
      <c r="AM45" t="s">
        <v>391</v>
      </c>
      <c r="AN45" t="s">
        <v>392</v>
      </c>
      <c r="AO45" t="s">
        <v>806</v>
      </c>
      <c r="AP45" t="s">
        <v>807</v>
      </c>
      <c r="AQ45" t="s">
        <v>74</v>
      </c>
      <c r="AR45" t="s">
        <v>808</v>
      </c>
      <c r="AS45" t="s">
        <v>809</v>
      </c>
      <c r="AT45" t="s">
        <v>99</v>
      </c>
      <c r="AU45">
        <v>2013</v>
      </c>
      <c r="AV45">
        <v>25</v>
      </c>
      <c r="AW45">
        <v>4</v>
      </c>
      <c r="AX45" t="s">
        <v>74</v>
      </c>
      <c r="AY45" t="s">
        <v>74</v>
      </c>
      <c r="AZ45" t="s">
        <v>74</v>
      </c>
      <c r="BA45" t="s">
        <v>74</v>
      </c>
      <c r="BB45">
        <v>514</v>
      </c>
      <c r="BC45">
        <v>530</v>
      </c>
      <c r="BD45" t="s">
        <v>74</v>
      </c>
      <c r="BE45" t="s">
        <v>1013</v>
      </c>
      <c r="BF45" t="str">
        <f>HYPERLINK("http://dx.doi.org/10.1017/S0954102012001125","http://dx.doi.org/10.1017/S0954102012001125")</f>
        <v>http://dx.doi.org/10.1017/S0954102012001125</v>
      </c>
      <c r="BG45" t="s">
        <v>74</v>
      </c>
      <c r="BH45" t="s">
        <v>74</v>
      </c>
      <c r="BI45">
        <v>17</v>
      </c>
      <c r="BJ45" t="s">
        <v>811</v>
      </c>
      <c r="BK45" t="s">
        <v>102</v>
      </c>
      <c r="BL45" t="s">
        <v>812</v>
      </c>
      <c r="BM45" t="s">
        <v>813</v>
      </c>
      <c r="BN45" t="s">
        <v>74</v>
      </c>
      <c r="BO45" t="s">
        <v>1014</v>
      </c>
      <c r="BP45" t="s">
        <v>74</v>
      </c>
      <c r="BQ45" t="s">
        <v>74</v>
      </c>
      <c r="BR45" t="s">
        <v>105</v>
      </c>
      <c r="BS45" t="s">
        <v>1015</v>
      </c>
      <c r="BT45" t="str">
        <f>HYPERLINK("https%3A%2F%2Fwww.webofscience.com%2Fwos%2Fwoscc%2Ffull-record%2FWOS:000321760000004","View Full Record in Web of Science")</f>
        <v>View Full Record in Web of Science</v>
      </c>
    </row>
    <row r="46" spans="1:72" x14ac:dyDescent="0.15">
      <c r="A46" t="s">
        <v>72</v>
      </c>
      <c r="B46" t="s">
        <v>1016</v>
      </c>
      <c r="C46" t="s">
        <v>74</v>
      </c>
      <c r="D46" t="s">
        <v>74</v>
      </c>
      <c r="E46" t="s">
        <v>74</v>
      </c>
      <c r="F46" t="s">
        <v>1017</v>
      </c>
      <c r="G46" t="s">
        <v>74</v>
      </c>
      <c r="H46" t="s">
        <v>74</v>
      </c>
      <c r="I46" t="s">
        <v>1018</v>
      </c>
      <c r="J46" t="s">
        <v>797</v>
      </c>
      <c r="K46" t="s">
        <v>74</v>
      </c>
      <c r="L46" t="s">
        <v>74</v>
      </c>
      <c r="M46" t="s">
        <v>78</v>
      </c>
      <c r="N46" t="s">
        <v>79</v>
      </c>
      <c r="O46" t="s">
        <v>74</v>
      </c>
      <c r="P46" t="s">
        <v>74</v>
      </c>
      <c r="Q46" t="s">
        <v>74</v>
      </c>
      <c r="R46" t="s">
        <v>74</v>
      </c>
      <c r="S46" t="s">
        <v>74</v>
      </c>
      <c r="T46" t="s">
        <v>1019</v>
      </c>
      <c r="U46" t="s">
        <v>1020</v>
      </c>
      <c r="V46" t="s">
        <v>1021</v>
      </c>
      <c r="W46" t="s">
        <v>1022</v>
      </c>
      <c r="X46" t="s">
        <v>1023</v>
      </c>
      <c r="Y46" t="s">
        <v>1024</v>
      </c>
      <c r="Z46" t="s">
        <v>1025</v>
      </c>
      <c r="AA46" t="s">
        <v>1026</v>
      </c>
      <c r="AB46" t="s">
        <v>1027</v>
      </c>
      <c r="AC46" t="s">
        <v>1028</v>
      </c>
      <c r="AD46" t="s">
        <v>1029</v>
      </c>
      <c r="AE46" t="s">
        <v>1030</v>
      </c>
      <c r="AF46" t="s">
        <v>74</v>
      </c>
      <c r="AG46">
        <v>39</v>
      </c>
      <c r="AH46">
        <v>22</v>
      </c>
      <c r="AI46">
        <v>22</v>
      </c>
      <c r="AJ46">
        <v>0</v>
      </c>
      <c r="AK46">
        <v>71</v>
      </c>
      <c r="AL46" t="s">
        <v>390</v>
      </c>
      <c r="AM46" t="s">
        <v>391</v>
      </c>
      <c r="AN46" t="s">
        <v>392</v>
      </c>
      <c r="AO46" t="s">
        <v>806</v>
      </c>
      <c r="AP46" t="s">
        <v>807</v>
      </c>
      <c r="AQ46" t="s">
        <v>74</v>
      </c>
      <c r="AR46" t="s">
        <v>808</v>
      </c>
      <c r="AS46" t="s">
        <v>809</v>
      </c>
      <c r="AT46" t="s">
        <v>99</v>
      </c>
      <c r="AU46">
        <v>2013</v>
      </c>
      <c r="AV46">
        <v>25</v>
      </c>
      <c r="AW46">
        <v>4</v>
      </c>
      <c r="AX46" t="s">
        <v>74</v>
      </c>
      <c r="AY46" t="s">
        <v>74</v>
      </c>
      <c r="AZ46" t="s">
        <v>74</v>
      </c>
      <c r="BA46" t="s">
        <v>74</v>
      </c>
      <c r="BB46">
        <v>536</v>
      </c>
      <c r="BC46">
        <v>544</v>
      </c>
      <c r="BD46" t="s">
        <v>74</v>
      </c>
      <c r="BE46" t="s">
        <v>1031</v>
      </c>
      <c r="BF46" t="str">
        <f>HYPERLINK("http://dx.doi.org/10.1017/S0954102012001198","http://dx.doi.org/10.1017/S0954102012001198")</f>
        <v>http://dx.doi.org/10.1017/S0954102012001198</v>
      </c>
      <c r="BG46" t="s">
        <v>74</v>
      </c>
      <c r="BH46" t="s">
        <v>74</v>
      </c>
      <c r="BI46">
        <v>9</v>
      </c>
      <c r="BJ46" t="s">
        <v>811</v>
      </c>
      <c r="BK46" t="s">
        <v>102</v>
      </c>
      <c r="BL46" t="s">
        <v>812</v>
      </c>
      <c r="BM46" t="s">
        <v>813</v>
      </c>
      <c r="BN46" t="s">
        <v>74</v>
      </c>
      <c r="BO46" t="s">
        <v>74</v>
      </c>
      <c r="BP46" t="s">
        <v>74</v>
      </c>
      <c r="BQ46" t="s">
        <v>74</v>
      </c>
      <c r="BR46" t="s">
        <v>105</v>
      </c>
      <c r="BS46" t="s">
        <v>1032</v>
      </c>
      <c r="BT46" t="str">
        <f>HYPERLINK("https%3A%2F%2Fwww.webofscience.com%2Fwos%2Fwoscc%2Ffull-record%2FWOS:000321760000006","View Full Record in Web of Science")</f>
        <v>View Full Record in Web of Science</v>
      </c>
    </row>
    <row r="47" spans="1:72" x14ac:dyDescent="0.15">
      <c r="A47" t="s">
        <v>72</v>
      </c>
      <c r="B47" t="s">
        <v>1033</v>
      </c>
      <c r="C47" t="s">
        <v>74</v>
      </c>
      <c r="D47" t="s">
        <v>74</v>
      </c>
      <c r="E47" t="s">
        <v>74</v>
      </c>
      <c r="F47" t="s">
        <v>1034</v>
      </c>
      <c r="G47" t="s">
        <v>74</v>
      </c>
      <c r="H47" t="s">
        <v>74</v>
      </c>
      <c r="I47" t="s">
        <v>1035</v>
      </c>
      <c r="J47" t="s">
        <v>797</v>
      </c>
      <c r="K47" t="s">
        <v>74</v>
      </c>
      <c r="L47" t="s">
        <v>74</v>
      </c>
      <c r="M47" t="s">
        <v>78</v>
      </c>
      <c r="N47" t="s">
        <v>79</v>
      </c>
      <c r="O47" t="s">
        <v>74</v>
      </c>
      <c r="P47" t="s">
        <v>74</v>
      </c>
      <c r="Q47" t="s">
        <v>74</v>
      </c>
      <c r="R47" t="s">
        <v>74</v>
      </c>
      <c r="S47" t="s">
        <v>74</v>
      </c>
      <c r="T47" t="s">
        <v>1036</v>
      </c>
      <c r="U47" t="s">
        <v>1037</v>
      </c>
      <c r="V47" t="s">
        <v>1038</v>
      </c>
      <c r="W47" t="s">
        <v>1039</v>
      </c>
      <c r="X47" t="s">
        <v>1040</v>
      </c>
      <c r="Y47" t="s">
        <v>1041</v>
      </c>
      <c r="Z47" t="s">
        <v>1042</v>
      </c>
      <c r="AA47" t="s">
        <v>1043</v>
      </c>
      <c r="AB47" t="s">
        <v>1044</v>
      </c>
      <c r="AC47" t="s">
        <v>1045</v>
      </c>
      <c r="AD47" t="s">
        <v>1046</v>
      </c>
      <c r="AE47" t="s">
        <v>1047</v>
      </c>
      <c r="AF47" t="s">
        <v>74</v>
      </c>
      <c r="AG47">
        <v>29</v>
      </c>
      <c r="AH47">
        <v>37</v>
      </c>
      <c r="AI47">
        <v>40</v>
      </c>
      <c r="AJ47">
        <v>2</v>
      </c>
      <c r="AK47">
        <v>117</v>
      </c>
      <c r="AL47" t="s">
        <v>390</v>
      </c>
      <c r="AM47" t="s">
        <v>391</v>
      </c>
      <c r="AN47" t="s">
        <v>392</v>
      </c>
      <c r="AO47" t="s">
        <v>806</v>
      </c>
      <c r="AP47" t="s">
        <v>74</v>
      </c>
      <c r="AQ47" t="s">
        <v>74</v>
      </c>
      <c r="AR47" t="s">
        <v>808</v>
      </c>
      <c r="AS47" t="s">
        <v>809</v>
      </c>
      <c r="AT47" t="s">
        <v>99</v>
      </c>
      <c r="AU47">
        <v>2013</v>
      </c>
      <c r="AV47">
        <v>25</v>
      </c>
      <c r="AW47">
        <v>4</v>
      </c>
      <c r="AX47" t="s">
        <v>74</v>
      </c>
      <c r="AY47" t="s">
        <v>74</v>
      </c>
      <c r="AZ47" t="s">
        <v>74</v>
      </c>
      <c r="BA47" t="s">
        <v>74</v>
      </c>
      <c r="BB47">
        <v>545</v>
      </c>
      <c r="BC47">
        <v>552</v>
      </c>
      <c r="BD47" t="s">
        <v>74</v>
      </c>
      <c r="BE47" t="s">
        <v>1048</v>
      </c>
      <c r="BF47" t="str">
        <f>HYPERLINK("http://dx.doi.org/10.1017/S0954102012001149","http://dx.doi.org/10.1017/S0954102012001149")</f>
        <v>http://dx.doi.org/10.1017/S0954102012001149</v>
      </c>
      <c r="BG47" t="s">
        <v>74</v>
      </c>
      <c r="BH47" t="s">
        <v>74</v>
      </c>
      <c r="BI47">
        <v>8</v>
      </c>
      <c r="BJ47" t="s">
        <v>811</v>
      </c>
      <c r="BK47" t="s">
        <v>102</v>
      </c>
      <c r="BL47" t="s">
        <v>812</v>
      </c>
      <c r="BM47" t="s">
        <v>813</v>
      </c>
      <c r="BN47" t="s">
        <v>74</v>
      </c>
      <c r="BO47" t="s">
        <v>74</v>
      </c>
      <c r="BP47" t="s">
        <v>74</v>
      </c>
      <c r="BQ47" t="s">
        <v>74</v>
      </c>
      <c r="BR47" t="s">
        <v>105</v>
      </c>
      <c r="BS47" t="s">
        <v>1049</v>
      </c>
      <c r="BT47" t="str">
        <f>HYPERLINK("https%3A%2F%2Fwww.webofscience.com%2Fwos%2Fwoscc%2Ffull-record%2FWOS:000321760000007","View Full Record in Web of Science")</f>
        <v>View Full Record in Web of Science</v>
      </c>
    </row>
    <row r="48" spans="1:72" x14ac:dyDescent="0.15">
      <c r="A48" t="s">
        <v>72</v>
      </c>
      <c r="B48" t="s">
        <v>1050</v>
      </c>
      <c r="C48" t="s">
        <v>74</v>
      </c>
      <c r="D48" t="s">
        <v>74</v>
      </c>
      <c r="E48" t="s">
        <v>74</v>
      </c>
      <c r="F48" t="s">
        <v>1051</v>
      </c>
      <c r="G48" t="s">
        <v>74</v>
      </c>
      <c r="H48" t="s">
        <v>74</v>
      </c>
      <c r="I48" t="s">
        <v>1052</v>
      </c>
      <c r="J48" t="s">
        <v>797</v>
      </c>
      <c r="K48" t="s">
        <v>74</v>
      </c>
      <c r="L48" t="s">
        <v>74</v>
      </c>
      <c r="M48" t="s">
        <v>78</v>
      </c>
      <c r="N48" t="s">
        <v>79</v>
      </c>
      <c r="O48" t="s">
        <v>74</v>
      </c>
      <c r="P48" t="s">
        <v>74</v>
      </c>
      <c r="Q48" t="s">
        <v>74</v>
      </c>
      <c r="R48" t="s">
        <v>74</v>
      </c>
      <c r="S48" t="s">
        <v>74</v>
      </c>
      <c r="T48" t="s">
        <v>1053</v>
      </c>
      <c r="U48" t="s">
        <v>74</v>
      </c>
      <c r="V48" t="s">
        <v>1054</v>
      </c>
      <c r="W48" t="s">
        <v>1055</v>
      </c>
      <c r="X48" t="s">
        <v>1056</v>
      </c>
      <c r="Y48" t="s">
        <v>1057</v>
      </c>
      <c r="Z48" t="s">
        <v>1058</v>
      </c>
      <c r="AA48" t="s">
        <v>1059</v>
      </c>
      <c r="AB48" t="s">
        <v>1060</v>
      </c>
      <c r="AC48" t="s">
        <v>1061</v>
      </c>
      <c r="AD48" t="s">
        <v>995</v>
      </c>
      <c r="AE48" t="s">
        <v>74</v>
      </c>
      <c r="AF48" t="s">
        <v>74</v>
      </c>
      <c r="AG48">
        <v>20</v>
      </c>
      <c r="AH48">
        <v>19</v>
      </c>
      <c r="AI48">
        <v>21</v>
      </c>
      <c r="AJ48">
        <v>1</v>
      </c>
      <c r="AK48">
        <v>26</v>
      </c>
      <c r="AL48" t="s">
        <v>390</v>
      </c>
      <c r="AM48" t="s">
        <v>391</v>
      </c>
      <c r="AN48" t="s">
        <v>392</v>
      </c>
      <c r="AO48" t="s">
        <v>806</v>
      </c>
      <c r="AP48" t="s">
        <v>807</v>
      </c>
      <c r="AQ48" t="s">
        <v>74</v>
      </c>
      <c r="AR48" t="s">
        <v>808</v>
      </c>
      <c r="AS48" t="s">
        <v>809</v>
      </c>
      <c r="AT48" t="s">
        <v>99</v>
      </c>
      <c r="AU48">
        <v>2013</v>
      </c>
      <c r="AV48">
        <v>25</v>
      </c>
      <c r="AW48">
        <v>4</v>
      </c>
      <c r="AX48" t="s">
        <v>74</v>
      </c>
      <c r="AY48" t="s">
        <v>74</v>
      </c>
      <c r="AZ48" t="s">
        <v>74</v>
      </c>
      <c r="BA48" t="s">
        <v>74</v>
      </c>
      <c r="BB48">
        <v>553</v>
      </c>
      <c r="BC48">
        <v>564</v>
      </c>
      <c r="BD48" t="s">
        <v>74</v>
      </c>
      <c r="BE48" t="s">
        <v>1062</v>
      </c>
      <c r="BF48" t="str">
        <f>HYPERLINK("http://dx.doi.org/10.1017/S0954102012001204","http://dx.doi.org/10.1017/S0954102012001204")</f>
        <v>http://dx.doi.org/10.1017/S0954102012001204</v>
      </c>
      <c r="BG48" t="s">
        <v>74</v>
      </c>
      <c r="BH48" t="s">
        <v>74</v>
      </c>
      <c r="BI48">
        <v>12</v>
      </c>
      <c r="BJ48" t="s">
        <v>811</v>
      </c>
      <c r="BK48" t="s">
        <v>102</v>
      </c>
      <c r="BL48" t="s">
        <v>812</v>
      </c>
      <c r="BM48" t="s">
        <v>813</v>
      </c>
      <c r="BN48" t="s">
        <v>74</v>
      </c>
      <c r="BO48" t="s">
        <v>1063</v>
      </c>
      <c r="BP48" t="s">
        <v>74</v>
      </c>
      <c r="BQ48" t="s">
        <v>74</v>
      </c>
      <c r="BR48" t="s">
        <v>105</v>
      </c>
      <c r="BS48" t="s">
        <v>1064</v>
      </c>
      <c r="BT48" t="str">
        <f>HYPERLINK("https%3A%2F%2Fwww.webofscience.com%2Fwos%2Fwoscc%2Ffull-record%2FWOS:000321760000008","View Full Record in Web of Science")</f>
        <v>View Full Record in Web of Science</v>
      </c>
    </row>
    <row r="49" spans="1:72" x14ac:dyDescent="0.15">
      <c r="A49" t="s">
        <v>72</v>
      </c>
      <c r="B49" t="s">
        <v>1065</v>
      </c>
      <c r="C49" t="s">
        <v>74</v>
      </c>
      <c r="D49" t="s">
        <v>74</v>
      </c>
      <c r="E49" t="s">
        <v>74</v>
      </c>
      <c r="F49" t="s">
        <v>1066</v>
      </c>
      <c r="G49" t="s">
        <v>74</v>
      </c>
      <c r="H49" t="s">
        <v>74</v>
      </c>
      <c r="I49" t="s">
        <v>1067</v>
      </c>
      <c r="J49" t="s">
        <v>1068</v>
      </c>
      <c r="K49" t="s">
        <v>74</v>
      </c>
      <c r="L49" t="s">
        <v>74</v>
      </c>
      <c r="M49" t="s">
        <v>78</v>
      </c>
      <c r="N49" t="s">
        <v>79</v>
      </c>
      <c r="O49" t="s">
        <v>74</v>
      </c>
      <c r="P49" t="s">
        <v>74</v>
      </c>
      <c r="Q49" t="s">
        <v>74</v>
      </c>
      <c r="R49" t="s">
        <v>74</v>
      </c>
      <c r="S49" t="s">
        <v>74</v>
      </c>
      <c r="T49" t="s">
        <v>74</v>
      </c>
      <c r="U49" t="s">
        <v>1069</v>
      </c>
      <c r="V49" t="s">
        <v>1070</v>
      </c>
      <c r="W49" t="s">
        <v>1071</v>
      </c>
      <c r="X49" t="s">
        <v>1072</v>
      </c>
      <c r="Y49" t="s">
        <v>1073</v>
      </c>
      <c r="Z49" t="s">
        <v>1074</v>
      </c>
      <c r="AA49" t="s">
        <v>1075</v>
      </c>
      <c r="AB49" t="s">
        <v>1076</v>
      </c>
      <c r="AC49" t="s">
        <v>1077</v>
      </c>
      <c r="AD49" t="s">
        <v>1078</v>
      </c>
      <c r="AE49" t="s">
        <v>1079</v>
      </c>
      <c r="AF49" t="s">
        <v>74</v>
      </c>
      <c r="AG49">
        <v>95</v>
      </c>
      <c r="AH49">
        <v>6</v>
      </c>
      <c r="AI49">
        <v>6</v>
      </c>
      <c r="AJ49">
        <v>4</v>
      </c>
      <c r="AK49">
        <v>37</v>
      </c>
      <c r="AL49" t="s">
        <v>1080</v>
      </c>
      <c r="AM49" t="s">
        <v>1081</v>
      </c>
      <c r="AN49" t="s">
        <v>1082</v>
      </c>
      <c r="AO49" t="s">
        <v>1083</v>
      </c>
      <c r="AP49" t="s">
        <v>1084</v>
      </c>
      <c r="AQ49" t="s">
        <v>74</v>
      </c>
      <c r="AR49" t="s">
        <v>1085</v>
      </c>
      <c r="AS49" t="s">
        <v>1086</v>
      </c>
      <c r="AT49" t="s">
        <v>99</v>
      </c>
      <c r="AU49">
        <v>2013</v>
      </c>
      <c r="AV49">
        <v>45</v>
      </c>
      <c r="AW49">
        <v>3</v>
      </c>
      <c r="AX49" t="s">
        <v>74</v>
      </c>
      <c r="AY49" t="s">
        <v>74</v>
      </c>
      <c r="AZ49" t="s">
        <v>74</v>
      </c>
      <c r="BA49" t="s">
        <v>74</v>
      </c>
      <c r="BB49">
        <v>318</v>
      </c>
      <c r="BC49">
        <v>329</v>
      </c>
      <c r="BD49" t="s">
        <v>74</v>
      </c>
      <c r="BE49" t="s">
        <v>1087</v>
      </c>
      <c r="BF49" t="str">
        <f>HYPERLINK("http://dx.doi.org/10.1657/1938-4246-45.3.318","http://dx.doi.org/10.1657/1938-4246-45.3.318")</f>
        <v>http://dx.doi.org/10.1657/1938-4246-45.3.318</v>
      </c>
      <c r="BG49" t="s">
        <v>74</v>
      </c>
      <c r="BH49" t="s">
        <v>74</v>
      </c>
      <c r="BI49">
        <v>12</v>
      </c>
      <c r="BJ49" t="s">
        <v>1088</v>
      </c>
      <c r="BK49" t="s">
        <v>102</v>
      </c>
      <c r="BL49" t="s">
        <v>1089</v>
      </c>
      <c r="BM49" t="s">
        <v>1090</v>
      </c>
      <c r="BN49" t="s">
        <v>74</v>
      </c>
      <c r="BO49" t="s">
        <v>577</v>
      </c>
      <c r="BP49" t="s">
        <v>74</v>
      </c>
      <c r="BQ49" t="s">
        <v>74</v>
      </c>
      <c r="BR49" t="s">
        <v>105</v>
      </c>
      <c r="BS49" t="s">
        <v>1091</v>
      </c>
      <c r="BT49" t="str">
        <f>HYPERLINK("https%3A%2F%2Fwww.webofscience.com%2Fwos%2Fwoscc%2Ffull-record%2FWOS:000329533200002","View Full Record in Web of Science")</f>
        <v>View Full Record in Web of Science</v>
      </c>
    </row>
    <row r="50" spans="1:72" x14ac:dyDescent="0.15">
      <c r="A50" t="s">
        <v>72</v>
      </c>
      <c r="B50" t="s">
        <v>1092</v>
      </c>
      <c r="C50" t="s">
        <v>74</v>
      </c>
      <c r="D50" t="s">
        <v>74</v>
      </c>
      <c r="E50" t="s">
        <v>74</v>
      </c>
      <c r="F50" t="s">
        <v>1093</v>
      </c>
      <c r="G50" t="s">
        <v>74</v>
      </c>
      <c r="H50" t="s">
        <v>74</v>
      </c>
      <c r="I50" t="s">
        <v>1094</v>
      </c>
      <c r="J50" t="s">
        <v>1068</v>
      </c>
      <c r="K50" t="s">
        <v>74</v>
      </c>
      <c r="L50" t="s">
        <v>74</v>
      </c>
      <c r="M50" t="s">
        <v>78</v>
      </c>
      <c r="N50" t="s">
        <v>79</v>
      </c>
      <c r="O50" t="s">
        <v>74</v>
      </c>
      <c r="P50" t="s">
        <v>74</v>
      </c>
      <c r="Q50" t="s">
        <v>74</v>
      </c>
      <c r="R50" t="s">
        <v>74</v>
      </c>
      <c r="S50" t="s">
        <v>74</v>
      </c>
      <c r="T50" t="s">
        <v>74</v>
      </c>
      <c r="U50" t="s">
        <v>1095</v>
      </c>
      <c r="V50" t="s">
        <v>1096</v>
      </c>
      <c r="W50" t="s">
        <v>1097</v>
      </c>
      <c r="X50" t="s">
        <v>1098</v>
      </c>
      <c r="Y50" t="s">
        <v>1099</v>
      </c>
      <c r="Z50" t="s">
        <v>1100</v>
      </c>
      <c r="AA50" t="s">
        <v>1101</v>
      </c>
      <c r="AB50" t="s">
        <v>1102</v>
      </c>
      <c r="AC50" t="s">
        <v>1103</v>
      </c>
      <c r="AD50" t="s">
        <v>1104</v>
      </c>
      <c r="AE50" t="s">
        <v>1105</v>
      </c>
      <c r="AF50" t="s">
        <v>74</v>
      </c>
      <c r="AG50">
        <v>50</v>
      </c>
      <c r="AH50">
        <v>7</v>
      </c>
      <c r="AI50">
        <v>7</v>
      </c>
      <c r="AJ50">
        <v>1</v>
      </c>
      <c r="AK50">
        <v>16</v>
      </c>
      <c r="AL50" t="s">
        <v>1106</v>
      </c>
      <c r="AM50" t="s">
        <v>280</v>
      </c>
      <c r="AN50" t="s">
        <v>1107</v>
      </c>
      <c r="AO50" t="s">
        <v>1083</v>
      </c>
      <c r="AP50" t="s">
        <v>1084</v>
      </c>
      <c r="AQ50" t="s">
        <v>74</v>
      </c>
      <c r="AR50" t="s">
        <v>1085</v>
      </c>
      <c r="AS50" t="s">
        <v>1086</v>
      </c>
      <c r="AT50" t="s">
        <v>99</v>
      </c>
      <c r="AU50">
        <v>2013</v>
      </c>
      <c r="AV50">
        <v>45</v>
      </c>
      <c r="AW50">
        <v>3</v>
      </c>
      <c r="AX50" t="s">
        <v>74</v>
      </c>
      <c r="AY50" t="s">
        <v>74</v>
      </c>
      <c r="AZ50" t="s">
        <v>74</v>
      </c>
      <c r="BA50" t="s">
        <v>74</v>
      </c>
      <c r="BB50">
        <v>330</v>
      </c>
      <c r="BC50">
        <v>341</v>
      </c>
      <c r="BD50" t="s">
        <v>74</v>
      </c>
      <c r="BE50" t="s">
        <v>1108</v>
      </c>
      <c r="BF50" t="str">
        <f>HYPERLINK("http://dx.doi.org/10.1657/1938-4246-45.3.330","http://dx.doi.org/10.1657/1938-4246-45.3.330")</f>
        <v>http://dx.doi.org/10.1657/1938-4246-45.3.330</v>
      </c>
      <c r="BG50" t="s">
        <v>74</v>
      </c>
      <c r="BH50" t="s">
        <v>74</v>
      </c>
      <c r="BI50">
        <v>12</v>
      </c>
      <c r="BJ50" t="s">
        <v>1088</v>
      </c>
      <c r="BK50" t="s">
        <v>102</v>
      </c>
      <c r="BL50" t="s">
        <v>1089</v>
      </c>
      <c r="BM50" t="s">
        <v>1090</v>
      </c>
      <c r="BN50" t="s">
        <v>74</v>
      </c>
      <c r="BO50" t="s">
        <v>577</v>
      </c>
      <c r="BP50" t="s">
        <v>74</v>
      </c>
      <c r="BQ50" t="s">
        <v>74</v>
      </c>
      <c r="BR50" t="s">
        <v>105</v>
      </c>
      <c r="BS50" t="s">
        <v>1109</v>
      </c>
      <c r="BT50" t="str">
        <f>HYPERLINK("https%3A%2F%2Fwww.webofscience.com%2Fwos%2Fwoscc%2Ffull-record%2FWOS:000329533200003","View Full Record in Web of Science")</f>
        <v>View Full Record in Web of Science</v>
      </c>
    </row>
    <row r="51" spans="1:72" x14ac:dyDescent="0.15">
      <c r="A51" t="s">
        <v>72</v>
      </c>
      <c r="B51" t="s">
        <v>1110</v>
      </c>
      <c r="C51" t="s">
        <v>74</v>
      </c>
      <c r="D51" t="s">
        <v>74</v>
      </c>
      <c r="E51" t="s">
        <v>74</v>
      </c>
      <c r="F51" t="s">
        <v>1111</v>
      </c>
      <c r="G51" t="s">
        <v>74</v>
      </c>
      <c r="H51" t="s">
        <v>74</v>
      </c>
      <c r="I51" t="s">
        <v>1112</v>
      </c>
      <c r="J51" t="s">
        <v>1068</v>
      </c>
      <c r="K51" t="s">
        <v>74</v>
      </c>
      <c r="L51" t="s">
        <v>74</v>
      </c>
      <c r="M51" t="s">
        <v>78</v>
      </c>
      <c r="N51" t="s">
        <v>79</v>
      </c>
      <c r="O51" t="s">
        <v>74</v>
      </c>
      <c r="P51" t="s">
        <v>74</v>
      </c>
      <c r="Q51" t="s">
        <v>74</v>
      </c>
      <c r="R51" t="s">
        <v>74</v>
      </c>
      <c r="S51" t="s">
        <v>74</v>
      </c>
      <c r="T51" t="s">
        <v>74</v>
      </c>
      <c r="U51" t="s">
        <v>1113</v>
      </c>
      <c r="V51" t="s">
        <v>1114</v>
      </c>
      <c r="W51" t="s">
        <v>1115</v>
      </c>
      <c r="X51" t="s">
        <v>1116</v>
      </c>
      <c r="Y51" t="s">
        <v>1117</v>
      </c>
      <c r="Z51" t="s">
        <v>1118</v>
      </c>
      <c r="AA51" t="s">
        <v>74</v>
      </c>
      <c r="AB51" t="s">
        <v>1119</v>
      </c>
      <c r="AC51" t="s">
        <v>74</v>
      </c>
      <c r="AD51" t="s">
        <v>74</v>
      </c>
      <c r="AE51" t="s">
        <v>74</v>
      </c>
      <c r="AF51" t="s">
        <v>74</v>
      </c>
      <c r="AG51">
        <v>58</v>
      </c>
      <c r="AH51">
        <v>8</v>
      </c>
      <c r="AI51">
        <v>9</v>
      </c>
      <c r="AJ51">
        <v>0</v>
      </c>
      <c r="AK51">
        <v>33</v>
      </c>
      <c r="AL51" t="s">
        <v>1080</v>
      </c>
      <c r="AM51" t="s">
        <v>1081</v>
      </c>
      <c r="AN51" t="s">
        <v>1082</v>
      </c>
      <c r="AO51" t="s">
        <v>1083</v>
      </c>
      <c r="AP51" t="s">
        <v>1084</v>
      </c>
      <c r="AQ51" t="s">
        <v>74</v>
      </c>
      <c r="AR51" t="s">
        <v>1085</v>
      </c>
      <c r="AS51" t="s">
        <v>1086</v>
      </c>
      <c r="AT51" t="s">
        <v>99</v>
      </c>
      <c r="AU51">
        <v>2013</v>
      </c>
      <c r="AV51">
        <v>45</v>
      </c>
      <c r="AW51">
        <v>3</v>
      </c>
      <c r="AX51" t="s">
        <v>74</v>
      </c>
      <c r="AY51" t="s">
        <v>74</v>
      </c>
      <c r="AZ51" t="s">
        <v>74</v>
      </c>
      <c r="BA51" t="s">
        <v>74</v>
      </c>
      <c r="BB51">
        <v>363</v>
      </c>
      <c r="BC51">
        <v>371</v>
      </c>
      <c r="BD51" t="s">
        <v>74</v>
      </c>
      <c r="BE51" t="s">
        <v>1120</v>
      </c>
      <c r="BF51" t="str">
        <f>HYPERLINK("http://dx.doi.org/10.1657/1938-4246-45.3.363","http://dx.doi.org/10.1657/1938-4246-45.3.363")</f>
        <v>http://dx.doi.org/10.1657/1938-4246-45.3.363</v>
      </c>
      <c r="BG51" t="s">
        <v>74</v>
      </c>
      <c r="BH51" t="s">
        <v>74</v>
      </c>
      <c r="BI51">
        <v>9</v>
      </c>
      <c r="BJ51" t="s">
        <v>1088</v>
      </c>
      <c r="BK51" t="s">
        <v>102</v>
      </c>
      <c r="BL51" t="s">
        <v>1089</v>
      </c>
      <c r="BM51" t="s">
        <v>1090</v>
      </c>
      <c r="BN51" t="s">
        <v>74</v>
      </c>
      <c r="BO51" t="s">
        <v>997</v>
      </c>
      <c r="BP51" t="s">
        <v>74</v>
      </c>
      <c r="BQ51" t="s">
        <v>74</v>
      </c>
      <c r="BR51" t="s">
        <v>105</v>
      </c>
      <c r="BS51" t="s">
        <v>1121</v>
      </c>
      <c r="BT51" t="str">
        <f>HYPERLINK("https%3A%2F%2Fwww.webofscience.com%2Fwos%2Fwoscc%2Ffull-record%2FWOS:000329533200006","View Full Record in Web of Science")</f>
        <v>View Full Record in Web of Science</v>
      </c>
    </row>
    <row r="52" spans="1:72" x14ac:dyDescent="0.15">
      <c r="A52" t="s">
        <v>72</v>
      </c>
      <c r="B52" t="s">
        <v>1122</v>
      </c>
      <c r="C52" t="s">
        <v>74</v>
      </c>
      <c r="D52" t="s">
        <v>74</v>
      </c>
      <c r="E52" t="s">
        <v>74</v>
      </c>
      <c r="F52" t="s">
        <v>1123</v>
      </c>
      <c r="G52" t="s">
        <v>74</v>
      </c>
      <c r="H52" t="s">
        <v>74</v>
      </c>
      <c r="I52" t="s">
        <v>1124</v>
      </c>
      <c r="J52" t="s">
        <v>1068</v>
      </c>
      <c r="K52" t="s">
        <v>74</v>
      </c>
      <c r="L52" t="s">
        <v>74</v>
      </c>
      <c r="M52" t="s">
        <v>78</v>
      </c>
      <c r="N52" t="s">
        <v>79</v>
      </c>
      <c r="O52" t="s">
        <v>74</v>
      </c>
      <c r="P52" t="s">
        <v>74</v>
      </c>
      <c r="Q52" t="s">
        <v>74</v>
      </c>
      <c r="R52" t="s">
        <v>74</v>
      </c>
      <c r="S52" t="s">
        <v>74</v>
      </c>
      <c r="T52" t="s">
        <v>74</v>
      </c>
      <c r="U52" t="s">
        <v>1125</v>
      </c>
      <c r="V52" t="s">
        <v>1126</v>
      </c>
      <c r="W52" t="s">
        <v>1127</v>
      </c>
      <c r="X52" t="s">
        <v>1128</v>
      </c>
      <c r="Y52" t="s">
        <v>1129</v>
      </c>
      <c r="Z52" t="s">
        <v>1130</v>
      </c>
      <c r="AA52" t="s">
        <v>74</v>
      </c>
      <c r="AB52" t="s">
        <v>74</v>
      </c>
      <c r="AC52" t="s">
        <v>1131</v>
      </c>
      <c r="AD52" t="s">
        <v>1132</v>
      </c>
      <c r="AE52" t="s">
        <v>1133</v>
      </c>
      <c r="AF52" t="s">
        <v>74</v>
      </c>
      <c r="AG52">
        <v>35</v>
      </c>
      <c r="AH52">
        <v>39</v>
      </c>
      <c r="AI52">
        <v>48</v>
      </c>
      <c r="AJ52">
        <v>0</v>
      </c>
      <c r="AK52">
        <v>31</v>
      </c>
      <c r="AL52" t="s">
        <v>1106</v>
      </c>
      <c r="AM52" t="s">
        <v>280</v>
      </c>
      <c r="AN52" t="s">
        <v>1107</v>
      </c>
      <c r="AO52" t="s">
        <v>1083</v>
      </c>
      <c r="AP52" t="s">
        <v>1084</v>
      </c>
      <c r="AQ52" t="s">
        <v>74</v>
      </c>
      <c r="AR52" t="s">
        <v>1085</v>
      </c>
      <c r="AS52" t="s">
        <v>1086</v>
      </c>
      <c r="AT52" t="s">
        <v>99</v>
      </c>
      <c r="AU52">
        <v>2013</v>
      </c>
      <c r="AV52">
        <v>45</v>
      </c>
      <c r="AW52">
        <v>3</v>
      </c>
      <c r="AX52" t="s">
        <v>74</v>
      </c>
      <c r="AY52" t="s">
        <v>74</v>
      </c>
      <c r="AZ52" t="s">
        <v>74</v>
      </c>
      <c r="BA52" t="s">
        <v>74</v>
      </c>
      <c r="BB52">
        <v>404</v>
      </c>
      <c r="BC52">
        <v>414</v>
      </c>
      <c r="BD52" t="s">
        <v>74</v>
      </c>
      <c r="BE52" t="s">
        <v>1134</v>
      </c>
      <c r="BF52" t="str">
        <f>HYPERLINK("http://dx.doi.org/10.1657/1938-4246-45.3.404","http://dx.doi.org/10.1657/1938-4246-45.3.404")</f>
        <v>http://dx.doi.org/10.1657/1938-4246-45.3.404</v>
      </c>
      <c r="BG52" t="s">
        <v>74</v>
      </c>
      <c r="BH52" t="s">
        <v>74</v>
      </c>
      <c r="BI52">
        <v>11</v>
      </c>
      <c r="BJ52" t="s">
        <v>1088</v>
      </c>
      <c r="BK52" t="s">
        <v>102</v>
      </c>
      <c r="BL52" t="s">
        <v>1089</v>
      </c>
      <c r="BM52" t="s">
        <v>1090</v>
      </c>
      <c r="BN52" t="s">
        <v>74</v>
      </c>
      <c r="BO52" t="s">
        <v>1014</v>
      </c>
      <c r="BP52" t="s">
        <v>74</v>
      </c>
      <c r="BQ52" t="s">
        <v>74</v>
      </c>
      <c r="BR52" t="s">
        <v>105</v>
      </c>
      <c r="BS52" t="s">
        <v>1135</v>
      </c>
      <c r="BT52" t="str">
        <f>HYPERLINK("https%3A%2F%2Fwww.webofscience.com%2Fwos%2Fwoscc%2Ffull-record%2FWOS:000329533200010","View Full Record in Web of Science")</f>
        <v>View Full Record in Web of Science</v>
      </c>
    </row>
    <row r="53" spans="1:72" x14ac:dyDescent="0.15">
      <c r="A53" t="s">
        <v>72</v>
      </c>
      <c r="B53" t="s">
        <v>1136</v>
      </c>
      <c r="C53" t="s">
        <v>74</v>
      </c>
      <c r="D53" t="s">
        <v>74</v>
      </c>
      <c r="E53" t="s">
        <v>74</v>
      </c>
      <c r="F53" t="s">
        <v>1137</v>
      </c>
      <c r="G53" t="s">
        <v>74</v>
      </c>
      <c r="H53" t="s">
        <v>74</v>
      </c>
      <c r="I53" t="s">
        <v>1138</v>
      </c>
      <c r="J53" t="s">
        <v>1139</v>
      </c>
      <c r="K53" t="s">
        <v>74</v>
      </c>
      <c r="L53" t="s">
        <v>74</v>
      </c>
      <c r="M53" t="s">
        <v>78</v>
      </c>
      <c r="N53" t="s">
        <v>79</v>
      </c>
      <c r="O53" t="s">
        <v>74</v>
      </c>
      <c r="P53" t="s">
        <v>74</v>
      </c>
      <c r="Q53" t="s">
        <v>74</v>
      </c>
      <c r="R53" t="s">
        <v>74</v>
      </c>
      <c r="S53" t="s">
        <v>74</v>
      </c>
      <c r="T53" t="s">
        <v>1140</v>
      </c>
      <c r="U53" t="s">
        <v>1141</v>
      </c>
      <c r="V53" t="s">
        <v>1142</v>
      </c>
      <c r="W53" t="s">
        <v>1143</v>
      </c>
      <c r="X53" t="s">
        <v>1144</v>
      </c>
      <c r="Y53" t="s">
        <v>1145</v>
      </c>
      <c r="Z53" t="s">
        <v>1146</v>
      </c>
      <c r="AA53" t="s">
        <v>74</v>
      </c>
      <c r="AB53" t="s">
        <v>1147</v>
      </c>
      <c r="AC53" t="s">
        <v>1148</v>
      </c>
      <c r="AD53" t="s">
        <v>1149</v>
      </c>
      <c r="AE53" t="s">
        <v>1150</v>
      </c>
      <c r="AF53" t="s">
        <v>74</v>
      </c>
      <c r="AG53">
        <v>34</v>
      </c>
      <c r="AH53">
        <v>25</v>
      </c>
      <c r="AI53">
        <v>26</v>
      </c>
      <c r="AJ53">
        <v>1</v>
      </c>
      <c r="AK53">
        <v>117</v>
      </c>
      <c r="AL53" t="s">
        <v>529</v>
      </c>
      <c r="AM53" t="s">
        <v>1151</v>
      </c>
      <c r="AN53" t="s">
        <v>1152</v>
      </c>
      <c r="AO53" t="s">
        <v>1153</v>
      </c>
      <c r="AP53" t="s">
        <v>1154</v>
      </c>
      <c r="AQ53" t="s">
        <v>74</v>
      </c>
      <c r="AR53" t="s">
        <v>1155</v>
      </c>
      <c r="AS53" t="s">
        <v>1156</v>
      </c>
      <c r="AT53" t="s">
        <v>99</v>
      </c>
      <c r="AU53">
        <v>2013</v>
      </c>
      <c r="AV53">
        <v>15</v>
      </c>
      <c r="AW53">
        <v>8</v>
      </c>
      <c r="AX53" t="s">
        <v>74</v>
      </c>
      <c r="AY53" t="s">
        <v>74</v>
      </c>
      <c r="AZ53" t="s">
        <v>74</v>
      </c>
      <c r="BA53" t="s">
        <v>74</v>
      </c>
      <c r="BB53">
        <v>1641</v>
      </c>
      <c r="BC53">
        <v>1648</v>
      </c>
      <c r="BD53" t="s">
        <v>74</v>
      </c>
      <c r="BE53" t="s">
        <v>1157</v>
      </c>
      <c r="BF53" t="str">
        <f>HYPERLINK("http://dx.doi.org/10.1007/s10530-012-0403-x","http://dx.doi.org/10.1007/s10530-012-0403-x")</f>
        <v>http://dx.doi.org/10.1007/s10530-012-0403-x</v>
      </c>
      <c r="BG53" t="s">
        <v>74</v>
      </c>
      <c r="BH53" t="s">
        <v>74</v>
      </c>
      <c r="BI53">
        <v>8</v>
      </c>
      <c r="BJ53" t="s">
        <v>1158</v>
      </c>
      <c r="BK53" t="s">
        <v>102</v>
      </c>
      <c r="BL53" t="s">
        <v>1159</v>
      </c>
      <c r="BM53" t="s">
        <v>1160</v>
      </c>
      <c r="BN53" t="s">
        <v>74</v>
      </c>
      <c r="BO53" t="s">
        <v>74</v>
      </c>
      <c r="BP53" t="s">
        <v>74</v>
      </c>
      <c r="BQ53" t="s">
        <v>74</v>
      </c>
      <c r="BR53" t="s">
        <v>105</v>
      </c>
      <c r="BS53" t="s">
        <v>1161</v>
      </c>
      <c r="BT53" t="str">
        <f>HYPERLINK("https%3A%2F%2Fwww.webofscience.com%2Fwos%2Fwoscc%2Ffull-record%2FWOS:000321264300001","View Full Record in Web of Science")</f>
        <v>View Full Record in Web of Science</v>
      </c>
    </row>
    <row r="54" spans="1:72" x14ac:dyDescent="0.15">
      <c r="A54" t="s">
        <v>72</v>
      </c>
      <c r="B54" t="s">
        <v>1162</v>
      </c>
      <c r="C54" t="s">
        <v>74</v>
      </c>
      <c r="D54" t="s">
        <v>74</v>
      </c>
      <c r="E54" t="s">
        <v>74</v>
      </c>
      <c r="F54" t="s">
        <v>1163</v>
      </c>
      <c r="G54" t="s">
        <v>74</v>
      </c>
      <c r="H54" t="s">
        <v>74</v>
      </c>
      <c r="I54" t="s">
        <v>1164</v>
      </c>
      <c r="J54" t="s">
        <v>1165</v>
      </c>
      <c r="K54" t="s">
        <v>74</v>
      </c>
      <c r="L54" t="s">
        <v>74</v>
      </c>
      <c r="M54" t="s">
        <v>78</v>
      </c>
      <c r="N54" t="s">
        <v>79</v>
      </c>
      <c r="O54" t="s">
        <v>74</v>
      </c>
      <c r="P54" t="s">
        <v>74</v>
      </c>
      <c r="Q54" t="s">
        <v>74</v>
      </c>
      <c r="R54" t="s">
        <v>74</v>
      </c>
      <c r="S54" t="s">
        <v>74</v>
      </c>
      <c r="T54" t="s">
        <v>74</v>
      </c>
      <c r="U54" t="s">
        <v>1166</v>
      </c>
      <c r="V54" t="s">
        <v>1167</v>
      </c>
      <c r="W54" t="s">
        <v>1168</v>
      </c>
      <c r="X54" t="s">
        <v>1169</v>
      </c>
      <c r="Y54" t="s">
        <v>1170</v>
      </c>
      <c r="Z54" t="s">
        <v>1171</v>
      </c>
      <c r="AA54" t="s">
        <v>1172</v>
      </c>
      <c r="AB54" t="s">
        <v>1173</v>
      </c>
      <c r="AC54" t="s">
        <v>1174</v>
      </c>
      <c r="AD54" t="s">
        <v>1175</v>
      </c>
      <c r="AE54" t="s">
        <v>1176</v>
      </c>
      <c r="AF54" t="s">
        <v>74</v>
      </c>
      <c r="AG54">
        <v>97</v>
      </c>
      <c r="AH54">
        <v>121</v>
      </c>
      <c r="AI54">
        <v>138</v>
      </c>
      <c r="AJ54">
        <v>1</v>
      </c>
      <c r="AK54">
        <v>105</v>
      </c>
      <c r="AL54" t="s">
        <v>237</v>
      </c>
      <c r="AM54" t="s">
        <v>238</v>
      </c>
      <c r="AN54" t="s">
        <v>239</v>
      </c>
      <c r="AO54" t="s">
        <v>1177</v>
      </c>
      <c r="AP54" t="s">
        <v>1178</v>
      </c>
      <c r="AQ54" t="s">
        <v>74</v>
      </c>
      <c r="AR54" t="s">
        <v>1179</v>
      </c>
      <c r="AS54" t="s">
        <v>1180</v>
      </c>
      <c r="AT54" t="s">
        <v>99</v>
      </c>
      <c r="AU54">
        <v>2013</v>
      </c>
      <c r="AV54">
        <v>94</v>
      </c>
      <c r="AW54">
        <v>8</v>
      </c>
      <c r="AX54" t="s">
        <v>74</v>
      </c>
      <c r="AY54" t="s">
        <v>74</v>
      </c>
      <c r="AZ54" t="s">
        <v>74</v>
      </c>
      <c r="BA54" t="s">
        <v>74</v>
      </c>
      <c r="BB54">
        <v>1131</v>
      </c>
      <c r="BC54">
        <v>1144</v>
      </c>
      <c r="BD54" t="s">
        <v>74</v>
      </c>
      <c r="BE54" t="s">
        <v>1181</v>
      </c>
      <c r="BF54" t="str">
        <f>HYPERLINK("http://dx.doi.org/10.1175/BAMS-D-12-00100.1","http://dx.doi.org/10.1175/BAMS-D-12-00100.1")</f>
        <v>http://dx.doi.org/10.1175/BAMS-D-12-00100.1</v>
      </c>
      <c r="BG54" t="s">
        <v>74</v>
      </c>
      <c r="BH54" t="s">
        <v>74</v>
      </c>
      <c r="BI54">
        <v>14</v>
      </c>
      <c r="BJ54" t="s">
        <v>305</v>
      </c>
      <c r="BK54" t="s">
        <v>102</v>
      </c>
      <c r="BL54" t="s">
        <v>305</v>
      </c>
      <c r="BM54" t="s">
        <v>1182</v>
      </c>
      <c r="BN54" t="s">
        <v>74</v>
      </c>
      <c r="BO54" t="s">
        <v>1183</v>
      </c>
      <c r="BP54" t="s">
        <v>74</v>
      </c>
      <c r="BQ54" t="s">
        <v>74</v>
      </c>
      <c r="BR54" t="s">
        <v>105</v>
      </c>
      <c r="BS54" t="s">
        <v>1184</v>
      </c>
      <c r="BT54" t="str">
        <f>HYPERLINK("https%3A%2F%2Fwww.webofscience.com%2Fwos%2Fwoscc%2Ffull-record%2FWOS:000323482200005","View Full Record in Web of Science")</f>
        <v>View Full Record in Web of Science</v>
      </c>
    </row>
    <row r="55" spans="1:72" x14ac:dyDescent="0.15">
      <c r="A55" t="s">
        <v>72</v>
      </c>
      <c r="B55" t="s">
        <v>1185</v>
      </c>
      <c r="C55" t="s">
        <v>74</v>
      </c>
      <c r="D55" t="s">
        <v>74</v>
      </c>
      <c r="E55" t="s">
        <v>74</v>
      </c>
      <c r="F55" t="s">
        <v>1186</v>
      </c>
      <c r="G55" t="s">
        <v>74</v>
      </c>
      <c r="H55" t="s">
        <v>74</v>
      </c>
      <c r="I55" t="s">
        <v>1187</v>
      </c>
      <c r="J55" t="s">
        <v>1165</v>
      </c>
      <c r="K55" t="s">
        <v>74</v>
      </c>
      <c r="L55" t="s">
        <v>74</v>
      </c>
      <c r="M55" t="s">
        <v>78</v>
      </c>
      <c r="N55" t="s">
        <v>79</v>
      </c>
      <c r="O55" t="s">
        <v>74</v>
      </c>
      <c r="P55" t="s">
        <v>74</v>
      </c>
      <c r="Q55" t="s">
        <v>74</v>
      </c>
      <c r="R55" t="s">
        <v>74</v>
      </c>
      <c r="S55" t="s">
        <v>74</v>
      </c>
      <c r="T55" t="s">
        <v>74</v>
      </c>
      <c r="U55" t="s">
        <v>1188</v>
      </c>
      <c r="V55" t="s">
        <v>1189</v>
      </c>
      <c r="W55" t="s">
        <v>1190</v>
      </c>
      <c r="X55" t="s">
        <v>1191</v>
      </c>
      <c r="Y55" t="s">
        <v>1192</v>
      </c>
      <c r="Z55" t="s">
        <v>74</v>
      </c>
      <c r="AA55" t="s">
        <v>1193</v>
      </c>
      <c r="AB55" t="s">
        <v>1194</v>
      </c>
      <c r="AC55" t="s">
        <v>1195</v>
      </c>
      <c r="AD55" t="s">
        <v>1196</v>
      </c>
      <c r="AE55" t="s">
        <v>74</v>
      </c>
      <c r="AF55" t="s">
        <v>74</v>
      </c>
      <c r="AG55">
        <v>659</v>
      </c>
      <c r="AH55">
        <v>124</v>
      </c>
      <c r="AI55">
        <v>142</v>
      </c>
      <c r="AJ55">
        <v>4</v>
      </c>
      <c r="AK55">
        <v>345</v>
      </c>
      <c r="AL55" t="s">
        <v>237</v>
      </c>
      <c r="AM55" t="s">
        <v>238</v>
      </c>
      <c r="AN55" t="s">
        <v>1197</v>
      </c>
      <c r="AO55" t="s">
        <v>1177</v>
      </c>
      <c r="AP55" t="s">
        <v>1178</v>
      </c>
      <c r="AQ55" t="s">
        <v>74</v>
      </c>
      <c r="AR55" t="s">
        <v>1179</v>
      </c>
      <c r="AS55" t="s">
        <v>1180</v>
      </c>
      <c r="AT55" t="s">
        <v>99</v>
      </c>
      <c r="AU55">
        <v>2013</v>
      </c>
      <c r="AV55">
        <v>94</v>
      </c>
      <c r="AW55">
        <v>8</v>
      </c>
      <c r="AX55" t="s">
        <v>74</v>
      </c>
      <c r="AY55" t="s">
        <v>74</v>
      </c>
      <c r="AZ55" t="s">
        <v>74</v>
      </c>
      <c r="BA55" t="s">
        <v>74</v>
      </c>
      <c r="BB55" t="s">
        <v>1198</v>
      </c>
      <c r="BC55" t="s">
        <v>1199</v>
      </c>
      <c r="BD55" t="s">
        <v>74</v>
      </c>
      <c r="BE55" t="s">
        <v>1200</v>
      </c>
      <c r="BF55" t="str">
        <f>HYPERLINK("http://dx.doi.org/10.1175/2013BAMSStateoftheClimate.1","http://dx.doi.org/10.1175/2013BAMSStateoftheClimate.1")</f>
        <v>http://dx.doi.org/10.1175/2013BAMSStateoftheClimate.1</v>
      </c>
      <c r="BG55" t="s">
        <v>74</v>
      </c>
      <c r="BH55" t="s">
        <v>74</v>
      </c>
      <c r="BI55">
        <v>240</v>
      </c>
      <c r="BJ55" t="s">
        <v>305</v>
      </c>
      <c r="BK55" t="s">
        <v>102</v>
      </c>
      <c r="BL55" t="s">
        <v>305</v>
      </c>
      <c r="BM55" t="s">
        <v>1201</v>
      </c>
      <c r="BN55" t="s">
        <v>74</v>
      </c>
      <c r="BO55" t="s">
        <v>1202</v>
      </c>
      <c r="BP55" t="s">
        <v>74</v>
      </c>
      <c r="BQ55" t="s">
        <v>74</v>
      </c>
      <c r="BR55" t="s">
        <v>105</v>
      </c>
      <c r="BS55" t="s">
        <v>1203</v>
      </c>
      <c r="BT55" t="str">
        <f>HYPERLINK("https%3A%2F%2Fwww.webofscience.com%2Fwos%2Fwoscc%2Ffull-record%2FWOS:000330731200001","View Full Record in Web of Science")</f>
        <v>View Full Record in Web of Science</v>
      </c>
    </row>
    <row r="56" spans="1:72" x14ac:dyDescent="0.15">
      <c r="A56" t="s">
        <v>72</v>
      </c>
      <c r="B56" t="s">
        <v>1204</v>
      </c>
      <c r="C56" t="s">
        <v>74</v>
      </c>
      <c r="D56" t="s">
        <v>74</v>
      </c>
      <c r="E56" t="s">
        <v>74</v>
      </c>
      <c r="F56" t="s">
        <v>1205</v>
      </c>
      <c r="G56" t="s">
        <v>74</v>
      </c>
      <c r="H56" t="s">
        <v>74</v>
      </c>
      <c r="I56" t="s">
        <v>1206</v>
      </c>
      <c r="J56" t="s">
        <v>1207</v>
      </c>
      <c r="K56" t="s">
        <v>74</v>
      </c>
      <c r="L56" t="s">
        <v>74</v>
      </c>
      <c r="M56" t="s">
        <v>78</v>
      </c>
      <c r="N56" t="s">
        <v>79</v>
      </c>
      <c r="O56" t="s">
        <v>74</v>
      </c>
      <c r="P56" t="s">
        <v>74</v>
      </c>
      <c r="Q56" t="s">
        <v>74</v>
      </c>
      <c r="R56" t="s">
        <v>74</v>
      </c>
      <c r="S56" t="s">
        <v>74</v>
      </c>
      <c r="T56" t="s">
        <v>1208</v>
      </c>
      <c r="U56" t="s">
        <v>1209</v>
      </c>
      <c r="V56" t="s">
        <v>1210</v>
      </c>
      <c r="W56" t="s">
        <v>1211</v>
      </c>
      <c r="X56" t="s">
        <v>1212</v>
      </c>
      <c r="Y56" t="s">
        <v>1213</v>
      </c>
      <c r="Z56" t="s">
        <v>1214</v>
      </c>
      <c r="AA56" t="s">
        <v>1215</v>
      </c>
      <c r="AB56" t="s">
        <v>1216</v>
      </c>
      <c r="AC56" t="s">
        <v>1217</v>
      </c>
      <c r="AD56" t="s">
        <v>1218</v>
      </c>
      <c r="AE56" t="s">
        <v>1219</v>
      </c>
      <c r="AF56" t="s">
        <v>74</v>
      </c>
      <c r="AG56">
        <v>45</v>
      </c>
      <c r="AH56">
        <v>95</v>
      </c>
      <c r="AI56">
        <v>100</v>
      </c>
      <c r="AJ56">
        <v>0</v>
      </c>
      <c r="AK56">
        <v>44</v>
      </c>
      <c r="AL56" t="s">
        <v>529</v>
      </c>
      <c r="AM56" t="s">
        <v>391</v>
      </c>
      <c r="AN56" t="s">
        <v>1220</v>
      </c>
      <c r="AO56" t="s">
        <v>1221</v>
      </c>
      <c r="AP56" t="s">
        <v>1222</v>
      </c>
      <c r="AQ56" t="s">
        <v>74</v>
      </c>
      <c r="AR56" t="s">
        <v>1223</v>
      </c>
      <c r="AS56" t="s">
        <v>1224</v>
      </c>
      <c r="AT56" t="s">
        <v>99</v>
      </c>
      <c r="AU56">
        <v>2013</v>
      </c>
      <c r="AV56">
        <v>41</v>
      </c>
      <c r="AW56" t="s">
        <v>599</v>
      </c>
      <c r="AX56" t="s">
        <v>74</v>
      </c>
      <c r="AY56" t="s">
        <v>74</v>
      </c>
      <c r="AZ56" t="s">
        <v>74</v>
      </c>
      <c r="BA56" t="s">
        <v>74</v>
      </c>
      <c r="BB56">
        <v>867</v>
      </c>
      <c r="BC56">
        <v>884</v>
      </c>
      <c r="BD56" t="s">
        <v>74</v>
      </c>
      <c r="BE56" t="s">
        <v>1225</v>
      </c>
      <c r="BF56" t="str">
        <f>HYPERLINK("http://dx.doi.org/10.1007/s00382-013-1749-1","http://dx.doi.org/10.1007/s00382-013-1749-1")</f>
        <v>http://dx.doi.org/10.1007/s00382-013-1749-1</v>
      </c>
      <c r="BG56" t="s">
        <v>74</v>
      </c>
      <c r="BH56" t="s">
        <v>74</v>
      </c>
      <c r="BI56">
        <v>18</v>
      </c>
      <c r="BJ56" t="s">
        <v>305</v>
      </c>
      <c r="BK56" t="s">
        <v>102</v>
      </c>
      <c r="BL56" t="s">
        <v>305</v>
      </c>
      <c r="BM56" t="s">
        <v>1226</v>
      </c>
      <c r="BN56" t="s">
        <v>74</v>
      </c>
      <c r="BO56" t="s">
        <v>74</v>
      </c>
      <c r="BP56" t="s">
        <v>74</v>
      </c>
      <c r="BQ56" t="s">
        <v>74</v>
      </c>
      <c r="BR56" t="s">
        <v>105</v>
      </c>
      <c r="BS56" t="s">
        <v>1227</v>
      </c>
      <c r="BT56" t="str">
        <f>HYPERLINK("https%3A%2F%2Fwww.webofscience.com%2Fwos%2Fwoscc%2Ffull-record%2FWOS:000322619500020","View Full Record in Web of Science")</f>
        <v>View Full Record in Web of Science</v>
      </c>
    </row>
    <row r="57" spans="1:72" x14ac:dyDescent="0.15">
      <c r="A57" t="s">
        <v>72</v>
      </c>
      <c r="B57" t="s">
        <v>1228</v>
      </c>
      <c r="C57" t="s">
        <v>74</v>
      </c>
      <c r="D57" t="s">
        <v>74</v>
      </c>
      <c r="E57" t="s">
        <v>74</v>
      </c>
      <c r="F57" t="s">
        <v>1229</v>
      </c>
      <c r="G57" t="s">
        <v>74</v>
      </c>
      <c r="H57" t="s">
        <v>74</v>
      </c>
      <c r="I57" t="s">
        <v>1230</v>
      </c>
      <c r="J57" t="s">
        <v>1231</v>
      </c>
      <c r="K57" t="s">
        <v>74</v>
      </c>
      <c r="L57" t="s">
        <v>74</v>
      </c>
      <c r="M57" t="s">
        <v>78</v>
      </c>
      <c r="N57" t="s">
        <v>79</v>
      </c>
      <c r="O57" t="s">
        <v>74</v>
      </c>
      <c r="P57" t="s">
        <v>74</v>
      </c>
      <c r="Q57" t="s">
        <v>74</v>
      </c>
      <c r="R57" t="s">
        <v>74</v>
      </c>
      <c r="S57" t="s">
        <v>74</v>
      </c>
      <c r="T57" t="s">
        <v>1232</v>
      </c>
      <c r="U57" t="s">
        <v>1233</v>
      </c>
      <c r="V57" t="s">
        <v>1234</v>
      </c>
      <c r="W57" t="s">
        <v>1235</v>
      </c>
      <c r="X57" t="s">
        <v>1236</v>
      </c>
      <c r="Y57" t="s">
        <v>1237</v>
      </c>
      <c r="Z57" t="s">
        <v>1238</v>
      </c>
      <c r="AA57" t="s">
        <v>1239</v>
      </c>
      <c r="AB57" t="s">
        <v>1240</v>
      </c>
      <c r="AC57" t="s">
        <v>1241</v>
      </c>
      <c r="AD57" t="s">
        <v>1242</v>
      </c>
      <c r="AE57" t="s">
        <v>1243</v>
      </c>
      <c r="AF57" t="s">
        <v>74</v>
      </c>
      <c r="AG57">
        <v>54</v>
      </c>
      <c r="AH57">
        <v>16</v>
      </c>
      <c r="AI57">
        <v>24</v>
      </c>
      <c r="AJ57">
        <v>1</v>
      </c>
      <c r="AK57">
        <v>27</v>
      </c>
      <c r="AL57" t="s">
        <v>1244</v>
      </c>
      <c r="AM57" t="s">
        <v>391</v>
      </c>
      <c r="AN57" t="s">
        <v>1245</v>
      </c>
      <c r="AO57" t="s">
        <v>1246</v>
      </c>
      <c r="AP57" t="s">
        <v>1247</v>
      </c>
      <c r="AQ57" t="s">
        <v>74</v>
      </c>
      <c r="AR57" t="s">
        <v>1248</v>
      </c>
      <c r="AS57" t="s">
        <v>1249</v>
      </c>
      <c r="AT57" t="s">
        <v>99</v>
      </c>
      <c r="AU57">
        <v>2013</v>
      </c>
      <c r="AV57">
        <v>165</v>
      </c>
      <c r="AW57">
        <v>4</v>
      </c>
      <c r="AX57" t="s">
        <v>74</v>
      </c>
      <c r="AY57" t="s">
        <v>74</v>
      </c>
      <c r="AZ57" t="s">
        <v>74</v>
      </c>
      <c r="BA57" t="s">
        <v>74</v>
      </c>
      <c r="BB57">
        <v>219</v>
      </c>
      <c r="BC57">
        <v>225</v>
      </c>
      <c r="BD57" t="s">
        <v>74</v>
      </c>
      <c r="BE57" t="s">
        <v>1250</v>
      </c>
      <c r="BF57" t="str">
        <f>HYPERLINK("http://dx.doi.org/10.1016/j.cbpb.2013.05.001","http://dx.doi.org/10.1016/j.cbpb.2013.05.001")</f>
        <v>http://dx.doi.org/10.1016/j.cbpb.2013.05.001</v>
      </c>
      <c r="BG57" t="s">
        <v>74</v>
      </c>
      <c r="BH57" t="s">
        <v>74</v>
      </c>
      <c r="BI57">
        <v>7</v>
      </c>
      <c r="BJ57" t="s">
        <v>1251</v>
      </c>
      <c r="BK57" t="s">
        <v>102</v>
      </c>
      <c r="BL57" t="s">
        <v>1251</v>
      </c>
      <c r="BM57" t="s">
        <v>1252</v>
      </c>
      <c r="BN57">
        <v>23701990</v>
      </c>
      <c r="BO57" t="s">
        <v>74</v>
      </c>
      <c r="BP57" t="s">
        <v>74</v>
      </c>
      <c r="BQ57" t="s">
        <v>74</v>
      </c>
      <c r="BR57" t="s">
        <v>105</v>
      </c>
      <c r="BS57" t="s">
        <v>1253</v>
      </c>
      <c r="BT57" t="str">
        <f>HYPERLINK("https%3A%2F%2Fwww.webofscience.com%2Fwos%2Fwoscc%2Ffull-record%2FWOS:000321482000001","View Full Record in Web of Science")</f>
        <v>View Full Record in Web of Science</v>
      </c>
    </row>
    <row r="58" spans="1:72" x14ac:dyDescent="0.15">
      <c r="A58" t="s">
        <v>72</v>
      </c>
      <c r="B58" t="s">
        <v>1254</v>
      </c>
      <c r="C58" t="s">
        <v>74</v>
      </c>
      <c r="D58" t="s">
        <v>74</v>
      </c>
      <c r="E58" t="s">
        <v>74</v>
      </c>
      <c r="F58" t="s">
        <v>1255</v>
      </c>
      <c r="G58" t="s">
        <v>74</v>
      </c>
      <c r="H58" t="s">
        <v>74</v>
      </c>
      <c r="I58" t="s">
        <v>1256</v>
      </c>
      <c r="J58" t="s">
        <v>1257</v>
      </c>
      <c r="K58" t="s">
        <v>74</v>
      </c>
      <c r="L58" t="s">
        <v>74</v>
      </c>
      <c r="M58" t="s">
        <v>78</v>
      </c>
      <c r="N58" t="s">
        <v>79</v>
      </c>
      <c r="O58" t="s">
        <v>74</v>
      </c>
      <c r="P58" t="s">
        <v>74</v>
      </c>
      <c r="Q58" t="s">
        <v>74</v>
      </c>
      <c r="R58" t="s">
        <v>74</v>
      </c>
      <c r="S58" t="s">
        <v>74</v>
      </c>
      <c r="T58" t="s">
        <v>1258</v>
      </c>
      <c r="U58" t="s">
        <v>1259</v>
      </c>
      <c r="V58" t="s">
        <v>1260</v>
      </c>
      <c r="W58" t="s">
        <v>1261</v>
      </c>
      <c r="X58" t="s">
        <v>1262</v>
      </c>
      <c r="Y58" t="s">
        <v>1263</v>
      </c>
      <c r="Z58" t="s">
        <v>1264</v>
      </c>
      <c r="AA58" t="s">
        <v>1265</v>
      </c>
      <c r="AB58" t="s">
        <v>74</v>
      </c>
      <c r="AC58" t="s">
        <v>1266</v>
      </c>
      <c r="AD58" t="s">
        <v>1267</v>
      </c>
      <c r="AE58" t="s">
        <v>1268</v>
      </c>
      <c r="AF58" t="s">
        <v>74</v>
      </c>
      <c r="AG58">
        <v>43</v>
      </c>
      <c r="AH58">
        <v>18</v>
      </c>
      <c r="AI58">
        <v>20</v>
      </c>
      <c r="AJ58">
        <v>2</v>
      </c>
      <c r="AK58">
        <v>52</v>
      </c>
      <c r="AL58" t="s">
        <v>506</v>
      </c>
      <c r="AM58" t="s">
        <v>442</v>
      </c>
      <c r="AN58" t="s">
        <v>507</v>
      </c>
      <c r="AO58" t="s">
        <v>1269</v>
      </c>
      <c r="AP58" t="s">
        <v>1270</v>
      </c>
      <c r="AQ58" t="s">
        <v>74</v>
      </c>
      <c r="AR58" t="s">
        <v>1271</v>
      </c>
      <c r="AS58" t="s">
        <v>1272</v>
      </c>
      <c r="AT58" t="s">
        <v>99</v>
      </c>
      <c r="AU58">
        <v>2013</v>
      </c>
      <c r="AV58">
        <v>78</v>
      </c>
      <c r="AW58" t="s">
        <v>74</v>
      </c>
      <c r="AX58" t="s">
        <v>74</v>
      </c>
      <c r="AY58" t="s">
        <v>74</v>
      </c>
      <c r="AZ58" t="s">
        <v>74</v>
      </c>
      <c r="BA58" t="s">
        <v>74</v>
      </c>
      <c r="BB58">
        <v>70</v>
      </c>
      <c r="BC58">
        <v>78</v>
      </c>
      <c r="BD58" t="s">
        <v>74</v>
      </c>
      <c r="BE58" t="s">
        <v>1273</v>
      </c>
      <c r="BF58" t="str">
        <f>HYPERLINK("http://dx.doi.org/10.1016/j.dsr.2013.04.007","http://dx.doi.org/10.1016/j.dsr.2013.04.007")</f>
        <v>http://dx.doi.org/10.1016/j.dsr.2013.04.007</v>
      </c>
      <c r="BG58" t="s">
        <v>74</v>
      </c>
      <c r="BH58" t="s">
        <v>74</v>
      </c>
      <c r="BI58">
        <v>9</v>
      </c>
      <c r="BJ58" t="s">
        <v>327</v>
      </c>
      <c r="BK58" t="s">
        <v>102</v>
      </c>
      <c r="BL58" t="s">
        <v>327</v>
      </c>
      <c r="BM58" t="s">
        <v>1274</v>
      </c>
      <c r="BN58" t="s">
        <v>74</v>
      </c>
      <c r="BO58" t="s">
        <v>104</v>
      </c>
      <c r="BP58" t="s">
        <v>74</v>
      </c>
      <c r="BQ58" t="s">
        <v>74</v>
      </c>
      <c r="BR58" t="s">
        <v>105</v>
      </c>
      <c r="BS58" t="s">
        <v>1275</v>
      </c>
      <c r="BT58" t="str">
        <f>HYPERLINK("https%3A%2F%2Fwww.webofscience.com%2Fwos%2Fwoscc%2Ffull-record%2FWOS:000321540400007","View Full Record in Web of Science")</f>
        <v>View Full Record in Web of Science</v>
      </c>
    </row>
    <row r="59" spans="1:72" x14ac:dyDescent="0.15">
      <c r="A59" t="s">
        <v>72</v>
      </c>
      <c r="B59" t="s">
        <v>1276</v>
      </c>
      <c r="C59" t="s">
        <v>74</v>
      </c>
      <c r="D59" t="s">
        <v>74</v>
      </c>
      <c r="E59" t="s">
        <v>74</v>
      </c>
      <c r="F59" t="s">
        <v>1277</v>
      </c>
      <c r="G59" t="s">
        <v>74</v>
      </c>
      <c r="H59" t="s">
        <v>74</v>
      </c>
      <c r="I59" t="s">
        <v>1278</v>
      </c>
      <c r="J59" t="s">
        <v>919</v>
      </c>
      <c r="K59" t="s">
        <v>74</v>
      </c>
      <c r="L59" t="s">
        <v>74</v>
      </c>
      <c r="M59" t="s">
        <v>78</v>
      </c>
      <c r="N59" t="s">
        <v>79</v>
      </c>
      <c r="O59" t="s">
        <v>74</v>
      </c>
      <c r="P59" t="s">
        <v>74</v>
      </c>
      <c r="Q59" t="s">
        <v>74</v>
      </c>
      <c r="R59" t="s">
        <v>74</v>
      </c>
      <c r="S59" t="s">
        <v>74</v>
      </c>
      <c r="T59" t="s">
        <v>1279</v>
      </c>
      <c r="U59" t="s">
        <v>1280</v>
      </c>
      <c r="V59" t="s">
        <v>1281</v>
      </c>
      <c r="W59" t="s">
        <v>1282</v>
      </c>
      <c r="X59" t="s">
        <v>1283</v>
      </c>
      <c r="Y59" t="s">
        <v>1284</v>
      </c>
      <c r="Z59" t="s">
        <v>1285</v>
      </c>
      <c r="AA59" t="s">
        <v>1286</v>
      </c>
      <c r="AB59" t="s">
        <v>1287</v>
      </c>
      <c r="AC59" t="s">
        <v>1288</v>
      </c>
      <c r="AD59" t="s">
        <v>1289</v>
      </c>
      <c r="AE59" t="s">
        <v>1290</v>
      </c>
      <c r="AF59" t="s">
        <v>74</v>
      </c>
      <c r="AG59">
        <v>69</v>
      </c>
      <c r="AH59">
        <v>8</v>
      </c>
      <c r="AI59">
        <v>8</v>
      </c>
      <c r="AJ59">
        <v>1</v>
      </c>
      <c r="AK59">
        <v>28</v>
      </c>
      <c r="AL59" t="s">
        <v>506</v>
      </c>
      <c r="AM59" t="s">
        <v>442</v>
      </c>
      <c r="AN59" t="s">
        <v>507</v>
      </c>
      <c r="AO59" t="s">
        <v>931</v>
      </c>
      <c r="AP59" t="s">
        <v>932</v>
      </c>
      <c r="AQ59" t="s">
        <v>74</v>
      </c>
      <c r="AR59" t="s">
        <v>933</v>
      </c>
      <c r="AS59" t="s">
        <v>934</v>
      </c>
      <c r="AT59" t="s">
        <v>99</v>
      </c>
      <c r="AU59">
        <v>2013</v>
      </c>
      <c r="AV59">
        <v>92</v>
      </c>
      <c r="AW59" t="s">
        <v>74</v>
      </c>
      <c r="AX59" t="s">
        <v>74</v>
      </c>
      <c r="AY59" t="s">
        <v>74</v>
      </c>
      <c r="AZ59" t="s">
        <v>935</v>
      </c>
      <c r="BA59" t="s">
        <v>74</v>
      </c>
      <c r="BB59">
        <v>27</v>
      </c>
      <c r="BC59">
        <v>35</v>
      </c>
      <c r="BD59" t="s">
        <v>74</v>
      </c>
      <c r="BE59" t="s">
        <v>1291</v>
      </c>
      <c r="BF59" t="str">
        <f>HYPERLINK("http://dx.doi.org/10.1016/j.dsr2.2013.02.005","http://dx.doi.org/10.1016/j.dsr2.2013.02.005")</f>
        <v>http://dx.doi.org/10.1016/j.dsr2.2013.02.005</v>
      </c>
      <c r="BG59" t="s">
        <v>74</v>
      </c>
      <c r="BH59" t="s">
        <v>74</v>
      </c>
      <c r="BI59">
        <v>9</v>
      </c>
      <c r="BJ59" t="s">
        <v>327</v>
      </c>
      <c r="BK59" t="s">
        <v>102</v>
      </c>
      <c r="BL59" t="s">
        <v>327</v>
      </c>
      <c r="BM59" t="s">
        <v>937</v>
      </c>
      <c r="BN59" t="s">
        <v>74</v>
      </c>
      <c r="BO59" t="s">
        <v>74</v>
      </c>
      <c r="BP59" t="s">
        <v>74</v>
      </c>
      <c r="BQ59" t="s">
        <v>74</v>
      </c>
      <c r="BR59" t="s">
        <v>105</v>
      </c>
      <c r="BS59" t="s">
        <v>1292</v>
      </c>
      <c r="BT59" t="str">
        <f>HYPERLINK("https%3A%2F%2Fwww.webofscience.com%2Fwos%2Fwoscc%2Ffull-record%2FWOS:000321177000004","View Full Record in Web of Science")</f>
        <v>View Full Record in Web of Science</v>
      </c>
    </row>
    <row r="60" spans="1:72" x14ac:dyDescent="0.15">
      <c r="A60" t="s">
        <v>72</v>
      </c>
      <c r="B60" t="s">
        <v>1293</v>
      </c>
      <c r="C60" t="s">
        <v>74</v>
      </c>
      <c r="D60" t="s">
        <v>74</v>
      </c>
      <c r="E60" t="s">
        <v>74</v>
      </c>
      <c r="F60" t="s">
        <v>1294</v>
      </c>
      <c r="G60" t="s">
        <v>74</v>
      </c>
      <c r="H60" t="s">
        <v>74</v>
      </c>
      <c r="I60" t="s">
        <v>1295</v>
      </c>
      <c r="J60" t="s">
        <v>919</v>
      </c>
      <c r="K60" t="s">
        <v>74</v>
      </c>
      <c r="L60" t="s">
        <v>74</v>
      </c>
      <c r="M60" t="s">
        <v>78</v>
      </c>
      <c r="N60" t="s">
        <v>79</v>
      </c>
      <c r="O60" t="s">
        <v>74</v>
      </c>
      <c r="P60" t="s">
        <v>74</v>
      </c>
      <c r="Q60" t="s">
        <v>74</v>
      </c>
      <c r="R60" t="s">
        <v>74</v>
      </c>
      <c r="S60" t="s">
        <v>74</v>
      </c>
      <c r="T60" t="s">
        <v>1296</v>
      </c>
      <c r="U60" t="s">
        <v>1297</v>
      </c>
      <c r="V60" t="s">
        <v>1298</v>
      </c>
      <c r="W60" t="s">
        <v>1299</v>
      </c>
      <c r="X60" t="s">
        <v>1300</v>
      </c>
      <c r="Y60" t="s">
        <v>1301</v>
      </c>
      <c r="Z60" t="s">
        <v>1302</v>
      </c>
      <c r="AA60" t="s">
        <v>74</v>
      </c>
      <c r="AB60" t="s">
        <v>74</v>
      </c>
      <c r="AC60" t="s">
        <v>1303</v>
      </c>
      <c r="AD60" t="s">
        <v>1304</v>
      </c>
      <c r="AE60" t="s">
        <v>74</v>
      </c>
      <c r="AF60" t="s">
        <v>74</v>
      </c>
      <c r="AG60">
        <v>46</v>
      </c>
      <c r="AH60">
        <v>9</v>
      </c>
      <c r="AI60">
        <v>10</v>
      </c>
      <c r="AJ60">
        <v>0</v>
      </c>
      <c r="AK60">
        <v>17</v>
      </c>
      <c r="AL60" t="s">
        <v>506</v>
      </c>
      <c r="AM60" t="s">
        <v>442</v>
      </c>
      <c r="AN60" t="s">
        <v>507</v>
      </c>
      <c r="AO60" t="s">
        <v>931</v>
      </c>
      <c r="AP60" t="s">
        <v>932</v>
      </c>
      <c r="AQ60" t="s">
        <v>74</v>
      </c>
      <c r="AR60" t="s">
        <v>933</v>
      </c>
      <c r="AS60" t="s">
        <v>934</v>
      </c>
      <c r="AT60" t="s">
        <v>99</v>
      </c>
      <c r="AU60">
        <v>2013</v>
      </c>
      <c r="AV60">
        <v>92</v>
      </c>
      <c r="AW60" t="s">
        <v>74</v>
      </c>
      <c r="AX60" t="s">
        <v>74</v>
      </c>
      <c r="AY60" t="s">
        <v>74</v>
      </c>
      <c r="AZ60" t="s">
        <v>935</v>
      </c>
      <c r="BA60" t="s">
        <v>74</v>
      </c>
      <c r="BB60">
        <v>73</v>
      </c>
      <c r="BC60">
        <v>78</v>
      </c>
      <c r="BD60" t="s">
        <v>74</v>
      </c>
      <c r="BE60" t="s">
        <v>1305</v>
      </c>
      <c r="BF60" t="str">
        <f>HYPERLINK("http://dx.doi.org/10.1016/j.dsr2.2013.01.024","http://dx.doi.org/10.1016/j.dsr2.2013.01.024")</f>
        <v>http://dx.doi.org/10.1016/j.dsr2.2013.01.024</v>
      </c>
      <c r="BG60" t="s">
        <v>74</v>
      </c>
      <c r="BH60" t="s">
        <v>74</v>
      </c>
      <c r="BI60">
        <v>6</v>
      </c>
      <c r="BJ60" t="s">
        <v>327</v>
      </c>
      <c r="BK60" t="s">
        <v>102</v>
      </c>
      <c r="BL60" t="s">
        <v>327</v>
      </c>
      <c r="BM60" t="s">
        <v>937</v>
      </c>
      <c r="BN60" t="s">
        <v>74</v>
      </c>
      <c r="BO60" t="s">
        <v>74</v>
      </c>
      <c r="BP60" t="s">
        <v>74</v>
      </c>
      <c r="BQ60" t="s">
        <v>74</v>
      </c>
      <c r="BR60" t="s">
        <v>105</v>
      </c>
      <c r="BS60" t="s">
        <v>1306</v>
      </c>
      <c r="BT60" t="str">
        <f>HYPERLINK("https%3A%2F%2Fwww.webofscience.com%2Fwos%2Fwoscc%2Ffull-record%2FWOS:000321177000009","View Full Record in Web of Science")</f>
        <v>View Full Record in Web of Science</v>
      </c>
    </row>
    <row r="61" spans="1:72" x14ac:dyDescent="0.15">
      <c r="A61" t="s">
        <v>72</v>
      </c>
      <c r="B61" t="s">
        <v>1307</v>
      </c>
      <c r="C61" t="s">
        <v>74</v>
      </c>
      <c r="D61" t="s">
        <v>74</v>
      </c>
      <c r="E61" t="s">
        <v>74</v>
      </c>
      <c r="F61" t="s">
        <v>1308</v>
      </c>
      <c r="G61" t="s">
        <v>74</v>
      </c>
      <c r="H61" t="s">
        <v>74</v>
      </c>
      <c r="I61" t="s">
        <v>1309</v>
      </c>
      <c r="J61" t="s">
        <v>919</v>
      </c>
      <c r="K61" t="s">
        <v>74</v>
      </c>
      <c r="L61" t="s">
        <v>74</v>
      </c>
      <c r="M61" t="s">
        <v>78</v>
      </c>
      <c r="N61" t="s">
        <v>79</v>
      </c>
      <c r="O61" t="s">
        <v>74</v>
      </c>
      <c r="P61" t="s">
        <v>74</v>
      </c>
      <c r="Q61" t="s">
        <v>74</v>
      </c>
      <c r="R61" t="s">
        <v>74</v>
      </c>
      <c r="S61" t="s">
        <v>74</v>
      </c>
      <c r="T61" t="s">
        <v>1310</v>
      </c>
      <c r="U61" t="s">
        <v>1311</v>
      </c>
      <c r="V61" t="s">
        <v>1312</v>
      </c>
      <c r="W61" t="s">
        <v>1313</v>
      </c>
      <c r="X61" t="s">
        <v>1314</v>
      </c>
      <c r="Y61" t="s">
        <v>1315</v>
      </c>
      <c r="Z61" t="s">
        <v>1316</v>
      </c>
      <c r="AA61" t="s">
        <v>1317</v>
      </c>
      <c r="AB61" t="s">
        <v>1318</v>
      </c>
      <c r="AC61" t="s">
        <v>1319</v>
      </c>
      <c r="AD61" t="s">
        <v>1320</v>
      </c>
      <c r="AE61" t="s">
        <v>1321</v>
      </c>
      <c r="AF61" t="s">
        <v>74</v>
      </c>
      <c r="AG61">
        <v>68</v>
      </c>
      <c r="AH61">
        <v>51</v>
      </c>
      <c r="AI61">
        <v>53</v>
      </c>
      <c r="AJ61">
        <v>3</v>
      </c>
      <c r="AK61">
        <v>138</v>
      </c>
      <c r="AL61" t="s">
        <v>506</v>
      </c>
      <c r="AM61" t="s">
        <v>442</v>
      </c>
      <c r="AN61" t="s">
        <v>507</v>
      </c>
      <c r="AO61" t="s">
        <v>931</v>
      </c>
      <c r="AP61" t="s">
        <v>932</v>
      </c>
      <c r="AQ61" t="s">
        <v>74</v>
      </c>
      <c r="AR61" t="s">
        <v>933</v>
      </c>
      <c r="AS61" t="s">
        <v>934</v>
      </c>
      <c r="AT61" t="s">
        <v>99</v>
      </c>
      <c r="AU61">
        <v>2013</v>
      </c>
      <c r="AV61">
        <v>92</v>
      </c>
      <c r="AW61" t="s">
        <v>74</v>
      </c>
      <c r="AX61" t="s">
        <v>74</v>
      </c>
      <c r="AY61" t="s">
        <v>74</v>
      </c>
      <c r="AZ61" t="s">
        <v>935</v>
      </c>
      <c r="BA61" t="s">
        <v>74</v>
      </c>
      <c r="BB61">
        <v>87</v>
      </c>
      <c r="BC61">
        <v>96</v>
      </c>
      <c r="BD61" t="s">
        <v>74</v>
      </c>
      <c r="BE61" t="s">
        <v>1322</v>
      </c>
      <c r="BF61" t="str">
        <f>HYPERLINK("http://dx.doi.org/10.1016/j.dsr2.2013.01.028","http://dx.doi.org/10.1016/j.dsr2.2013.01.028")</f>
        <v>http://dx.doi.org/10.1016/j.dsr2.2013.01.028</v>
      </c>
      <c r="BG61" t="s">
        <v>74</v>
      </c>
      <c r="BH61" t="s">
        <v>74</v>
      </c>
      <c r="BI61">
        <v>10</v>
      </c>
      <c r="BJ61" t="s">
        <v>327</v>
      </c>
      <c r="BK61" t="s">
        <v>102</v>
      </c>
      <c r="BL61" t="s">
        <v>327</v>
      </c>
      <c r="BM61" t="s">
        <v>937</v>
      </c>
      <c r="BN61" t="s">
        <v>74</v>
      </c>
      <c r="BO61" t="s">
        <v>74</v>
      </c>
      <c r="BP61" t="s">
        <v>74</v>
      </c>
      <c r="BQ61" t="s">
        <v>74</v>
      </c>
      <c r="BR61" t="s">
        <v>105</v>
      </c>
      <c r="BS61" t="s">
        <v>1323</v>
      </c>
      <c r="BT61" t="str">
        <f>HYPERLINK("https%3A%2F%2Fwww.webofscience.com%2Fwos%2Fwoscc%2Ffull-record%2FWOS:000321177000011","View Full Record in Web of Science")</f>
        <v>View Full Record in Web of Science</v>
      </c>
    </row>
    <row r="62" spans="1:72" x14ac:dyDescent="0.15">
      <c r="A62" t="s">
        <v>72</v>
      </c>
      <c r="B62" t="s">
        <v>1324</v>
      </c>
      <c r="C62" t="s">
        <v>74</v>
      </c>
      <c r="D62" t="s">
        <v>74</v>
      </c>
      <c r="E62" t="s">
        <v>74</v>
      </c>
      <c r="F62" t="s">
        <v>1325</v>
      </c>
      <c r="G62" t="s">
        <v>74</v>
      </c>
      <c r="H62" t="s">
        <v>74</v>
      </c>
      <c r="I62" t="s">
        <v>1326</v>
      </c>
      <c r="J62" t="s">
        <v>919</v>
      </c>
      <c r="K62" t="s">
        <v>74</v>
      </c>
      <c r="L62" t="s">
        <v>74</v>
      </c>
      <c r="M62" t="s">
        <v>78</v>
      </c>
      <c r="N62" t="s">
        <v>79</v>
      </c>
      <c r="O62" t="s">
        <v>74</v>
      </c>
      <c r="P62" t="s">
        <v>74</v>
      </c>
      <c r="Q62" t="s">
        <v>74</v>
      </c>
      <c r="R62" t="s">
        <v>74</v>
      </c>
      <c r="S62" t="s">
        <v>74</v>
      </c>
      <c r="T62" t="s">
        <v>1327</v>
      </c>
      <c r="U62" t="s">
        <v>1328</v>
      </c>
      <c r="V62" t="s">
        <v>1329</v>
      </c>
      <c r="W62" t="s">
        <v>1330</v>
      </c>
      <c r="X62" t="s">
        <v>1331</v>
      </c>
      <c r="Y62" t="s">
        <v>1332</v>
      </c>
      <c r="Z62" t="s">
        <v>1333</v>
      </c>
      <c r="AA62" t="s">
        <v>1334</v>
      </c>
      <c r="AB62" t="s">
        <v>1335</v>
      </c>
      <c r="AC62" t="s">
        <v>1336</v>
      </c>
      <c r="AD62" t="s">
        <v>1337</v>
      </c>
      <c r="AE62" t="s">
        <v>1338</v>
      </c>
      <c r="AF62" t="s">
        <v>74</v>
      </c>
      <c r="AG62">
        <v>64</v>
      </c>
      <c r="AH62">
        <v>12</v>
      </c>
      <c r="AI62">
        <v>13</v>
      </c>
      <c r="AJ62">
        <v>0</v>
      </c>
      <c r="AK62">
        <v>9</v>
      </c>
      <c r="AL62" t="s">
        <v>506</v>
      </c>
      <c r="AM62" t="s">
        <v>442</v>
      </c>
      <c r="AN62" t="s">
        <v>507</v>
      </c>
      <c r="AO62" t="s">
        <v>931</v>
      </c>
      <c r="AP62" t="s">
        <v>932</v>
      </c>
      <c r="AQ62" t="s">
        <v>74</v>
      </c>
      <c r="AR62" t="s">
        <v>933</v>
      </c>
      <c r="AS62" t="s">
        <v>934</v>
      </c>
      <c r="AT62" t="s">
        <v>99</v>
      </c>
      <c r="AU62">
        <v>2013</v>
      </c>
      <c r="AV62">
        <v>92</v>
      </c>
      <c r="AW62" t="s">
        <v>74</v>
      </c>
      <c r="AX62" t="s">
        <v>74</v>
      </c>
      <c r="AY62" t="s">
        <v>74</v>
      </c>
      <c r="AZ62" t="s">
        <v>935</v>
      </c>
      <c r="BA62" t="s">
        <v>74</v>
      </c>
      <c r="BB62">
        <v>145</v>
      </c>
      <c r="BC62">
        <v>156</v>
      </c>
      <c r="BD62" t="s">
        <v>74</v>
      </c>
      <c r="BE62" t="s">
        <v>1339</v>
      </c>
      <c r="BF62" t="str">
        <f>HYPERLINK("http://dx.doi.org/10.1016/j.dsr2.2013.01.022","http://dx.doi.org/10.1016/j.dsr2.2013.01.022")</f>
        <v>http://dx.doi.org/10.1016/j.dsr2.2013.01.022</v>
      </c>
      <c r="BG62" t="s">
        <v>74</v>
      </c>
      <c r="BH62" t="s">
        <v>74</v>
      </c>
      <c r="BI62">
        <v>12</v>
      </c>
      <c r="BJ62" t="s">
        <v>327</v>
      </c>
      <c r="BK62" t="s">
        <v>102</v>
      </c>
      <c r="BL62" t="s">
        <v>327</v>
      </c>
      <c r="BM62" t="s">
        <v>937</v>
      </c>
      <c r="BN62" t="s">
        <v>74</v>
      </c>
      <c r="BO62" t="s">
        <v>1063</v>
      </c>
      <c r="BP62" t="s">
        <v>74</v>
      </c>
      <c r="BQ62" t="s">
        <v>74</v>
      </c>
      <c r="BR62" t="s">
        <v>105</v>
      </c>
      <c r="BS62" t="s">
        <v>1340</v>
      </c>
      <c r="BT62" t="str">
        <f>HYPERLINK("https%3A%2F%2Fwww.webofscience.com%2Fwos%2Fwoscc%2Ffull-record%2FWOS:000321177000017","View Full Record in Web of Science")</f>
        <v>View Full Record in Web of Science</v>
      </c>
    </row>
    <row r="63" spans="1:72" x14ac:dyDescent="0.15">
      <c r="A63" t="s">
        <v>72</v>
      </c>
      <c r="B63" t="s">
        <v>1341</v>
      </c>
      <c r="C63" t="s">
        <v>74</v>
      </c>
      <c r="D63" t="s">
        <v>74</v>
      </c>
      <c r="E63" t="s">
        <v>74</v>
      </c>
      <c r="F63" t="s">
        <v>1342</v>
      </c>
      <c r="G63" t="s">
        <v>74</v>
      </c>
      <c r="H63" t="s">
        <v>74</v>
      </c>
      <c r="I63" t="s">
        <v>1343</v>
      </c>
      <c r="J63" t="s">
        <v>1344</v>
      </c>
      <c r="K63" t="s">
        <v>74</v>
      </c>
      <c r="L63" t="s">
        <v>74</v>
      </c>
      <c r="M63" t="s">
        <v>78</v>
      </c>
      <c r="N63" t="s">
        <v>79</v>
      </c>
      <c r="O63" t="s">
        <v>74</v>
      </c>
      <c r="P63" t="s">
        <v>74</v>
      </c>
      <c r="Q63" t="s">
        <v>74</v>
      </c>
      <c r="R63" t="s">
        <v>74</v>
      </c>
      <c r="S63" t="s">
        <v>74</v>
      </c>
      <c r="T63" t="s">
        <v>1345</v>
      </c>
      <c r="U63" t="s">
        <v>1346</v>
      </c>
      <c r="V63" t="s">
        <v>1347</v>
      </c>
      <c r="W63" t="s">
        <v>1348</v>
      </c>
      <c r="X63" t="s">
        <v>1349</v>
      </c>
      <c r="Y63" t="s">
        <v>1350</v>
      </c>
      <c r="Z63" t="s">
        <v>1351</v>
      </c>
      <c r="AA63" t="s">
        <v>74</v>
      </c>
      <c r="AB63" t="s">
        <v>1352</v>
      </c>
      <c r="AC63" t="s">
        <v>1353</v>
      </c>
      <c r="AD63" t="s">
        <v>1354</v>
      </c>
      <c r="AE63" t="s">
        <v>1355</v>
      </c>
      <c r="AF63" t="s">
        <v>74</v>
      </c>
      <c r="AG63">
        <v>80</v>
      </c>
      <c r="AH63">
        <v>81</v>
      </c>
      <c r="AI63">
        <v>94</v>
      </c>
      <c r="AJ63">
        <v>0</v>
      </c>
      <c r="AK63">
        <v>122</v>
      </c>
      <c r="AL63" t="s">
        <v>368</v>
      </c>
      <c r="AM63" t="s">
        <v>369</v>
      </c>
      <c r="AN63" t="s">
        <v>370</v>
      </c>
      <c r="AO63" t="s">
        <v>1356</v>
      </c>
      <c r="AP63" t="s">
        <v>1357</v>
      </c>
      <c r="AQ63" t="s">
        <v>74</v>
      </c>
      <c r="AR63" t="s">
        <v>1358</v>
      </c>
      <c r="AS63" t="s">
        <v>1359</v>
      </c>
      <c r="AT63" t="s">
        <v>99</v>
      </c>
      <c r="AU63">
        <v>2013</v>
      </c>
      <c r="AV63">
        <v>19</v>
      </c>
      <c r="AW63">
        <v>8</v>
      </c>
      <c r="AX63" t="s">
        <v>74</v>
      </c>
      <c r="AY63" t="s">
        <v>74</v>
      </c>
      <c r="AZ63" t="s">
        <v>74</v>
      </c>
      <c r="BA63" t="s">
        <v>74</v>
      </c>
      <c r="BB63">
        <v>1008</v>
      </c>
      <c r="BC63">
        <v>1019</v>
      </c>
      <c r="BD63" t="s">
        <v>74</v>
      </c>
      <c r="BE63" t="s">
        <v>1360</v>
      </c>
      <c r="BF63" t="str">
        <f>HYPERLINK("http://dx.doi.org/10.1111/ddi.12080","http://dx.doi.org/10.1111/ddi.12080")</f>
        <v>http://dx.doi.org/10.1111/ddi.12080</v>
      </c>
      <c r="BG63" t="s">
        <v>74</v>
      </c>
      <c r="BH63" t="s">
        <v>74</v>
      </c>
      <c r="BI63">
        <v>12</v>
      </c>
      <c r="BJ63" t="s">
        <v>1158</v>
      </c>
      <c r="BK63" t="s">
        <v>102</v>
      </c>
      <c r="BL63" t="s">
        <v>1159</v>
      </c>
      <c r="BM63" t="s">
        <v>1361</v>
      </c>
      <c r="BN63" t="s">
        <v>74</v>
      </c>
      <c r="BO63" t="s">
        <v>248</v>
      </c>
      <c r="BP63" t="s">
        <v>74</v>
      </c>
      <c r="BQ63" t="s">
        <v>74</v>
      </c>
      <c r="BR63" t="s">
        <v>105</v>
      </c>
      <c r="BS63" t="s">
        <v>1362</v>
      </c>
      <c r="BT63" t="str">
        <f>HYPERLINK("https%3A%2F%2Fwww.webofscience.com%2Fwos%2Fwoscc%2Ffull-record%2FWOS:000321444900013","View Full Record in Web of Science")</f>
        <v>View Full Record in Web of Science</v>
      </c>
    </row>
    <row r="64" spans="1:72" x14ac:dyDescent="0.15">
      <c r="A64" t="s">
        <v>72</v>
      </c>
      <c r="B64" t="s">
        <v>1363</v>
      </c>
      <c r="C64" t="s">
        <v>74</v>
      </c>
      <c r="D64" t="s">
        <v>74</v>
      </c>
      <c r="E64" t="s">
        <v>74</v>
      </c>
      <c r="F64" t="s">
        <v>1364</v>
      </c>
      <c r="G64" t="s">
        <v>74</v>
      </c>
      <c r="H64" t="s">
        <v>74</v>
      </c>
      <c r="I64" t="s">
        <v>1365</v>
      </c>
      <c r="J64" t="s">
        <v>1366</v>
      </c>
      <c r="K64" t="s">
        <v>74</v>
      </c>
      <c r="L64" t="s">
        <v>74</v>
      </c>
      <c r="M64" t="s">
        <v>78</v>
      </c>
      <c r="N64" t="s">
        <v>79</v>
      </c>
      <c r="O64" t="s">
        <v>74</v>
      </c>
      <c r="P64" t="s">
        <v>74</v>
      </c>
      <c r="Q64" t="s">
        <v>74</v>
      </c>
      <c r="R64" t="s">
        <v>74</v>
      </c>
      <c r="S64" t="s">
        <v>74</v>
      </c>
      <c r="T64" t="s">
        <v>1367</v>
      </c>
      <c r="U64" t="s">
        <v>1368</v>
      </c>
      <c r="V64" t="s">
        <v>1369</v>
      </c>
      <c r="W64" t="s">
        <v>1370</v>
      </c>
      <c r="X64" t="s">
        <v>1371</v>
      </c>
      <c r="Y64" t="s">
        <v>1372</v>
      </c>
      <c r="Z64" t="s">
        <v>1373</v>
      </c>
      <c r="AA64" t="s">
        <v>1374</v>
      </c>
      <c r="AB64" t="s">
        <v>1375</v>
      </c>
      <c r="AC64" t="s">
        <v>1376</v>
      </c>
      <c r="AD64" t="s">
        <v>1377</v>
      </c>
      <c r="AE64" t="s">
        <v>1378</v>
      </c>
      <c r="AF64" t="s">
        <v>74</v>
      </c>
      <c r="AG64">
        <v>116</v>
      </c>
      <c r="AH64">
        <v>66</v>
      </c>
      <c r="AI64">
        <v>72</v>
      </c>
      <c r="AJ64">
        <v>1</v>
      </c>
      <c r="AK64">
        <v>47</v>
      </c>
      <c r="AL64" t="s">
        <v>154</v>
      </c>
      <c r="AM64" t="s">
        <v>155</v>
      </c>
      <c r="AN64" t="s">
        <v>156</v>
      </c>
      <c r="AO64" t="s">
        <v>1379</v>
      </c>
      <c r="AP64" t="s">
        <v>1380</v>
      </c>
      <c r="AQ64" t="s">
        <v>74</v>
      </c>
      <c r="AR64" t="s">
        <v>1381</v>
      </c>
      <c r="AS64" t="s">
        <v>1382</v>
      </c>
      <c r="AT64" t="s">
        <v>1383</v>
      </c>
      <c r="AU64">
        <v>2013</v>
      </c>
      <c r="AV64">
        <v>375</v>
      </c>
      <c r="AW64" t="s">
        <v>74</v>
      </c>
      <c r="AX64" t="s">
        <v>74</v>
      </c>
      <c r="AY64" t="s">
        <v>74</v>
      </c>
      <c r="AZ64" t="s">
        <v>74</v>
      </c>
      <c r="BA64" t="s">
        <v>74</v>
      </c>
      <c r="BB64">
        <v>1</v>
      </c>
      <c r="BC64">
        <v>12</v>
      </c>
      <c r="BD64" t="s">
        <v>74</v>
      </c>
      <c r="BE64" t="s">
        <v>1384</v>
      </c>
      <c r="BF64" t="str">
        <f>HYPERLINK("http://dx.doi.org/10.1016/j.epsl.2013.03.053","http://dx.doi.org/10.1016/j.epsl.2013.03.053")</f>
        <v>http://dx.doi.org/10.1016/j.epsl.2013.03.053</v>
      </c>
      <c r="BG64" t="s">
        <v>74</v>
      </c>
      <c r="BH64" t="s">
        <v>74</v>
      </c>
      <c r="BI64">
        <v>12</v>
      </c>
      <c r="BJ64" t="s">
        <v>766</v>
      </c>
      <c r="BK64" t="s">
        <v>102</v>
      </c>
      <c r="BL64" t="s">
        <v>766</v>
      </c>
      <c r="BM64" t="s">
        <v>1385</v>
      </c>
      <c r="BN64" t="s">
        <v>74</v>
      </c>
      <c r="BO64" t="s">
        <v>1386</v>
      </c>
      <c r="BP64" t="s">
        <v>74</v>
      </c>
      <c r="BQ64" t="s">
        <v>74</v>
      </c>
      <c r="BR64" t="s">
        <v>105</v>
      </c>
      <c r="BS64" t="s">
        <v>1387</v>
      </c>
      <c r="BT64" t="str">
        <f>HYPERLINK("https%3A%2F%2Fwww.webofscience.com%2Fwos%2Fwoscc%2Ffull-record%2FWOS:000324847300001","View Full Record in Web of Science")</f>
        <v>View Full Record in Web of Science</v>
      </c>
    </row>
    <row r="65" spans="1:72" x14ac:dyDescent="0.15">
      <c r="A65" t="s">
        <v>72</v>
      </c>
      <c r="B65" t="s">
        <v>1388</v>
      </c>
      <c r="C65" t="s">
        <v>74</v>
      </c>
      <c r="D65" t="s">
        <v>74</v>
      </c>
      <c r="E65" t="s">
        <v>74</v>
      </c>
      <c r="F65" t="s">
        <v>1389</v>
      </c>
      <c r="G65" t="s">
        <v>74</v>
      </c>
      <c r="H65" t="s">
        <v>74</v>
      </c>
      <c r="I65" t="s">
        <v>1390</v>
      </c>
      <c r="J65" t="s">
        <v>1366</v>
      </c>
      <c r="K65" t="s">
        <v>74</v>
      </c>
      <c r="L65" t="s">
        <v>74</v>
      </c>
      <c r="M65" t="s">
        <v>78</v>
      </c>
      <c r="N65" t="s">
        <v>79</v>
      </c>
      <c r="O65" t="s">
        <v>74</v>
      </c>
      <c r="P65" t="s">
        <v>74</v>
      </c>
      <c r="Q65" t="s">
        <v>74</v>
      </c>
      <c r="R65" t="s">
        <v>74</v>
      </c>
      <c r="S65" t="s">
        <v>74</v>
      </c>
      <c r="T65" t="s">
        <v>1391</v>
      </c>
      <c r="U65" t="s">
        <v>1392</v>
      </c>
      <c r="V65" t="s">
        <v>1393</v>
      </c>
      <c r="W65" t="s">
        <v>1394</v>
      </c>
      <c r="X65" t="s">
        <v>1395</v>
      </c>
      <c r="Y65" t="s">
        <v>1396</v>
      </c>
      <c r="Z65" t="s">
        <v>1397</v>
      </c>
      <c r="AA65" t="s">
        <v>1398</v>
      </c>
      <c r="AB65" t="s">
        <v>1399</v>
      </c>
      <c r="AC65" t="s">
        <v>1400</v>
      </c>
      <c r="AD65" t="s">
        <v>1401</v>
      </c>
      <c r="AE65" t="s">
        <v>1402</v>
      </c>
      <c r="AF65" t="s">
        <v>74</v>
      </c>
      <c r="AG65">
        <v>65</v>
      </c>
      <c r="AH65">
        <v>56</v>
      </c>
      <c r="AI65">
        <v>61</v>
      </c>
      <c r="AJ65">
        <v>0</v>
      </c>
      <c r="AK65">
        <v>62</v>
      </c>
      <c r="AL65" t="s">
        <v>154</v>
      </c>
      <c r="AM65" t="s">
        <v>155</v>
      </c>
      <c r="AN65" t="s">
        <v>156</v>
      </c>
      <c r="AO65" t="s">
        <v>1379</v>
      </c>
      <c r="AP65" t="s">
        <v>1380</v>
      </c>
      <c r="AQ65" t="s">
        <v>74</v>
      </c>
      <c r="AR65" t="s">
        <v>1381</v>
      </c>
      <c r="AS65" t="s">
        <v>1382</v>
      </c>
      <c r="AT65" t="s">
        <v>1383</v>
      </c>
      <c r="AU65">
        <v>2013</v>
      </c>
      <c r="AV65">
        <v>375</v>
      </c>
      <c r="AW65" t="s">
        <v>74</v>
      </c>
      <c r="AX65" t="s">
        <v>74</v>
      </c>
      <c r="AY65" t="s">
        <v>74</v>
      </c>
      <c r="AZ65" t="s">
        <v>74</v>
      </c>
      <c r="BA65" t="s">
        <v>74</v>
      </c>
      <c r="BB65">
        <v>34</v>
      </c>
      <c r="BC65">
        <v>43</v>
      </c>
      <c r="BD65" t="s">
        <v>74</v>
      </c>
      <c r="BE65" t="s">
        <v>1403</v>
      </c>
      <c r="BF65" t="str">
        <f>HYPERLINK("http://dx.doi.org/10.1016/j.epsl.2013.04.030","http://dx.doi.org/10.1016/j.epsl.2013.04.030")</f>
        <v>http://dx.doi.org/10.1016/j.epsl.2013.04.030</v>
      </c>
      <c r="BG65" t="s">
        <v>74</v>
      </c>
      <c r="BH65" t="s">
        <v>74</v>
      </c>
      <c r="BI65">
        <v>10</v>
      </c>
      <c r="BJ65" t="s">
        <v>766</v>
      </c>
      <c r="BK65" t="s">
        <v>102</v>
      </c>
      <c r="BL65" t="s">
        <v>766</v>
      </c>
      <c r="BM65" t="s">
        <v>1385</v>
      </c>
      <c r="BN65" t="s">
        <v>74</v>
      </c>
      <c r="BO65" t="s">
        <v>248</v>
      </c>
      <c r="BP65" t="s">
        <v>74</v>
      </c>
      <c r="BQ65" t="s">
        <v>74</v>
      </c>
      <c r="BR65" t="s">
        <v>105</v>
      </c>
      <c r="BS65" t="s">
        <v>1404</v>
      </c>
      <c r="BT65" t="str">
        <f>HYPERLINK("https%3A%2F%2Fwww.webofscience.com%2Fwos%2Fwoscc%2Ffull-record%2FWOS:000324847300003","View Full Record in Web of Science")</f>
        <v>View Full Record in Web of Science</v>
      </c>
    </row>
    <row r="66" spans="1:72" x14ac:dyDescent="0.15">
      <c r="A66" t="s">
        <v>72</v>
      </c>
      <c r="B66" t="s">
        <v>1405</v>
      </c>
      <c r="C66" t="s">
        <v>74</v>
      </c>
      <c r="D66" t="s">
        <v>74</v>
      </c>
      <c r="E66" t="s">
        <v>74</v>
      </c>
      <c r="F66" t="s">
        <v>1406</v>
      </c>
      <c r="G66" t="s">
        <v>74</v>
      </c>
      <c r="H66" t="s">
        <v>74</v>
      </c>
      <c r="I66" t="s">
        <v>1407</v>
      </c>
      <c r="J66" t="s">
        <v>1408</v>
      </c>
      <c r="K66" t="s">
        <v>74</v>
      </c>
      <c r="L66" t="s">
        <v>74</v>
      </c>
      <c r="M66" t="s">
        <v>78</v>
      </c>
      <c r="N66" t="s">
        <v>79</v>
      </c>
      <c r="O66" t="s">
        <v>74</v>
      </c>
      <c r="P66" t="s">
        <v>74</v>
      </c>
      <c r="Q66" t="s">
        <v>74</v>
      </c>
      <c r="R66" t="s">
        <v>74</v>
      </c>
      <c r="S66" t="s">
        <v>74</v>
      </c>
      <c r="T66" t="s">
        <v>1409</v>
      </c>
      <c r="U66" t="s">
        <v>1410</v>
      </c>
      <c r="V66" t="s">
        <v>1411</v>
      </c>
      <c r="W66" t="s">
        <v>1412</v>
      </c>
      <c r="X66" t="s">
        <v>1413</v>
      </c>
      <c r="Y66" t="s">
        <v>1414</v>
      </c>
      <c r="Z66" t="s">
        <v>1415</v>
      </c>
      <c r="AA66" t="s">
        <v>1416</v>
      </c>
      <c r="AB66" t="s">
        <v>1417</v>
      </c>
      <c r="AC66" t="s">
        <v>1418</v>
      </c>
      <c r="AD66" t="s">
        <v>1419</v>
      </c>
      <c r="AE66" t="s">
        <v>1420</v>
      </c>
      <c r="AF66" t="s">
        <v>74</v>
      </c>
      <c r="AG66">
        <v>138</v>
      </c>
      <c r="AH66">
        <v>143</v>
      </c>
      <c r="AI66">
        <v>162</v>
      </c>
      <c r="AJ66">
        <v>3</v>
      </c>
      <c r="AK66">
        <v>150</v>
      </c>
      <c r="AL66" t="s">
        <v>195</v>
      </c>
      <c r="AM66" t="s">
        <v>155</v>
      </c>
      <c r="AN66" t="s">
        <v>196</v>
      </c>
      <c r="AO66" t="s">
        <v>1421</v>
      </c>
      <c r="AP66" t="s">
        <v>1422</v>
      </c>
      <c r="AQ66" t="s">
        <v>74</v>
      </c>
      <c r="AR66" t="s">
        <v>1423</v>
      </c>
      <c r="AS66" t="s">
        <v>1424</v>
      </c>
      <c r="AT66" t="s">
        <v>99</v>
      </c>
      <c r="AU66">
        <v>2013</v>
      </c>
      <c r="AV66">
        <v>123</v>
      </c>
      <c r="AW66" t="s">
        <v>74</v>
      </c>
      <c r="AX66" t="s">
        <v>74</v>
      </c>
      <c r="AY66" t="s">
        <v>74</v>
      </c>
      <c r="AZ66" t="s">
        <v>74</v>
      </c>
      <c r="BA66" t="s">
        <v>74</v>
      </c>
      <c r="BB66">
        <v>173</v>
      </c>
      <c r="BC66">
        <v>193</v>
      </c>
      <c r="BD66" t="s">
        <v>74</v>
      </c>
      <c r="BE66" t="s">
        <v>1425</v>
      </c>
      <c r="BF66" t="str">
        <f>HYPERLINK("http://dx.doi.org/10.1016/j.earscirev.2013.04.006","http://dx.doi.org/10.1016/j.earscirev.2013.04.006")</f>
        <v>http://dx.doi.org/10.1016/j.earscirev.2013.04.006</v>
      </c>
      <c r="BG66" t="s">
        <v>74</v>
      </c>
      <c r="BH66" t="s">
        <v>74</v>
      </c>
      <c r="BI66">
        <v>21</v>
      </c>
      <c r="BJ66" t="s">
        <v>1426</v>
      </c>
      <c r="BK66" t="s">
        <v>102</v>
      </c>
      <c r="BL66" t="s">
        <v>219</v>
      </c>
      <c r="BM66" t="s">
        <v>1427</v>
      </c>
      <c r="BN66" t="s">
        <v>74</v>
      </c>
      <c r="BO66" t="s">
        <v>1428</v>
      </c>
      <c r="BP66" t="s">
        <v>74</v>
      </c>
      <c r="BQ66" t="s">
        <v>74</v>
      </c>
      <c r="BR66" t="s">
        <v>105</v>
      </c>
      <c r="BS66" t="s">
        <v>1429</v>
      </c>
      <c r="BT66" t="str">
        <f>HYPERLINK("https%3A%2F%2Fwww.webofscience.com%2Fwos%2Fwoscc%2Ffull-record%2FWOS:000321176700008","View Full Record in Web of Science")</f>
        <v>View Full Record in Web of Science</v>
      </c>
    </row>
    <row r="67" spans="1:72" x14ac:dyDescent="0.15">
      <c r="A67" t="s">
        <v>72</v>
      </c>
      <c r="B67" t="s">
        <v>1430</v>
      </c>
      <c r="C67" t="s">
        <v>74</v>
      </c>
      <c r="D67" t="s">
        <v>74</v>
      </c>
      <c r="E67" t="s">
        <v>74</v>
      </c>
      <c r="F67" t="s">
        <v>1431</v>
      </c>
      <c r="G67" t="s">
        <v>74</v>
      </c>
      <c r="H67" t="s">
        <v>74</v>
      </c>
      <c r="I67" t="s">
        <v>1432</v>
      </c>
      <c r="J67" t="s">
        <v>1433</v>
      </c>
      <c r="K67" t="s">
        <v>74</v>
      </c>
      <c r="L67" t="s">
        <v>74</v>
      </c>
      <c r="M67" t="s">
        <v>78</v>
      </c>
      <c r="N67" t="s">
        <v>79</v>
      </c>
      <c r="O67" t="s">
        <v>74</v>
      </c>
      <c r="P67" t="s">
        <v>74</v>
      </c>
      <c r="Q67" t="s">
        <v>74</v>
      </c>
      <c r="R67" t="s">
        <v>74</v>
      </c>
      <c r="S67" t="s">
        <v>74</v>
      </c>
      <c r="T67" t="s">
        <v>1434</v>
      </c>
      <c r="U67" t="s">
        <v>1435</v>
      </c>
      <c r="V67" t="s">
        <v>1436</v>
      </c>
      <c r="W67" t="s">
        <v>1437</v>
      </c>
      <c r="X67" t="s">
        <v>1438</v>
      </c>
      <c r="Y67" t="s">
        <v>1439</v>
      </c>
      <c r="Z67" t="s">
        <v>1440</v>
      </c>
      <c r="AA67" t="s">
        <v>1441</v>
      </c>
      <c r="AB67" t="s">
        <v>74</v>
      </c>
      <c r="AC67" t="s">
        <v>1442</v>
      </c>
      <c r="AD67" t="s">
        <v>1443</v>
      </c>
      <c r="AE67" t="s">
        <v>1444</v>
      </c>
      <c r="AF67" t="s">
        <v>74</v>
      </c>
      <c r="AG67">
        <v>22</v>
      </c>
      <c r="AH67">
        <v>4</v>
      </c>
      <c r="AI67">
        <v>4</v>
      </c>
      <c r="AJ67">
        <v>0</v>
      </c>
      <c r="AK67">
        <v>3</v>
      </c>
      <c r="AL67" t="s">
        <v>1445</v>
      </c>
      <c r="AM67" t="s">
        <v>213</v>
      </c>
      <c r="AN67" t="s">
        <v>1446</v>
      </c>
      <c r="AO67" t="s">
        <v>1447</v>
      </c>
      <c r="AP67" t="s">
        <v>1448</v>
      </c>
      <c r="AQ67" t="s">
        <v>74</v>
      </c>
      <c r="AR67" t="s">
        <v>1449</v>
      </c>
      <c r="AS67" t="s">
        <v>1450</v>
      </c>
      <c r="AT67" t="s">
        <v>99</v>
      </c>
      <c r="AU67">
        <v>2013</v>
      </c>
      <c r="AV67">
        <v>26</v>
      </c>
      <c r="AW67" t="s">
        <v>599</v>
      </c>
      <c r="AX67" t="s">
        <v>74</v>
      </c>
      <c r="AY67" t="s">
        <v>74</v>
      </c>
      <c r="AZ67" t="s">
        <v>74</v>
      </c>
      <c r="BA67" t="s">
        <v>74</v>
      </c>
      <c r="BB67">
        <v>153</v>
      </c>
      <c r="BC67">
        <v>160</v>
      </c>
      <c r="BD67" t="s">
        <v>74</v>
      </c>
      <c r="BE67" t="s">
        <v>1451</v>
      </c>
      <c r="BF67" t="str">
        <f>HYPERLINK("http://dx.doi.org/10.1007/s11589-013-0014-3","http://dx.doi.org/10.1007/s11589-013-0014-3")</f>
        <v>http://dx.doi.org/10.1007/s11589-013-0014-3</v>
      </c>
      <c r="BG67" t="s">
        <v>74</v>
      </c>
      <c r="BH67" t="s">
        <v>74</v>
      </c>
      <c r="BI67">
        <v>8</v>
      </c>
      <c r="BJ67" t="s">
        <v>766</v>
      </c>
      <c r="BK67" t="s">
        <v>1452</v>
      </c>
      <c r="BL67" t="s">
        <v>766</v>
      </c>
      <c r="BM67" t="s">
        <v>1453</v>
      </c>
      <c r="BN67" t="s">
        <v>74</v>
      </c>
      <c r="BO67" t="s">
        <v>104</v>
      </c>
      <c r="BP67" t="s">
        <v>74</v>
      </c>
      <c r="BQ67" t="s">
        <v>74</v>
      </c>
      <c r="BR67" t="s">
        <v>105</v>
      </c>
      <c r="BS67" t="s">
        <v>1454</v>
      </c>
      <c r="BT67" t="str">
        <f>HYPERLINK("https%3A%2F%2Fwww.webofscience.com%2Fwos%2Fwoscc%2Ffull-record%2FWOS:000210062000002","View Full Record in Web of Science")</f>
        <v>View Full Record in Web of Science</v>
      </c>
    </row>
    <row r="68" spans="1:72" x14ac:dyDescent="0.15">
      <c r="A68" t="s">
        <v>72</v>
      </c>
      <c r="B68" t="s">
        <v>1455</v>
      </c>
      <c r="C68" t="s">
        <v>74</v>
      </c>
      <c r="D68" t="s">
        <v>74</v>
      </c>
      <c r="E68" t="s">
        <v>74</v>
      </c>
      <c r="F68" t="s">
        <v>1456</v>
      </c>
      <c r="G68" t="s">
        <v>74</v>
      </c>
      <c r="H68" t="s">
        <v>74</v>
      </c>
      <c r="I68" t="s">
        <v>1457</v>
      </c>
      <c r="J68" t="s">
        <v>1458</v>
      </c>
      <c r="K68" t="s">
        <v>74</v>
      </c>
      <c r="L68" t="s">
        <v>74</v>
      </c>
      <c r="M68" t="s">
        <v>78</v>
      </c>
      <c r="N68" t="s">
        <v>1459</v>
      </c>
      <c r="O68" t="s">
        <v>74</v>
      </c>
      <c r="P68" t="s">
        <v>74</v>
      </c>
      <c r="Q68" t="s">
        <v>74</v>
      </c>
      <c r="R68" t="s">
        <v>74</v>
      </c>
      <c r="S68" t="s">
        <v>74</v>
      </c>
      <c r="T68" t="s">
        <v>1460</v>
      </c>
      <c r="U68" t="s">
        <v>1461</v>
      </c>
      <c r="V68" t="s">
        <v>1462</v>
      </c>
      <c r="W68" t="s">
        <v>1463</v>
      </c>
      <c r="X68" t="s">
        <v>1464</v>
      </c>
      <c r="Y68" t="s">
        <v>1465</v>
      </c>
      <c r="Z68" t="s">
        <v>1466</v>
      </c>
      <c r="AA68" t="s">
        <v>1467</v>
      </c>
      <c r="AB68" t="s">
        <v>1468</v>
      </c>
      <c r="AC68" t="s">
        <v>1469</v>
      </c>
      <c r="AD68" t="s">
        <v>1470</v>
      </c>
      <c r="AE68" t="s">
        <v>1471</v>
      </c>
      <c r="AF68" t="s">
        <v>74</v>
      </c>
      <c r="AG68">
        <v>166</v>
      </c>
      <c r="AH68">
        <v>83</v>
      </c>
      <c r="AI68">
        <v>85</v>
      </c>
      <c r="AJ68">
        <v>2</v>
      </c>
      <c r="AK68">
        <v>130</v>
      </c>
      <c r="AL68" t="s">
        <v>368</v>
      </c>
      <c r="AM68" t="s">
        <v>369</v>
      </c>
      <c r="AN68" t="s">
        <v>370</v>
      </c>
      <c r="AO68" t="s">
        <v>1472</v>
      </c>
      <c r="AP68" t="s">
        <v>74</v>
      </c>
      <c r="AQ68" t="s">
        <v>74</v>
      </c>
      <c r="AR68" t="s">
        <v>1473</v>
      </c>
      <c r="AS68" t="s">
        <v>1474</v>
      </c>
      <c r="AT68" t="s">
        <v>99</v>
      </c>
      <c r="AU68">
        <v>2013</v>
      </c>
      <c r="AV68">
        <v>3</v>
      </c>
      <c r="AW68">
        <v>8</v>
      </c>
      <c r="AX68" t="s">
        <v>74</v>
      </c>
      <c r="AY68" t="s">
        <v>74</v>
      </c>
      <c r="AZ68" t="s">
        <v>74</v>
      </c>
      <c r="BA68" t="s">
        <v>74</v>
      </c>
      <c r="BB68">
        <v>2765</v>
      </c>
      <c r="BC68">
        <v>2783</v>
      </c>
      <c r="BD68" t="s">
        <v>74</v>
      </c>
      <c r="BE68" t="s">
        <v>1475</v>
      </c>
      <c r="BF68" t="str">
        <f>HYPERLINK("http://dx.doi.org/10.1002/ece3.644","http://dx.doi.org/10.1002/ece3.644")</f>
        <v>http://dx.doi.org/10.1002/ece3.644</v>
      </c>
      <c r="BG68" t="s">
        <v>74</v>
      </c>
      <c r="BH68" t="s">
        <v>74</v>
      </c>
      <c r="BI68">
        <v>19</v>
      </c>
      <c r="BJ68" t="s">
        <v>741</v>
      </c>
      <c r="BK68" t="s">
        <v>102</v>
      </c>
      <c r="BL68" t="s">
        <v>742</v>
      </c>
      <c r="BM68" t="s">
        <v>1476</v>
      </c>
      <c r="BN68">
        <v>24567838</v>
      </c>
      <c r="BO68" t="s">
        <v>1477</v>
      </c>
      <c r="BP68" t="s">
        <v>74</v>
      </c>
      <c r="BQ68" t="s">
        <v>74</v>
      </c>
      <c r="BR68" t="s">
        <v>105</v>
      </c>
      <c r="BS68" t="s">
        <v>1478</v>
      </c>
      <c r="BT68" t="str">
        <f>HYPERLINK("https%3A%2F%2Fwww.webofscience.com%2Fwos%2Fwoscc%2Ffull-record%2FWOS:000323200800029","View Full Record in Web of Science")</f>
        <v>View Full Record in Web of Science</v>
      </c>
    </row>
    <row r="69" spans="1:72" x14ac:dyDescent="0.15">
      <c r="A69" t="s">
        <v>72</v>
      </c>
      <c r="B69" t="s">
        <v>1479</v>
      </c>
      <c r="C69" t="s">
        <v>74</v>
      </c>
      <c r="D69" t="s">
        <v>74</v>
      </c>
      <c r="E69" t="s">
        <v>74</v>
      </c>
      <c r="F69" t="s">
        <v>1480</v>
      </c>
      <c r="G69" t="s">
        <v>74</v>
      </c>
      <c r="H69" t="s">
        <v>74</v>
      </c>
      <c r="I69" t="s">
        <v>1481</v>
      </c>
      <c r="J69" t="s">
        <v>1482</v>
      </c>
      <c r="K69" t="s">
        <v>74</v>
      </c>
      <c r="L69" t="s">
        <v>74</v>
      </c>
      <c r="M69" t="s">
        <v>78</v>
      </c>
      <c r="N69" t="s">
        <v>79</v>
      </c>
      <c r="O69" t="s">
        <v>74</v>
      </c>
      <c r="P69" t="s">
        <v>74</v>
      </c>
      <c r="Q69" t="s">
        <v>74</v>
      </c>
      <c r="R69" t="s">
        <v>74</v>
      </c>
      <c r="S69" t="s">
        <v>74</v>
      </c>
      <c r="T69" t="s">
        <v>74</v>
      </c>
      <c r="U69" t="s">
        <v>1483</v>
      </c>
      <c r="V69" t="s">
        <v>1484</v>
      </c>
      <c r="W69" t="s">
        <v>1485</v>
      </c>
      <c r="X69" t="s">
        <v>1486</v>
      </c>
      <c r="Y69" t="s">
        <v>1487</v>
      </c>
      <c r="Z69" t="s">
        <v>1488</v>
      </c>
      <c r="AA69" t="s">
        <v>1489</v>
      </c>
      <c r="AB69" t="s">
        <v>1490</v>
      </c>
      <c r="AC69" t="s">
        <v>1491</v>
      </c>
      <c r="AD69" t="s">
        <v>1492</v>
      </c>
      <c r="AE69" t="s">
        <v>1493</v>
      </c>
      <c r="AF69" t="s">
        <v>74</v>
      </c>
      <c r="AG69">
        <v>61</v>
      </c>
      <c r="AH69">
        <v>12</v>
      </c>
      <c r="AI69">
        <v>13</v>
      </c>
      <c r="AJ69">
        <v>0</v>
      </c>
      <c r="AK69">
        <v>22</v>
      </c>
      <c r="AL69" t="s">
        <v>368</v>
      </c>
      <c r="AM69" t="s">
        <v>369</v>
      </c>
      <c r="AN69" t="s">
        <v>370</v>
      </c>
      <c r="AO69" t="s">
        <v>1494</v>
      </c>
      <c r="AP69" t="s">
        <v>74</v>
      </c>
      <c r="AQ69" t="s">
        <v>74</v>
      </c>
      <c r="AR69" t="s">
        <v>1495</v>
      </c>
      <c r="AS69" t="s">
        <v>1496</v>
      </c>
      <c r="AT69" t="s">
        <v>99</v>
      </c>
      <c r="AU69">
        <v>2013</v>
      </c>
      <c r="AV69">
        <v>5</v>
      </c>
      <c r="AW69">
        <v>4</v>
      </c>
      <c r="AX69" t="s">
        <v>74</v>
      </c>
      <c r="AY69" t="s">
        <v>74</v>
      </c>
      <c r="AZ69" t="s">
        <v>74</v>
      </c>
      <c r="BA69" t="s">
        <v>74</v>
      </c>
      <c r="BB69">
        <v>575</v>
      </c>
      <c r="BC69">
        <v>582</v>
      </c>
      <c r="BD69" t="s">
        <v>74</v>
      </c>
      <c r="BE69" t="s">
        <v>1497</v>
      </c>
      <c r="BF69" t="str">
        <f>HYPERLINK("http://dx.doi.org/10.1111/1758-2229.12047","http://dx.doi.org/10.1111/1758-2229.12047")</f>
        <v>http://dx.doi.org/10.1111/1758-2229.12047</v>
      </c>
      <c r="BG69" t="s">
        <v>74</v>
      </c>
      <c r="BH69" t="s">
        <v>74</v>
      </c>
      <c r="BI69">
        <v>8</v>
      </c>
      <c r="BJ69" t="s">
        <v>1498</v>
      </c>
      <c r="BK69" t="s">
        <v>102</v>
      </c>
      <c r="BL69" t="s">
        <v>677</v>
      </c>
      <c r="BM69" t="s">
        <v>1499</v>
      </c>
      <c r="BN69">
        <v>23864572</v>
      </c>
      <c r="BO69" t="s">
        <v>74</v>
      </c>
      <c r="BP69" t="s">
        <v>74</v>
      </c>
      <c r="BQ69" t="s">
        <v>74</v>
      </c>
      <c r="BR69" t="s">
        <v>105</v>
      </c>
      <c r="BS69" t="s">
        <v>1500</v>
      </c>
      <c r="BT69" t="str">
        <f>HYPERLINK("https%3A%2F%2Fwww.webofscience.com%2Fwos%2Fwoscc%2Ffull-record%2FWOS:000321759600012","View Full Record in Web of Science")</f>
        <v>View Full Record in Web of Science</v>
      </c>
    </row>
    <row r="70" spans="1:72" x14ac:dyDescent="0.15">
      <c r="A70" t="s">
        <v>72</v>
      </c>
      <c r="B70" t="s">
        <v>1501</v>
      </c>
      <c r="C70" t="s">
        <v>74</v>
      </c>
      <c r="D70" t="s">
        <v>74</v>
      </c>
      <c r="E70" t="s">
        <v>74</v>
      </c>
      <c r="F70" t="s">
        <v>1502</v>
      </c>
      <c r="G70" t="s">
        <v>74</v>
      </c>
      <c r="H70" t="s">
        <v>74</v>
      </c>
      <c r="I70" t="s">
        <v>1503</v>
      </c>
      <c r="J70" t="s">
        <v>1504</v>
      </c>
      <c r="K70" t="s">
        <v>74</v>
      </c>
      <c r="L70" t="s">
        <v>74</v>
      </c>
      <c r="M70" t="s">
        <v>78</v>
      </c>
      <c r="N70" t="s">
        <v>79</v>
      </c>
      <c r="O70" t="s">
        <v>74</v>
      </c>
      <c r="P70" t="s">
        <v>74</v>
      </c>
      <c r="Q70" t="s">
        <v>74</v>
      </c>
      <c r="R70" t="s">
        <v>74</v>
      </c>
      <c r="S70" t="s">
        <v>74</v>
      </c>
      <c r="T70" t="s">
        <v>1505</v>
      </c>
      <c r="U70" t="s">
        <v>1506</v>
      </c>
      <c r="V70" t="s">
        <v>1507</v>
      </c>
      <c r="W70" t="s">
        <v>1508</v>
      </c>
      <c r="X70" t="s">
        <v>1509</v>
      </c>
      <c r="Y70" t="s">
        <v>1510</v>
      </c>
      <c r="Z70" t="s">
        <v>1058</v>
      </c>
      <c r="AA70" t="s">
        <v>1059</v>
      </c>
      <c r="AB70" t="s">
        <v>1511</v>
      </c>
      <c r="AC70" t="s">
        <v>1512</v>
      </c>
      <c r="AD70" t="s">
        <v>1513</v>
      </c>
      <c r="AE70" t="s">
        <v>1514</v>
      </c>
      <c r="AF70" t="s">
        <v>74</v>
      </c>
      <c r="AG70">
        <v>35</v>
      </c>
      <c r="AH70">
        <v>32</v>
      </c>
      <c r="AI70">
        <v>34</v>
      </c>
      <c r="AJ70">
        <v>0</v>
      </c>
      <c r="AK70">
        <v>52</v>
      </c>
      <c r="AL70" t="s">
        <v>1515</v>
      </c>
      <c r="AM70" t="s">
        <v>442</v>
      </c>
      <c r="AN70" t="s">
        <v>1516</v>
      </c>
      <c r="AO70" t="s">
        <v>1517</v>
      </c>
      <c r="AP70" t="s">
        <v>1518</v>
      </c>
      <c r="AQ70" t="s">
        <v>74</v>
      </c>
      <c r="AR70" t="s">
        <v>1519</v>
      </c>
      <c r="AS70" t="s">
        <v>1520</v>
      </c>
      <c r="AT70" t="s">
        <v>99</v>
      </c>
      <c r="AU70">
        <v>2013</v>
      </c>
      <c r="AV70">
        <v>31</v>
      </c>
      <c r="AW70" t="s">
        <v>74</v>
      </c>
      <c r="AX70" t="s">
        <v>74</v>
      </c>
      <c r="AY70" t="s">
        <v>74</v>
      </c>
      <c r="AZ70" t="s">
        <v>74</v>
      </c>
      <c r="BA70" t="s">
        <v>74</v>
      </c>
      <c r="BB70">
        <v>120</v>
      </c>
      <c r="BC70">
        <v>132</v>
      </c>
      <c r="BD70" t="s">
        <v>74</v>
      </c>
      <c r="BE70" t="s">
        <v>1521</v>
      </c>
      <c r="BF70" t="str">
        <f>HYPERLINK("http://dx.doi.org/10.1016/j.envsci.2013.03.012","http://dx.doi.org/10.1016/j.envsci.2013.03.012")</f>
        <v>http://dx.doi.org/10.1016/j.envsci.2013.03.012</v>
      </c>
      <c r="BG70" t="s">
        <v>74</v>
      </c>
      <c r="BH70" t="s">
        <v>74</v>
      </c>
      <c r="BI70">
        <v>13</v>
      </c>
      <c r="BJ70" t="s">
        <v>512</v>
      </c>
      <c r="BK70" t="s">
        <v>102</v>
      </c>
      <c r="BL70" t="s">
        <v>262</v>
      </c>
      <c r="BM70" t="s">
        <v>1522</v>
      </c>
      <c r="BN70" t="s">
        <v>74</v>
      </c>
      <c r="BO70" t="s">
        <v>1523</v>
      </c>
      <c r="BP70" t="s">
        <v>74</v>
      </c>
      <c r="BQ70" t="s">
        <v>74</v>
      </c>
      <c r="BR70" t="s">
        <v>105</v>
      </c>
      <c r="BS70" t="s">
        <v>1524</v>
      </c>
      <c r="BT70" t="str">
        <f>HYPERLINK("https%3A%2F%2Fwww.webofscience.com%2Fwos%2Fwoscc%2Ffull-record%2FWOS:000320429500012","View Full Record in Web of Science")</f>
        <v>View Full Record in Web of Science</v>
      </c>
    </row>
    <row r="71" spans="1:72" x14ac:dyDescent="0.15">
      <c r="A71" t="s">
        <v>72</v>
      </c>
      <c r="B71" t="s">
        <v>1525</v>
      </c>
      <c r="C71" t="s">
        <v>74</v>
      </c>
      <c r="D71" t="s">
        <v>74</v>
      </c>
      <c r="E71" t="s">
        <v>74</v>
      </c>
      <c r="F71" t="s">
        <v>1526</v>
      </c>
      <c r="G71" t="s">
        <v>74</v>
      </c>
      <c r="H71" t="s">
        <v>74</v>
      </c>
      <c r="I71" t="s">
        <v>1527</v>
      </c>
      <c r="J71" t="s">
        <v>1528</v>
      </c>
      <c r="K71" t="s">
        <v>74</v>
      </c>
      <c r="L71" t="s">
        <v>74</v>
      </c>
      <c r="M71" t="s">
        <v>78</v>
      </c>
      <c r="N71" t="s">
        <v>79</v>
      </c>
      <c r="O71" t="s">
        <v>74</v>
      </c>
      <c r="P71" t="s">
        <v>74</v>
      </c>
      <c r="Q71" t="s">
        <v>74</v>
      </c>
      <c r="R71" t="s">
        <v>74</v>
      </c>
      <c r="S71" t="s">
        <v>74</v>
      </c>
      <c r="T71" t="s">
        <v>1529</v>
      </c>
      <c r="U71" t="s">
        <v>1530</v>
      </c>
      <c r="V71" t="s">
        <v>1531</v>
      </c>
      <c r="W71" t="s">
        <v>1532</v>
      </c>
      <c r="X71" t="s">
        <v>1533</v>
      </c>
      <c r="Y71" t="s">
        <v>1534</v>
      </c>
      <c r="Z71" t="s">
        <v>1535</v>
      </c>
      <c r="AA71" t="s">
        <v>1536</v>
      </c>
      <c r="AB71" t="s">
        <v>1537</v>
      </c>
      <c r="AC71" t="s">
        <v>74</v>
      </c>
      <c r="AD71" t="s">
        <v>74</v>
      </c>
      <c r="AE71" t="s">
        <v>74</v>
      </c>
      <c r="AF71" t="s">
        <v>74</v>
      </c>
      <c r="AG71">
        <v>23</v>
      </c>
      <c r="AH71">
        <v>9</v>
      </c>
      <c r="AI71">
        <v>9</v>
      </c>
      <c r="AJ71">
        <v>1</v>
      </c>
      <c r="AK71">
        <v>18</v>
      </c>
      <c r="AL71" t="s">
        <v>906</v>
      </c>
      <c r="AM71" t="s">
        <v>643</v>
      </c>
      <c r="AN71" t="s">
        <v>907</v>
      </c>
      <c r="AO71" t="s">
        <v>1538</v>
      </c>
      <c r="AP71" t="s">
        <v>74</v>
      </c>
      <c r="AQ71" t="s">
        <v>74</v>
      </c>
      <c r="AR71" t="s">
        <v>1539</v>
      </c>
      <c r="AS71" t="s">
        <v>1540</v>
      </c>
      <c r="AT71" t="s">
        <v>99</v>
      </c>
      <c r="AU71">
        <v>2013</v>
      </c>
      <c r="AV71">
        <v>35</v>
      </c>
      <c r="AW71">
        <v>2</v>
      </c>
      <c r="AX71" t="s">
        <v>74</v>
      </c>
      <c r="AY71" t="s">
        <v>74</v>
      </c>
      <c r="AZ71" t="s">
        <v>74</v>
      </c>
      <c r="BA71" t="s">
        <v>74</v>
      </c>
      <c r="BB71">
        <v>589</v>
      </c>
      <c r="BC71">
        <v>594</v>
      </c>
      <c r="BD71" t="s">
        <v>74</v>
      </c>
      <c r="BE71" t="s">
        <v>1541</v>
      </c>
      <c r="BF71" t="str">
        <f>HYPERLINK("http://dx.doi.org/10.1016/j.fsi.2013.04.005","http://dx.doi.org/10.1016/j.fsi.2013.04.005")</f>
        <v>http://dx.doi.org/10.1016/j.fsi.2013.04.005</v>
      </c>
      <c r="BG71" t="s">
        <v>74</v>
      </c>
      <c r="BH71" t="s">
        <v>74</v>
      </c>
      <c r="BI71">
        <v>6</v>
      </c>
      <c r="BJ71" t="s">
        <v>1542</v>
      </c>
      <c r="BK71" t="s">
        <v>102</v>
      </c>
      <c r="BL71" t="s">
        <v>1542</v>
      </c>
      <c r="BM71" t="s">
        <v>1543</v>
      </c>
      <c r="BN71">
        <v>23639932</v>
      </c>
      <c r="BO71" t="s">
        <v>74</v>
      </c>
      <c r="BP71" t="s">
        <v>74</v>
      </c>
      <c r="BQ71" t="s">
        <v>74</v>
      </c>
      <c r="BR71" t="s">
        <v>105</v>
      </c>
      <c r="BS71" t="s">
        <v>1544</v>
      </c>
      <c r="BT71" t="str">
        <f>HYPERLINK("https%3A%2F%2Fwww.webofscience.com%2Fwos%2Fwoscc%2Ffull-record%2FWOS:000322207500046","View Full Record in Web of Science")</f>
        <v>View Full Record in Web of Science</v>
      </c>
    </row>
    <row r="72" spans="1:72" x14ac:dyDescent="0.15">
      <c r="A72" t="s">
        <v>72</v>
      </c>
      <c r="B72" t="s">
        <v>1545</v>
      </c>
      <c r="C72" t="s">
        <v>74</v>
      </c>
      <c r="D72" t="s">
        <v>74</v>
      </c>
      <c r="E72" t="s">
        <v>74</v>
      </c>
      <c r="F72" t="s">
        <v>1546</v>
      </c>
      <c r="G72" t="s">
        <v>74</v>
      </c>
      <c r="H72" t="s">
        <v>74</v>
      </c>
      <c r="I72" t="s">
        <v>1547</v>
      </c>
      <c r="J72" t="s">
        <v>1548</v>
      </c>
      <c r="K72" t="s">
        <v>74</v>
      </c>
      <c r="L72" t="s">
        <v>74</v>
      </c>
      <c r="M72" t="s">
        <v>78</v>
      </c>
      <c r="N72" t="s">
        <v>79</v>
      </c>
      <c r="O72" t="s">
        <v>74</v>
      </c>
      <c r="P72" t="s">
        <v>74</v>
      </c>
      <c r="Q72" t="s">
        <v>74</v>
      </c>
      <c r="R72" t="s">
        <v>74</v>
      </c>
      <c r="S72" t="s">
        <v>74</v>
      </c>
      <c r="T72" t="s">
        <v>1549</v>
      </c>
      <c r="U72" t="s">
        <v>1550</v>
      </c>
      <c r="V72" t="s">
        <v>1551</v>
      </c>
      <c r="W72" t="s">
        <v>1552</v>
      </c>
      <c r="X72" t="s">
        <v>1553</v>
      </c>
      <c r="Y72" t="s">
        <v>1554</v>
      </c>
      <c r="Z72" t="s">
        <v>1555</v>
      </c>
      <c r="AA72" t="s">
        <v>1556</v>
      </c>
      <c r="AB72" t="s">
        <v>74</v>
      </c>
      <c r="AC72" t="s">
        <v>1557</v>
      </c>
      <c r="AD72" t="s">
        <v>1558</v>
      </c>
      <c r="AE72" t="s">
        <v>1559</v>
      </c>
      <c r="AF72" t="s">
        <v>74</v>
      </c>
      <c r="AG72">
        <v>44</v>
      </c>
      <c r="AH72">
        <v>17</v>
      </c>
      <c r="AI72">
        <v>18</v>
      </c>
      <c r="AJ72">
        <v>0</v>
      </c>
      <c r="AK72">
        <v>50</v>
      </c>
      <c r="AL72" t="s">
        <v>954</v>
      </c>
      <c r="AM72" t="s">
        <v>955</v>
      </c>
      <c r="AN72" t="s">
        <v>956</v>
      </c>
      <c r="AO72" t="s">
        <v>1560</v>
      </c>
      <c r="AP72" t="s">
        <v>1561</v>
      </c>
      <c r="AQ72" t="s">
        <v>74</v>
      </c>
      <c r="AR72" t="s">
        <v>1562</v>
      </c>
      <c r="AS72" t="s">
        <v>1563</v>
      </c>
      <c r="AT72" t="s">
        <v>1383</v>
      </c>
      <c r="AU72">
        <v>2013</v>
      </c>
      <c r="AV72">
        <v>189</v>
      </c>
      <c r="AW72" t="s">
        <v>74</v>
      </c>
      <c r="AX72" t="s">
        <v>74</v>
      </c>
      <c r="AY72" t="s">
        <v>74</v>
      </c>
      <c r="AZ72" t="s">
        <v>74</v>
      </c>
      <c r="BA72" t="s">
        <v>74</v>
      </c>
      <c r="BB72">
        <v>66</v>
      </c>
      <c r="BC72">
        <v>73</v>
      </c>
      <c r="BD72" t="s">
        <v>74</v>
      </c>
      <c r="BE72" t="s">
        <v>1564</v>
      </c>
      <c r="BF72" t="str">
        <f>HYPERLINK("http://dx.doi.org/10.1016/j.ygcen.2013.04.002","http://dx.doi.org/10.1016/j.ygcen.2013.04.002")</f>
        <v>http://dx.doi.org/10.1016/j.ygcen.2013.04.002</v>
      </c>
      <c r="BG72" t="s">
        <v>74</v>
      </c>
      <c r="BH72" t="s">
        <v>74</v>
      </c>
      <c r="BI72">
        <v>8</v>
      </c>
      <c r="BJ72" t="s">
        <v>1565</v>
      </c>
      <c r="BK72" t="s">
        <v>102</v>
      </c>
      <c r="BL72" t="s">
        <v>1565</v>
      </c>
      <c r="BM72" t="s">
        <v>1566</v>
      </c>
      <c r="BN72">
        <v>23603431</v>
      </c>
      <c r="BO72" t="s">
        <v>74</v>
      </c>
      <c r="BP72" t="s">
        <v>74</v>
      </c>
      <c r="BQ72" t="s">
        <v>74</v>
      </c>
      <c r="BR72" t="s">
        <v>105</v>
      </c>
      <c r="BS72" t="s">
        <v>1567</v>
      </c>
      <c r="BT72" t="str">
        <f>HYPERLINK("https%3A%2F%2Fwww.webofscience.com%2Fwos%2Fwoscc%2Ffull-record%2FWOS:000321231500010","View Full Record in Web of Science")</f>
        <v>View Full Record in Web of Science</v>
      </c>
    </row>
    <row r="73" spans="1:72" x14ac:dyDescent="0.15">
      <c r="A73" t="s">
        <v>72</v>
      </c>
      <c r="B73" t="s">
        <v>1568</v>
      </c>
      <c r="C73" t="s">
        <v>74</v>
      </c>
      <c r="D73" t="s">
        <v>74</v>
      </c>
      <c r="E73" t="s">
        <v>74</v>
      </c>
      <c r="F73" t="s">
        <v>1569</v>
      </c>
      <c r="G73" t="s">
        <v>74</v>
      </c>
      <c r="H73" t="s">
        <v>74</v>
      </c>
      <c r="I73" t="s">
        <v>1570</v>
      </c>
      <c r="J73" t="s">
        <v>1571</v>
      </c>
      <c r="K73" t="s">
        <v>74</v>
      </c>
      <c r="L73" t="s">
        <v>74</v>
      </c>
      <c r="M73" t="s">
        <v>78</v>
      </c>
      <c r="N73" t="s">
        <v>79</v>
      </c>
      <c r="O73" t="s">
        <v>74</v>
      </c>
      <c r="P73" t="s">
        <v>74</v>
      </c>
      <c r="Q73" t="s">
        <v>74</v>
      </c>
      <c r="R73" t="s">
        <v>74</v>
      </c>
      <c r="S73" t="s">
        <v>74</v>
      </c>
      <c r="T73" t="s">
        <v>1572</v>
      </c>
      <c r="U73" t="s">
        <v>1573</v>
      </c>
      <c r="V73" t="s">
        <v>1574</v>
      </c>
      <c r="W73" t="s">
        <v>1575</v>
      </c>
      <c r="X73" t="s">
        <v>1576</v>
      </c>
      <c r="Y73" t="s">
        <v>1577</v>
      </c>
      <c r="Z73" t="s">
        <v>1578</v>
      </c>
      <c r="AA73" t="s">
        <v>1579</v>
      </c>
      <c r="AB73" t="s">
        <v>1580</v>
      </c>
      <c r="AC73" t="s">
        <v>1581</v>
      </c>
      <c r="AD73" t="s">
        <v>1582</v>
      </c>
      <c r="AE73" t="s">
        <v>1583</v>
      </c>
      <c r="AF73" t="s">
        <v>74</v>
      </c>
      <c r="AG73">
        <v>53</v>
      </c>
      <c r="AH73">
        <v>35</v>
      </c>
      <c r="AI73">
        <v>36</v>
      </c>
      <c r="AJ73">
        <v>0</v>
      </c>
      <c r="AK73">
        <v>16</v>
      </c>
      <c r="AL73" t="s">
        <v>92</v>
      </c>
      <c r="AM73" t="s">
        <v>93</v>
      </c>
      <c r="AN73" t="s">
        <v>94</v>
      </c>
      <c r="AO73" t="s">
        <v>1584</v>
      </c>
      <c r="AP73" t="s">
        <v>74</v>
      </c>
      <c r="AQ73" t="s">
        <v>74</v>
      </c>
      <c r="AR73" t="s">
        <v>1585</v>
      </c>
      <c r="AS73" t="s">
        <v>1586</v>
      </c>
      <c r="AT73" t="s">
        <v>99</v>
      </c>
      <c r="AU73">
        <v>2013</v>
      </c>
      <c r="AV73">
        <v>14</v>
      </c>
      <c r="AW73">
        <v>8</v>
      </c>
      <c r="AX73" t="s">
        <v>74</v>
      </c>
      <c r="AY73" t="s">
        <v>74</v>
      </c>
      <c r="AZ73" t="s">
        <v>74</v>
      </c>
      <c r="BA73" t="s">
        <v>74</v>
      </c>
      <c r="BB73">
        <v>3234</v>
      </c>
      <c r="BC73">
        <v>3249</v>
      </c>
      <c r="BD73" t="s">
        <v>74</v>
      </c>
      <c r="BE73" t="s">
        <v>1587</v>
      </c>
      <c r="BF73" t="str">
        <f>HYPERLINK("http://dx.doi.org/10.1002/ggge.20174","http://dx.doi.org/10.1002/ggge.20174")</f>
        <v>http://dx.doi.org/10.1002/ggge.20174</v>
      </c>
      <c r="BG73" t="s">
        <v>74</v>
      </c>
      <c r="BH73" t="s">
        <v>74</v>
      </c>
      <c r="BI73">
        <v>16</v>
      </c>
      <c r="BJ73" t="s">
        <v>766</v>
      </c>
      <c r="BK73" t="s">
        <v>102</v>
      </c>
      <c r="BL73" t="s">
        <v>766</v>
      </c>
      <c r="BM73" t="s">
        <v>1588</v>
      </c>
      <c r="BN73" t="s">
        <v>74</v>
      </c>
      <c r="BO73" t="s">
        <v>1589</v>
      </c>
      <c r="BP73" t="s">
        <v>74</v>
      </c>
      <c r="BQ73" t="s">
        <v>74</v>
      </c>
      <c r="BR73" t="s">
        <v>105</v>
      </c>
      <c r="BS73" t="s">
        <v>1590</v>
      </c>
      <c r="BT73" t="str">
        <f>HYPERLINK("https%3A%2F%2Fwww.webofscience.com%2Fwos%2Fwoscc%2Ffull-record%2FWOS:000326242700038","View Full Record in Web of Science")</f>
        <v>View Full Record in Web of Science</v>
      </c>
    </row>
    <row r="74" spans="1:72" x14ac:dyDescent="0.15">
      <c r="A74" t="s">
        <v>72</v>
      </c>
      <c r="B74" t="s">
        <v>1591</v>
      </c>
      <c r="C74" t="s">
        <v>74</v>
      </c>
      <c r="D74" t="s">
        <v>74</v>
      </c>
      <c r="E74" t="s">
        <v>74</v>
      </c>
      <c r="F74" t="s">
        <v>1592</v>
      </c>
      <c r="G74" t="s">
        <v>74</v>
      </c>
      <c r="H74" t="s">
        <v>74</v>
      </c>
      <c r="I74" t="s">
        <v>1593</v>
      </c>
      <c r="J74" t="s">
        <v>1571</v>
      </c>
      <c r="K74" t="s">
        <v>74</v>
      </c>
      <c r="L74" t="s">
        <v>74</v>
      </c>
      <c r="M74" t="s">
        <v>78</v>
      </c>
      <c r="N74" t="s">
        <v>79</v>
      </c>
      <c r="O74" t="s">
        <v>74</v>
      </c>
      <c r="P74" t="s">
        <v>74</v>
      </c>
      <c r="Q74" t="s">
        <v>74</v>
      </c>
      <c r="R74" t="s">
        <v>74</v>
      </c>
      <c r="S74" t="s">
        <v>74</v>
      </c>
      <c r="T74" t="s">
        <v>1594</v>
      </c>
      <c r="U74" t="s">
        <v>74</v>
      </c>
      <c r="V74" t="s">
        <v>1595</v>
      </c>
      <c r="W74" t="s">
        <v>1596</v>
      </c>
      <c r="X74" t="s">
        <v>1597</v>
      </c>
      <c r="Y74" t="s">
        <v>1598</v>
      </c>
      <c r="Z74" t="s">
        <v>1599</v>
      </c>
      <c r="AA74" t="s">
        <v>1600</v>
      </c>
      <c r="AB74" t="s">
        <v>1601</v>
      </c>
      <c r="AC74" t="s">
        <v>1602</v>
      </c>
      <c r="AD74" t="s">
        <v>1603</v>
      </c>
      <c r="AE74" t="s">
        <v>1604</v>
      </c>
      <c r="AF74" t="s">
        <v>74</v>
      </c>
      <c r="AG74">
        <v>14</v>
      </c>
      <c r="AH74">
        <v>159</v>
      </c>
      <c r="AI74">
        <v>187</v>
      </c>
      <c r="AJ74">
        <v>3</v>
      </c>
      <c r="AK74">
        <v>20</v>
      </c>
      <c r="AL74" t="s">
        <v>92</v>
      </c>
      <c r="AM74" t="s">
        <v>93</v>
      </c>
      <c r="AN74" t="s">
        <v>94</v>
      </c>
      <c r="AO74" t="s">
        <v>1584</v>
      </c>
      <c r="AP74" t="s">
        <v>74</v>
      </c>
      <c r="AQ74" t="s">
        <v>74</v>
      </c>
      <c r="AR74" t="s">
        <v>1585</v>
      </c>
      <c r="AS74" t="s">
        <v>1586</v>
      </c>
      <c r="AT74" t="s">
        <v>99</v>
      </c>
      <c r="AU74">
        <v>2013</v>
      </c>
      <c r="AV74">
        <v>14</v>
      </c>
      <c r="AW74">
        <v>8</v>
      </c>
      <c r="AX74" t="s">
        <v>74</v>
      </c>
      <c r="AY74" t="s">
        <v>74</v>
      </c>
      <c r="AZ74" t="s">
        <v>74</v>
      </c>
      <c r="BA74" t="s">
        <v>74</v>
      </c>
      <c r="BB74">
        <v>3297</v>
      </c>
      <c r="BC74">
        <v>3305</v>
      </c>
      <c r="BD74" t="s">
        <v>74</v>
      </c>
      <c r="BE74" t="s">
        <v>1605</v>
      </c>
      <c r="BF74" t="str">
        <f>HYPERLINK("http://dx.doi.org/10.1002/ggge.20181","http://dx.doi.org/10.1002/ggge.20181")</f>
        <v>http://dx.doi.org/10.1002/ggge.20181</v>
      </c>
      <c r="BG74" t="s">
        <v>74</v>
      </c>
      <c r="BH74" t="s">
        <v>74</v>
      </c>
      <c r="BI74">
        <v>9</v>
      </c>
      <c r="BJ74" t="s">
        <v>766</v>
      </c>
      <c r="BK74" t="s">
        <v>102</v>
      </c>
      <c r="BL74" t="s">
        <v>766</v>
      </c>
      <c r="BM74" t="s">
        <v>1588</v>
      </c>
      <c r="BN74" t="s">
        <v>74</v>
      </c>
      <c r="BO74" t="s">
        <v>104</v>
      </c>
      <c r="BP74" t="s">
        <v>74</v>
      </c>
      <c r="BQ74" t="s">
        <v>74</v>
      </c>
      <c r="BR74" t="s">
        <v>105</v>
      </c>
      <c r="BS74" t="s">
        <v>1606</v>
      </c>
      <c r="BT74" t="str">
        <f>HYPERLINK("https%3A%2F%2Fwww.webofscience.com%2Fwos%2Fwoscc%2Ffull-record%2FWOS:000326242700042","View Full Record in Web of Science")</f>
        <v>View Full Record in Web of Science</v>
      </c>
    </row>
    <row r="75" spans="1:72" x14ac:dyDescent="0.15">
      <c r="A75" t="s">
        <v>72</v>
      </c>
      <c r="B75" t="s">
        <v>1607</v>
      </c>
      <c r="C75" t="s">
        <v>74</v>
      </c>
      <c r="D75" t="s">
        <v>74</v>
      </c>
      <c r="E75" t="s">
        <v>74</v>
      </c>
      <c r="F75" t="s">
        <v>1608</v>
      </c>
      <c r="G75" t="s">
        <v>74</v>
      </c>
      <c r="H75" t="s">
        <v>74</v>
      </c>
      <c r="I75" t="s">
        <v>1609</v>
      </c>
      <c r="J75" t="s">
        <v>1610</v>
      </c>
      <c r="K75" t="s">
        <v>74</v>
      </c>
      <c r="L75" t="s">
        <v>74</v>
      </c>
      <c r="M75" t="s">
        <v>78</v>
      </c>
      <c r="N75" t="s">
        <v>79</v>
      </c>
      <c r="O75" t="s">
        <v>74</v>
      </c>
      <c r="P75" t="s">
        <v>74</v>
      </c>
      <c r="Q75" t="s">
        <v>74</v>
      </c>
      <c r="R75" t="s">
        <v>74</v>
      </c>
      <c r="S75" t="s">
        <v>74</v>
      </c>
      <c r="T75" t="s">
        <v>1611</v>
      </c>
      <c r="U75" t="s">
        <v>1612</v>
      </c>
      <c r="V75" t="s">
        <v>1613</v>
      </c>
      <c r="W75" t="s">
        <v>1614</v>
      </c>
      <c r="X75" t="s">
        <v>1615</v>
      </c>
      <c r="Y75" t="s">
        <v>1616</v>
      </c>
      <c r="Z75" t="s">
        <v>1617</v>
      </c>
      <c r="AA75" t="s">
        <v>74</v>
      </c>
      <c r="AB75" t="s">
        <v>74</v>
      </c>
      <c r="AC75" t="s">
        <v>1618</v>
      </c>
      <c r="AD75" t="s">
        <v>1618</v>
      </c>
      <c r="AE75" t="s">
        <v>1619</v>
      </c>
      <c r="AF75" t="s">
        <v>74</v>
      </c>
      <c r="AG75">
        <v>46</v>
      </c>
      <c r="AH75">
        <v>8</v>
      </c>
      <c r="AI75">
        <v>9</v>
      </c>
      <c r="AJ75">
        <v>1</v>
      </c>
      <c r="AK75">
        <v>32</v>
      </c>
      <c r="AL75" t="s">
        <v>368</v>
      </c>
      <c r="AM75" t="s">
        <v>369</v>
      </c>
      <c r="AN75" t="s">
        <v>370</v>
      </c>
      <c r="AO75" t="s">
        <v>1620</v>
      </c>
      <c r="AP75" t="s">
        <v>1621</v>
      </c>
      <c r="AQ75" t="s">
        <v>74</v>
      </c>
      <c r="AR75" t="s">
        <v>1622</v>
      </c>
      <c r="AS75" t="s">
        <v>1623</v>
      </c>
      <c r="AT75" t="s">
        <v>99</v>
      </c>
      <c r="AU75">
        <v>2013</v>
      </c>
      <c r="AV75">
        <v>40</v>
      </c>
      <c r="AW75">
        <v>8</v>
      </c>
      <c r="AX75" t="s">
        <v>74</v>
      </c>
      <c r="AY75" t="s">
        <v>74</v>
      </c>
      <c r="AZ75" t="s">
        <v>74</v>
      </c>
      <c r="BA75" t="s">
        <v>74</v>
      </c>
      <c r="BB75">
        <v>1501</v>
      </c>
      <c r="BC75">
        <v>1511</v>
      </c>
      <c r="BD75" t="s">
        <v>74</v>
      </c>
      <c r="BE75" t="s">
        <v>1624</v>
      </c>
      <c r="BF75" t="str">
        <f>HYPERLINK("http://dx.doi.org/10.1111/jbi.12090","http://dx.doi.org/10.1111/jbi.12090")</f>
        <v>http://dx.doi.org/10.1111/jbi.12090</v>
      </c>
      <c r="BG75" t="s">
        <v>74</v>
      </c>
      <c r="BH75" t="s">
        <v>74</v>
      </c>
      <c r="BI75">
        <v>11</v>
      </c>
      <c r="BJ75" t="s">
        <v>1625</v>
      </c>
      <c r="BK75" t="s">
        <v>102</v>
      </c>
      <c r="BL75" t="s">
        <v>1089</v>
      </c>
      <c r="BM75" t="s">
        <v>1626</v>
      </c>
      <c r="BN75" t="s">
        <v>74</v>
      </c>
      <c r="BO75" t="s">
        <v>74</v>
      </c>
      <c r="BP75" t="s">
        <v>74</v>
      </c>
      <c r="BQ75" t="s">
        <v>74</v>
      </c>
      <c r="BR75" t="s">
        <v>105</v>
      </c>
      <c r="BS75" t="s">
        <v>1627</v>
      </c>
      <c r="BT75" t="str">
        <f>HYPERLINK("https%3A%2F%2Fwww.webofscience.com%2Fwos%2Fwoscc%2Ffull-record%2FWOS:000321821500009","View Full Record in Web of Science")</f>
        <v>View Full Record in Web of Science</v>
      </c>
    </row>
    <row r="76" spans="1:72" x14ac:dyDescent="0.15">
      <c r="A76" t="s">
        <v>72</v>
      </c>
      <c r="B76" t="s">
        <v>1628</v>
      </c>
      <c r="C76" t="s">
        <v>74</v>
      </c>
      <c r="D76" t="s">
        <v>74</v>
      </c>
      <c r="E76" t="s">
        <v>74</v>
      </c>
      <c r="F76" t="s">
        <v>1629</v>
      </c>
      <c r="G76" t="s">
        <v>74</v>
      </c>
      <c r="H76" t="s">
        <v>74</v>
      </c>
      <c r="I76" t="s">
        <v>1630</v>
      </c>
      <c r="J76" t="s">
        <v>1610</v>
      </c>
      <c r="K76" t="s">
        <v>74</v>
      </c>
      <c r="L76" t="s">
        <v>74</v>
      </c>
      <c r="M76" t="s">
        <v>78</v>
      </c>
      <c r="N76" t="s">
        <v>79</v>
      </c>
      <c r="O76" t="s">
        <v>74</v>
      </c>
      <c r="P76" t="s">
        <v>74</v>
      </c>
      <c r="Q76" t="s">
        <v>74</v>
      </c>
      <c r="R76" t="s">
        <v>74</v>
      </c>
      <c r="S76" t="s">
        <v>74</v>
      </c>
      <c r="T76" t="s">
        <v>1631</v>
      </c>
      <c r="U76" t="s">
        <v>1632</v>
      </c>
      <c r="V76" t="s">
        <v>1633</v>
      </c>
      <c r="W76" t="s">
        <v>1634</v>
      </c>
      <c r="X76" t="s">
        <v>1635</v>
      </c>
      <c r="Y76" t="s">
        <v>1636</v>
      </c>
      <c r="Z76" t="s">
        <v>1637</v>
      </c>
      <c r="AA76" t="s">
        <v>1638</v>
      </c>
      <c r="AB76" t="s">
        <v>1639</v>
      </c>
      <c r="AC76" t="s">
        <v>1640</v>
      </c>
      <c r="AD76" t="s">
        <v>1641</v>
      </c>
      <c r="AE76" t="s">
        <v>1642</v>
      </c>
      <c r="AF76" t="s">
        <v>74</v>
      </c>
      <c r="AG76">
        <v>67</v>
      </c>
      <c r="AH76">
        <v>22</v>
      </c>
      <c r="AI76">
        <v>24</v>
      </c>
      <c r="AJ76">
        <v>0</v>
      </c>
      <c r="AK76">
        <v>112</v>
      </c>
      <c r="AL76" t="s">
        <v>368</v>
      </c>
      <c r="AM76" t="s">
        <v>369</v>
      </c>
      <c r="AN76" t="s">
        <v>370</v>
      </c>
      <c r="AO76" t="s">
        <v>1620</v>
      </c>
      <c r="AP76" t="s">
        <v>1621</v>
      </c>
      <c r="AQ76" t="s">
        <v>74</v>
      </c>
      <c r="AR76" t="s">
        <v>1622</v>
      </c>
      <c r="AS76" t="s">
        <v>1623</v>
      </c>
      <c r="AT76" t="s">
        <v>99</v>
      </c>
      <c r="AU76">
        <v>2013</v>
      </c>
      <c r="AV76">
        <v>40</v>
      </c>
      <c r="AW76">
        <v>8</v>
      </c>
      <c r="AX76" t="s">
        <v>74</v>
      </c>
      <c r="AY76" t="s">
        <v>74</v>
      </c>
      <c r="AZ76" t="s">
        <v>74</v>
      </c>
      <c r="BA76" t="s">
        <v>74</v>
      </c>
      <c r="BB76">
        <v>1583</v>
      </c>
      <c r="BC76">
        <v>1594</v>
      </c>
      <c r="BD76" t="s">
        <v>74</v>
      </c>
      <c r="BE76" t="s">
        <v>1643</v>
      </c>
      <c r="BF76" t="str">
        <f>HYPERLINK("http://dx.doi.org/10.1111/jbi.12095","http://dx.doi.org/10.1111/jbi.12095")</f>
        <v>http://dx.doi.org/10.1111/jbi.12095</v>
      </c>
      <c r="BG76" t="s">
        <v>74</v>
      </c>
      <c r="BH76" t="s">
        <v>74</v>
      </c>
      <c r="BI76">
        <v>12</v>
      </c>
      <c r="BJ76" t="s">
        <v>1625</v>
      </c>
      <c r="BK76" t="s">
        <v>102</v>
      </c>
      <c r="BL76" t="s">
        <v>1089</v>
      </c>
      <c r="BM76" t="s">
        <v>1626</v>
      </c>
      <c r="BN76" t="s">
        <v>74</v>
      </c>
      <c r="BO76" t="s">
        <v>74</v>
      </c>
      <c r="BP76" t="s">
        <v>74</v>
      </c>
      <c r="BQ76" t="s">
        <v>74</v>
      </c>
      <c r="BR76" t="s">
        <v>105</v>
      </c>
      <c r="BS76" t="s">
        <v>1644</v>
      </c>
      <c r="BT76" t="str">
        <f>HYPERLINK("https%3A%2F%2Fwww.webofscience.com%2Fwos%2Fwoscc%2Ffull-record%2FWOS:000321821500016","View Full Record in Web of Science")</f>
        <v>View Full Record in Web of Science</v>
      </c>
    </row>
    <row r="77" spans="1:72" x14ac:dyDescent="0.15">
      <c r="A77" t="s">
        <v>72</v>
      </c>
      <c r="B77" t="s">
        <v>1645</v>
      </c>
      <c r="C77" t="s">
        <v>74</v>
      </c>
      <c r="D77" t="s">
        <v>74</v>
      </c>
      <c r="E77" t="s">
        <v>74</v>
      </c>
      <c r="F77" t="s">
        <v>1646</v>
      </c>
      <c r="G77" t="s">
        <v>74</v>
      </c>
      <c r="H77" t="s">
        <v>74</v>
      </c>
      <c r="I77" t="s">
        <v>1647</v>
      </c>
      <c r="J77" t="s">
        <v>542</v>
      </c>
      <c r="K77" t="s">
        <v>74</v>
      </c>
      <c r="L77" t="s">
        <v>74</v>
      </c>
      <c r="M77" t="s">
        <v>78</v>
      </c>
      <c r="N77" t="s">
        <v>79</v>
      </c>
      <c r="O77" t="s">
        <v>74</v>
      </c>
      <c r="P77" t="s">
        <v>74</v>
      </c>
      <c r="Q77" t="s">
        <v>74</v>
      </c>
      <c r="R77" t="s">
        <v>74</v>
      </c>
      <c r="S77" t="s">
        <v>74</v>
      </c>
      <c r="T77" t="s">
        <v>1648</v>
      </c>
      <c r="U77" t="s">
        <v>1649</v>
      </c>
      <c r="V77" t="s">
        <v>1650</v>
      </c>
      <c r="W77" t="s">
        <v>1651</v>
      </c>
      <c r="X77" t="s">
        <v>1652</v>
      </c>
      <c r="Y77" t="s">
        <v>1653</v>
      </c>
      <c r="Z77" t="s">
        <v>1654</v>
      </c>
      <c r="AA77" t="s">
        <v>1655</v>
      </c>
      <c r="AB77" t="s">
        <v>1656</v>
      </c>
      <c r="AC77" t="s">
        <v>1657</v>
      </c>
      <c r="AD77" t="s">
        <v>1658</v>
      </c>
      <c r="AE77" t="s">
        <v>1659</v>
      </c>
      <c r="AF77" t="s">
        <v>74</v>
      </c>
      <c r="AG77">
        <v>43</v>
      </c>
      <c r="AH77">
        <v>205</v>
      </c>
      <c r="AI77">
        <v>227</v>
      </c>
      <c r="AJ77">
        <v>0</v>
      </c>
      <c r="AK77">
        <v>107</v>
      </c>
      <c r="AL77" t="s">
        <v>237</v>
      </c>
      <c r="AM77" t="s">
        <v>238</v>
      </c>
      <c r="AN77" t="s">
        <v>239</v>
      </c>
      <c r="AO77" t="s">
        <v>555</v>
      </c>
      <c r="AP77" t="s">
        <v>575</v>
      </c>
      <c r="AQ77" t="s">
        <v>74</v>
      </c>
      <c r="AR77" t="s">
        <v>556</v>
      </c>
      <c r="AS77" t="s">
        <v>557</v>
      </c>
      <c r="AT77" t="s">
        <v>99</v>
      </c>
      <c r="AU77">
        <v>2013</v>
      </c>
      <c r="AV77">
        <v>26</v>
      </c>
      <c r="AW77">
        <v>16</v>
      </c>
      <c r="AX77" t="s">
        <v>74</v>
      </c>
      <c r="AY77" t="s">
        <v>74</v>
      </c>
      <c r="AZ77" t="s">
        <v>74</v>
      </c>
      <c r="BA77" t="s">
        <v>74</v>
      </c>
      <c r="BB77">
        <v>6105</v>
      </c>
      <c r="BC77">
        <v>6122</v>
      </c>
      <c r="BD77" t="s">
        <v>74</v>
      </c>
      <c r="BE77" t="s">
        <v>1660</v>
      </c>
      <c r="BF77" t="str">
        <f>HYPERLINK("http://dx.doi.org/10.1175/JCLI-D-12-00834.1","http://dx.doi.org/10.1175/JCLI-D-12-00834.1")</f>
        <v>http://dx.doi.org/10.1175/JCLI-D-12-00834.1</v>
      </c>
      <c r="BG77" t="s">
        <v>74</v>
      </c>
      <c r="BH77" t="s">
        <v>74</v>
      </c>
      <c r="BI77">
        <v>18</v>
      </c>
      <c r="BJ77" t="s">
        <v>305</v>
      </c>
      <c r="BK77" t="s">
        <v>102</v>
      </c>
      <c r="BL77" t="s">
        <v>305</v>
      </c>
      <c r="BM77" t="s">
        <v>559</v>
      </c>
      <c r="BN77" t="s">
        <v>74</v>
      </c>
      <c r="BO77" t="s">
        <v>104</v>
      </c>
      <c r="BP77" t="s">
        <v>74</v>
      </c>
      <c r="BQ77" t="s">
        <v>74</v>
      </c>
      <c r="BR77" t="s">
        <v>105</v>
      </c>
      <c r="BS77" t="s">
        <v>1661</v>
      </c>
      <c r="BT77" t="str">
        <f>HYPERLINK("https%3A%2F%2Fwww.webofscience.com%2Fwos%2Fwoscc%2Ffull-record%2FWOS:000322759700024","View Full Record in Web of Science")</f>
        <v>View Full Record in Web of Science</v>
      </c>
    </row>
    <row r="78" spans="1:72" x14ac:dyDescent="0.15">
      <c r="A78" t="s">
        <v>72</v>
      </c>
      <c r="B78" t="s">
        <v>1662</v>
      </c>
      <c r="C78" t="s">
        <v>74</v>
      </c>
      <c r="D78" t="s">
        <v>74</v>
      </c>
      <c r="E78" t="s">
        <v>74</v>
      </c>
      <c r="F78" t="s">
        <v>1663</v>
      </c>
      <c r="G78" t="s">
        <v>74</v>
      </c>
      <c r="H78" t="s">
        <v>74</v>
      </c>
      <c r="I78" t="s">
        <v>1664</v>
      </c>
      <c r="J78" t="s">
        <v>1665</v>
      </c>
      <c r="K78" t="s">
        <v>74</v>
      </c>
      <c r="L78" t="s">
        <v>74</v>
      </c>
      <c r="M78" t="s">
        <v>78</v>
      </c>
      <c r="N78" t="s">
        <v>79</v>
      </c>
      <c r="O78" t="s">
        <v>74</v>
      </c>
      <c r="P78" t="s">
        <v>74</v>
      </c>
      <c r="Q78" t="s">
        <v>74</v>
      </c>
      <c r="R78" t="s">
        <v>74</v>
      </c>
      <c r="S78" t="s">
        <v>74</v>
      </c>
      <c r="T78" t="s">
        <v>1666</v>
      </c>
      <c r="U78" t="s">
        <v>1667</v>
      </c>
      <c r="V78" t="s">
        <v>1668</v>
      </c>
      <c r="W78" t="s">
        <v>1669</v>
      </c>
      <c r="X78" t="s">
        <v>1670</v>
      </c>
      <c r="Y78" t="s">
        <v>1671</v>
      </c>
      <c r="Z78" t="s">
        <v>1672</v>
      </c>
      <c r="AA78" t="s">
        <v>1673</v>
      </c>
      <c r="AB78" t="s">
        <v>1674</v>
      </c>
      <c r="AC78" t="s">
        <v>1675</v>
      </c>
      <c r="AD78" t="s">
        <v>1676</v>
      </c>
      <c r="AE78" t="s">
        <v>1677</v>
      </c>
      <c r="AF78" t="s">
        <v>74</v>
      </c>
      <c r="AG78">
        <v>41</v>
      </c>
      <c r="AH78">
        <v>27</v>
      </c>
      <c r="AI78">
        <v>28</v>
      </c>
      <c r="AJ78">
        <v>0</v>
      </c>
      <c r="AK78">
        <v>55</v>
      </c>
      <c r="AL78" t="s">
        <v>1678</v>
      </c>
      <c r="AM78" t="s">
        <v>1679</v>
      </c>
      <c r="AN78" t="s">
        <v>1680</v>
      </c>
      <c r="AO78" t="s">
        <v>1681</v>
      </c>
      <c r="AP78" t="s">
        <v>74</v>
      </c>
      <c r="AQ78" t="s">
        <v>74</v>
      </c>
      <c r="AR78" t="s">
        <v>1682</v>
      </c>
      <c r="AS78" t="s">
        <v>1683</v>
      </c>
      <c r="AT78" t="s">
        <v>99</v>
      </c>
      <c r="AU78">
        <v>2013</v>
      </c>
      <c r="AV78">
        <v>216</v>
      </c>
      <c r="AW78">
        <v>16</v>
      </c>
      <c r="AX78" t="s">
        <v>74</v>
      </c>
      <c r="AY78" t="s">
        <v>74</v>
      </c>
      <c r="AZ78" t="s">
        <v>74</v>
      </c>
      <c r="BA78" t="s">
        <v>74</v>
      </c>
      <c r="BB78">
        <v>3175</v>
      </c>
      <c r="BC78">
        <v>3182</v>
      </c>
      <c r="BD78" t="s">
        <v>74</v>
      </c>
      <c r="BE78" t="s">
        <v>1684</v>
      </c>
      <c r="BF78" t="str">
        <f>HYPERLINK("http://dx.doi.org/10.1242/jeb.079905","http://dx.doi.org/10.1242/jeb.079905")</f>
        <v>http://dx.doi.org/10.1242/jeb.079905</v>
      </c>
      <c r="BG78" t="s">
        <v>74</v>
      </c>
      <c r="BH78" t="s">
        <v>74</v>
      </c>
      <c r="BI78">
        <v>8</v>
      </c>
      <c r="BJ78" t="s">
        <v>1685</v>
      </c>
      <c r="BK78" t="s">
        <v>102</v>
      </c>
      <c r="BL78" t="s">
        <v>1686</v>
      </c>
      <c r="BM78" t="s">
        <v>1687</v>
      </c>
      <c r="BN78">
        <v>23661772</v>
      </c>
      <c r="BO78" t="s">
        <v>1688</v>
      </c>
      <c r="BP78" t="s">
        <v>74</v>
      </c>
      <c r="BQ78" t="s">
        <v>74</v>
      </c>
      <c r="BR78" t="s">
        <v>105</v>
      </c>
      <c r="BS78" t="s">
        <v>1689</v>
      </c>
      <c r="BT78" t="str">
        <f>HYPERLINK("https%3A%2F%2Fwww.webofscience.com%2Fwos%2Fwoscc%2Ffull-record%2FWOS:000322216600027","View Full Record in Web of Science")</f>
        <v>View Full Record in Web of Science</v>
      </c>
    </row>
    <row r="79" spans="1:72" x14ac:dyDescent="0.15">
      <c r="A79" t="s">
        <v>72</v>
      </c>
      <c r="B79" t="s">
        <v>1690</v>
      </c>
      <c r="C79" t="s">
        <v>74</v>
      </c>
      <c r="D79" t="s">
        <v>74</v>
      </c>
      <c r="E79" t="s">
        <v>74</v>
      </c>
      <c r="F79" t="s">
        <v>1691</v>
      </c>
      <c r="G79" t="s">
        <v>74</v>
      </c>
      <c r="H79" t="s">
        <v>74</v>
      </c>
      <c r="I79" t="s">
        <v>1692</v>
      </c>
      <c r="J79" t="s">
        <v>142</v>
      </c>
      <c r="K79" t="s">
        <v>74</v>
      </c>
      <c r="L79" t="s">
        <v>74</v>
      </c>
      <c r="M79" t="s">
        <v>78</v>
      </c>
      <c r="N79" t="s">
        <v>79</v>
      </c>
      <c r="O79" t="s">
        <v>74</v>
      </c>
      <c r="P79" t="s">
        <v>74</v>
      </c>
      <c r="Q79" t="s">
        <v>74</v>
      </c>
      <c r="R79" t="s">
        <v>74</v>
      </c>
      <c r="S79" t="s">
        <v>74</v>
      </c>
      <c r="T79" t="s">
        <v>1693</v>
      </c>
      <c r="U79" t="s">
        <v>1694</v>
      </c>
      <c r="V79" t="s">
        <v>1695</v>
      </c>
      <c r="W79" t="s">
        <v>1696</v>
      </c>
      <c r="X79" t="s">
        <v>1697</v>
      </c>
      <c r="Y79" t="s">
        <v>1698</v>
      </c>
      <c r="Z79" t="s">
        <v>1699</v>
      </c>
      <c r="AA79" t="s">
        <v>1700</v>
      </c>
      <c r="AB79" t="s">
        <v>1701</v>
      </c>
      <c r="AC79" t="s">
        <v>1702</v>
      </c>
      <c r="AD79" t="s">
        <v>1703</v>
      </c>
      <c r="AE79" t="s">
        <v>1704</v>
      </c>
      <c r="AF79" t="s">
        <v>74</v>
      </c>
      <c r="AG79">
        <v>54</v>
      </c>
      <c r="AH79">
        <v>6</v>
      </c>
      <c r="AI79">
        <v>6</v>
      </c>
      <c r="AJ79">
        <v>0</v>
      </c>
      <c r="AK79">
        <v>28</v>
      </c>
      <c r="AL79" t="s">
        <v>154</v>
      </c>
      <c r="AM79" t="s">
        <v>155</v>
      </c>
      <c r="AN79" t="s">
        <v>156</v>
      </c>
      <c r="AO79" t="s">
        <v>157</v>
      </c>
      <c r="AP79" t="s">
        <v>74</v>
      </c>
      <c r="AQ79" t="s">
        <v>74</v>
      </c>
      <c r="AR79" t="s">
        <v>159</v>
      </c>
      <c r="AS79" t="s">
        <v>160</v>
      </c>
      <c r="AT79" t="s">
        <v>99</v>
      </c>
      <c r="AU79">
        <v>2013</v>
      </c>
      <c r="AV79">
        <v>446</v>
      </c>
      <c r="AW79" t="s">
        <v>74</v>
      </c>
      <c r="AX79" t="s">
        <v>74</v>
      </c>
      <c r="AY79" t="s">
        <v>74</v>
      </c>
      <c r="AZ79" t="s">
        <v>74</v>
      </c>
      <c r="BA79" t="s">
        <v>74</v>
      </c>
      <c r="BB79">
        <v>328</v>
      </c>
      <c r="BC79">
        <v>333</v>
      </c>
      <c r="BD79" t="s">
        <v>74</v>
      </c>
      <c r="BE79" t="s">
        <v>1705</v>
      </c>
      <c r="BF79" t="str">
        <f>HYPERLINK("http://dx.doi.org/10.1016/j.jembe.2013.06.001","http://dx.doi.org/10.1016/j.jembe.2013.06.001")</f>
        <v>http://dx.doi.org/10.1016/j.jembe.2013.06.001</v>
      </c>
      <c r="BG79" t="s">
        <v>74</v>
      </c>
      <c r="BH79" t="s">
        <v>74</v>
      </c>
      <c r="BI79">
        <v>6</v>
      </c>
      <c r="BJ79" t="s">
        <v>162</v>
      </c>
      <c r="BK79" t="s">
        <v>102</v>
      </c>
      <c r="BL79" t="s">
        <v>163</v>
      </c>
      <c r="BM79" t="s">
        <v>164</v>
      </c>
      <c r="BN79" t="s">
        <v>74</v>
      </c>
      <c r="BO79" t="s">
        <v>1063</v>
      </c>
      <c r="BP79" t="s">
        <v>74</v>
      </c>
      <c r="BQ79" t="s">
        <v>74</v>
      </c>
      <c r="BR79" t="s">
        <v>105</v>
      </c>
      <c r="BS79" t="s">
        <v>1706</v>
      </c>
      <c r="BT79" t="str">
        <f>HYPERLINK("https%3A%2F%2Fwww.webofscience.com%2Fwos%2Fwoscc%2Ffull-record%2FWOS:000323139200041","View Full Record in Web of Science")</f>
        <v>View Full Record in Web of Science</v>
      </c>
    </row>
    <row r="80" spans="1:72" x14ac:dyDescent="0.15">
      <c r="A80" t="s">
        <v>72</v>
      </c>
      <c r="B80" t="s">
        <v>1707</v>
      </c>
      <c r="C80" t="s">
        <v>74</v>
      </c>
      <c r="D80" t="s">
        <v>74</v>
      </c>
      <c r="E80" t="s">
        <v>74</v>
      </c>
      <c r="F80" t="s">
        <v>1708</v>
      </c>
      <c r="G80" t="s">
        <v>74</v>
      </c>
      <c r="H80" t="s">
        <v>74</v>
      </c>
      <c r="I80" t="s">
        <v>1709</v>
      </c>
      <c r="J80" t="s">
        <v>1710</v>
      </c>
      <c r="K80" t="s">
        <v>74</v>
      </c>
      <c r="L80" t="s">
        <v>74</v>
      </c>
      <c r="M80" t="s">
        <v>78</v>
      </c>
      <c r="N80" t="s">
        <v>79</v>
      </c>
      <c r="O80" t="s">
        <v>74</v>
      </c>
      <c r="P80" t="s">
        <v>74</v>
      </c>
      <c r="Q80" t="s">
        <v>74</v>
      </c>
      <c r="R80" t="s">
        <v>74</v>
      </c>
      <c r="S80" t="s">
        <v>74</v>
      </c>
      <c r="T80" t="s">
        <v>1711</v>
      </c>
      <c r="U80" t="s">
        <v>1712</v>
      </c>
      <c r="V80" t="s">
        <v>1713</v>
      </c>
      <c r="W80" t="s">
        <v>1714</v>
      </c>
      <c r="X80" t="s">
        <v>1715</v>
      </c>
      <c r="Y80" t="s">
        <v>1716</v>
      </c>
      <c r="Z80" t="s">
        <v>1717</v>
      </c>
      <c r="AA80" t="s">
        <v>1718</v>
      </c>
      <c r="AB80" t="s">
        <v>1719</v>
      </c>
      <c r="AC80" t="s">
        <v>1720</v>
      </c>
      <c r="AD80" t="s">
        <v>1721</v>
      </c>
      <c r="AE80" t="s">
        <v>1722</v>
      </c>
      <c r="AF80" t="s">
        <v>74</v>
      </c>
      <c r="AG80">
        <v>52</v>
      </c>
      <c r="AH80">
        <v>35</v>
      </c>
      <c r="AI80">
        <v>37</v>
      </c>
      <c r="AJ80">
        <v>1</v>
      </c>
      <c r="AK80">
        <v>23</v>
      </c>
      <c r="AL80" t="s">
        <v>92</v>
      </c>
      <c r="AM80" t="s">
        <v>93</v>
      </c>
      <c r="AN80" t="s">
        <v>94</v>
      </c>
      <c r="AO80" t="s">
        <v>1723</v>
      </c>
      <c r="AP80" t="s">
        <v>1724</v>
      </c>
      <c r="AQ80" t="s">
        <v>74</v>
      </c>
      <c r="AR80" t="s">
        <v>1725</v>
      </c>
      <c r="AS80" t="s">
        <v>1726</v>
      </c>
      <c r="AT80" t="s">
        <v>99</v>
      </c>
      <c r="AU80">
        <v>2013</v>
      </c>
      <c r="AV80">
        <v>118</v>
      </c>
      <c r="AW80">
        <v>8</v>
      </c>
      <c r="AX80" t="s">
        <v>74</v>
      </c>
      <c r="AY80" t="s">
        <v>74</v>
      </c>
      <c r="AZ80" t="s">
        <v>74</v>
      </c>
      <c r="BA80" t="s">
        <v>74</v>
      </c>
      <c r="BB80">
        <v>3807</v>
      </c>
      <c r="BC80">
        <v>3822</v>
      </c>
      <c r="BD80" t="s">
        <v>74</v>
      </c>
      <c r="BE80" t="s">
        <v>1727</v>
      </c>
      <c r="BF80" t="str">
        <f>HYPERLINK("http://dx.doi.org/10.1002/jgrc.20252","http://dx.doi.org/10.1002/jgrc.20252")</f>
        <v>http://dx.doi.org/10.1002/jgrc.20252</v>
      </c>
      <c r="BG80" t="s">
        <v>74</v>
      </c>
      <c r="BH80" t="s">
        <v>74</v>
      </c>
      <c r="BI80">
        <v>16</v>
      </c>
      <c r="BJ80" t="s">
        <v>327</v>
      </c>
      <c r="BK80" t="s">
        <v>102</v>
      </c>
      <c r="BL80" t="s">
        <v>327</v>
      </c>
      <c r="BM80" t="s">
        <v>1728</v>
      </c>
      <c r="BN80" t="s">
        <v>74</v>
      </c>
      <c r="BO80" t="s">
        <v>104</v>
      </c>
      <c r="BP80" t="s">
        <v>74</v>
      </c>
      <c r="BQ80" t="s">
        <v>74</v>
      </c>
      <c r="BR80" t="s">
        <v>105</v>
      </c>
      <c r="BS80" t="s">
        <v>1729</v>
      </c>
      <c r="BT80" t="str">
        <f>HYPERLINK("https%3A%2F%2Fwww.webofscience.com%2Fwos%2Fwoscc%2Ffull-record%2FWOS:000324927000006","View Full Record in Web of Science")</f>
        <v>View Full Record in Web of Science</v>
      </c>
    </row>
    <row r="81" spans="1:72" x14ac:dyDescent="0.15">
      <c r="A81" t="s">
        <v>72</v>
      </c>
      <c r="B81" t="s">
        <v>1730</v>
      </c>
      <c r="C81" t="s">
        <v>74</v>
      </c>
      <c r="D81" t="s">
        <v>74</v>
      </c>
      <c r="E81" t="s">
        <v>74</v>
      </c>
      <c r="F81" t="s">
        <v>1731</v>
      </c>
      <c r="G81" t="s">
        <v>74</v>
      </c>
      <c r="H81" t="s">
        <v>74</v>
      </c>
      <c r="I81" t="s">
        <v>1732</v>
      </c>
      <c r="J81" t="s">
        <v>1733</v>
      </c>
      <c r="K81" t="s">
        <v>74</v>
      </c>
      <c r="L81" t="s">
        <v>74</v>
      </c>
      <c r="M81" t="s">
        <v>78</v>
      </c>
      <c r="N81" t="s">
        <v>79</v>
      </c>
      <c r="O81" t="s">
        <v>74</v>
      </c>
      <c r="P81" t="s">
        <v>74</v>
      </c>
      <c r="Q81" t="s">
        <v>74</v>
      </c>
      <c r="R81" t="s">
        <v>74</v>
      </c>
      <c r="S81" t="s">
        <v>74</v>
      </c>
      <c r="T81" t="s">
        <v>74</v>
      </c>
      <c r="U81" t="s">
        <v>1734</v>
      </c>
      <c r="V81" t="s">
        <v>74</v>
      </c>
      <c r="W81" t="s">
        <v>1735</v>
      </c>
      <c r="X81" t="s">
        <v>1736</v>
      </c>
      <c r="Y81" t="s">
        <v>1737</v>
      </c>
      <c r="Z81" t="s">
        <v>1738</v>
      </c>
      <c r="AA81" t="s">
        <v>1739</v>
      </c>
      <c r="AB81" t="s">
        <v>1740</v>
      </c>
      <c r="AC81" t="s">
        <v>1741</v>
      </c>
      <c r="AD81" t="s">
        <v>1742</v>
      </c>
      <c r="AE81" t="s">
        <v>1743</v>
      </c>
      <c r="AF81" t="s">
        <v>74</v>
      </c>
      <c r="AG81">
        <v>62</v>
      </c>
      <c r="AH81">
        <v>48</v>
      </c>
      <c r="AI81">
        <v>50</v>
      </c>
      <c r="AJ81">
        <v>0</v>
      </c>
      <c r="AK81">
        <v>14</v>
      </c>
      <c r="AL81" t="s">
        <v>368</v>
      </c>
      <c r="AM81" t="s">
        <v>369</v>
      </c>
      <c r="AN81" t="s">
        <v>370</v>
      </c>
      <c r="AO81" t="s">
        <v>1744</v>
      </c>
      <c r="AP81" t="s">
        <v>1745</v>
      </c>
      <c r="AQ81" t="s">
        <v>74</v>
      </c>
      <c r="AR81" t="s">
        <v>1746</v>
      </c>
      <c r="AS81" t="s">
        <v>1747</v>
      </c>
      <c r="AT81" t="s">
        <v>99</v>
      </c>
      <c r="AU81">
        <v>2013</v>
      </c>
      <c r="AV81">
        <v>49</v>
      </c>
      <c r="AW81">
        <v>4</v>
      </c>
      <c r="AX81" t="s">
        <v>74</v>
      </c>
      <c r="AY81" t="s">
        <v>74</v>
      </c>
      <c r="AZ81" t="s">
        <v>74</v>
      </c>
      <c r="BA81" t="s">
        <v>74</v>
      </c>
      <c r="BB81">
        <v>648</v>
      </c>
      <c r="BC81">
        <v>660</v>
      </c>
      <c r="BD81" t="s">
        <v>74</v>
      </c>
      <c r="BE81" t="s">
        <v>74</v>
      </c>
      <c r="BF81" t="s">
        <v>74</v>
      </c>
      <c r="BG81" t="s">
        <v>74</v>
      </c>
      <c r="BH81" t="s">
        <v>74</v>
      </c>
      <c r="BI81">
        <v>13</v>
      </c>
      <c r="BJ81" t="s">
        <v>1748</v>
      </c>
      <c r="BK81" t="s">
        <v>102</v>
      </c>
      <c r="BL81" t="s">
        <v>1748</v>
      </c>
      <c r="BM81" t="s">
        <v>1749</v>
      </c>
      <c r="BN81">
        <v>25810559</v>
      </c>
      <c r="BO81" t="s">
        <v>1750</v>
      </c>
      <c r="BP81" t="s">
        <v>74</v>
      </c>
      <c r="BQ81" t="s">
        <v>74</v>
      </c>
      <c r="BR81" t="s">
        <v>105</v>
      </c>
      <c r="BS81" t="s">
        <v>1751</v>
      </c>
      <c r="BT81" t="str">
        <f>HYPERLINK("https%3A%2F%2Fwww.webofscience.com%2Fwos%2Fwoscc%2Ffull-record%2FWOS:000327703100004","View Full Record in Web of Science")</f>
        <v>View Full Record in Web of Science</v>
      </c>
    </row>
    <row r="82" spans="1:72" x14ac:dyDescent="0.15">
      <c r="A82" t="s">
        <v>72</v>
      </c>
      <c r="B82" t="s">
        <v>1752</v>
      </c>
      <c r="C82" t="s">
        <v>74</v>
      </c>
      <c r="D82" t="s">
        <v>74</v>
      </c>
      <c r="E82" t="s">
        <v>74</v>
      </c>
      <c r="F82" t="s">
        <v>1753</v>
      </c>
      <c r="G82" t="s">
        <v>74</v>
      </c>
      <c r="H82" t="s">
        <v>74</v>
      </c>
      <c r="I82" t="s">
        <v>1754</v>
      </c>
      <c r="J82" t="s">
        <v>1733</v>
      </c>
      <c r="K82" t="s">
        <v>74</v>
      </c>
      <c r="L82" t="s">
        <v>74</v>
      </c>
      <c r="M82" t="s">
        <v>78</v>
      </c>
      <c r="N82" t="s">
        <v>79</v>
      </c>
      <c r="O82" t="s">
        <v>74</v>
      </c>
      <c r="P82" t="s">
        <v>74</v>
      </c>
      <c r="Q82" t="s">
        <v>74</v>
      </c>
      <c r="R82" t="s">
        <v>74</v>
      </c>
      <c r="S82" t="s">
        <v>74</v>
      </c>
      <c r="T82" t="s">
        <v>74</v>
      </c>
      <c r="U82" t="s">
        <v>1755</v>
      </c>
      <c r="V82" t="s">
        <v>74</v>
      </c>
      <c r="W82" t="s">
        <v>1756</v>
      </c>
      <c r="X82" t="s">
        <v>1757</v>
      </c>
      <c r="Y82" t="s">
        <v>1758</v>
      </c>
      <c r="Z82" t="s">
        <v>1759</v>
      </c>
      <c r="AA82" t="s">
        <v>1760</v>
      </c>
      <c r="AB82" t="s">
        <v>1761</v>
      </c>
      <c r="AC82" t="s">
        <v>1762</v>
      </c>
      <c r="AD82" t="s">
        <v>1763</v>
      </c>
      <c r="AE82" t="s">
        <v>1764</v>
      </c>
      <c r="AF82" t="s">
        <v>74</v>
      </c>
      <c r="AG82">
        <v>63</v>
      </c>
      <c r="AH82">
        <v>33</v>
      </c>
      <c r="AI82">
        <v>35</v>
      </c>
      <c r="AJ82">
        <v>0</v>
      </c>
      <c r="AK82">
        <v>21</v>
      </c>
      <c r="AL82" t="s">
        <v>368</v>
      </c>
      <c r="AM82" t="s">
        <v>369</v>
      </c>
      <c r="AN82" t="s">
        <v>370</v>
      </c>
      <c r="AO82" t="s">
        <v>1744</v>
      </c>
      <c r="AP82" t="s">
        <v>1745</v>
      </c>
      <c r="AQ82" t="s">
        <v>74</v>
      </c>
      <c r="AR82" t="s">
        <v>1746</v>
      </c>
      <c r="AS82" t="s">
        <v>1747</v>
      </c>
      <c r="AT82" t="s">
        <v>99</v>
      </c>
      <c r="AU82">
        <v>2013</v>
      </c>
      <c r="AV82">
        <v>49</v>
      </c>
      <c r="AW82">
        <v>4</v>
      </c>
      <c r="AX82" t="s">
        <v>74</v>
      </c>
      <c r="AY82" t="s">
        <v>74</v>
      </c>
      <c r="AZ82" t="s">
        <v>74</v>
      </c>
      <c r="BA82" t="s">
        <v>74</v>
      </c>
      <c r="BB82">
        <v>765</v>
      </c>
      <c r="BC82">
        <v>785</v>
      </c>
      <c r="BD82" t="s">
        <v>74</v>
      </c>
      <c r="BE82" t="s">
        <v>74</v>
      </c>
      <c r="BF82" t="s">
        <v>74</v>
      </c>
      <c r="BG82" t="s">
        <v>74</v>
      </c>
      <c r="BH82" t="s">
        <v>74</v>
      </c>
      <c r="BI82">
        <v>21</v>
      </c>
      <c r="BJ82" t="s">
        <v>1748</v>
      </c>
      <c r="BK82" t="s">
        <v>102</v>
      </c>
      <c r="BL82" t="s">
        <v>1748</v>
      </c>
      <c r="BM82" t="s">
        <v>1749</v>
      </c>
      <c r="BN82">
        <v>27007209</v>
      </c>
      <c r="BO82" t="s">
        <v>74</v>
      </c>
      <c r="BP82" t="s">
        <v>74</v>
      </c>
      <c r="BQ82" t="s">
        <v>74</v>
      </c>
      <c r="BR82" t="s">
        <v>105</v>
      </c>
      <c r="BS82" t="s">
        <v>1765</v>
      </c>
      <c r="BT82" t="str">
        <f>HYPERLINK("https%3A%2F%2Fwww.webofscience.com%2Fwos%2Fwoscc%2Ffull-record%2FWOS:000327703100016","View Full Record in Web of Science")</f>
        <v>View Full Record in Web of Science</v>
      </c>
    </row>
    <row r="83" spans="1:72" x14ac:dyDescent="0.15">
      <c r="A83" t="s">
        <v>72</v>
      </c>
      <c r="B83" t="s">
        <v>1766</v>
      </c>
      <c r="C83" t="s">
        <v>74</v>
      </c>
      <c r="D83" t="s">
        <v>74</v>
      </c>
      <c r="E83" t="s">
        <v>74</v>
      </c>
      <c r="F83" t="s">
        <v>1767</v>
      </c>
      <c r="G83" t="s">
        <v>74</v>
      </c>
      <c r="H83" t="s">
        <v>74</v>
      </c>
      <c r="I83" t="s">
        <v>1768</v>
      </c>
      <c r="J83" t="s">
        <v>1769</v>
      </c>
      <c r="K83" t="s">
        <v>74</v>
      </c>
      <c r="L83" t="s">
        <v>74</v>
      </c>
      <c r="M83" t="s">
        <v>78</v>
      </c>
      <c r="N83" t="s">
        <v>79</v>
      </c>
      <c r="O83" t="s">
        <v>74</v>
      </c>
      <c r="P83" t="s">
        <v>74</v>
      </c>
      <c r="Q83" t="s">
        <v>74</v>
      </c>
      <c r="R83" t="s">
        <v>74</v>
      </c>
      <c r="S83" t="s">
        <v>74</v>
      </c>
      <c r="T83" t="s">
        <v>1770</v>
      </c>
      <c r="U83" t="s">
        <v>74</v>
      </c>
      <c r="V83" t="s">
        <v>1771</v>
      </c>
      <c r="W83" t="s">
        <v>1772</v>
      </c>
      <c r="X83" t="s">
        <v>1773</v>
      </c>
      <c r="Y83" t="s">
        <v>1774</v>
      </c>
      <c r="Z83" t="s">
        <v>1775</v>
      </c>
      <c r="AA83" t="s">
        <v>74</v>
      </c>
      <c r="AB83" t="s">
        <v>74</v>
      </c>
      <c r="AC83" t="s">
        <v>1776</v>
      </c>
      <c r="AD83" t="s">
        <v>1777</v>
      </c>
      <c r="AE83" t="s">
        <v>1778</v>
      </c>
      <c r="AF83" t="s">
        <v>74</v>
      </c>
      <c r="AG83">
        <v>23</v>
      </c>
      <c r="AH83">
        <v>4</v>
      </c>
      <c r="AI83">
        <v>4</v>
      </c>
      <c r="AJ83">
        <v>3</v>
      </c>
      <c r="AK83">
        <v>5</v>
      </c>
      <c r="AL83" t="s">
        <v>1779</v>
      </c>
      <c r="AM83" t="s">
        <v>1780</v>
      </c>
      <c r="AN83" t="s">
        <v>1781</v>
      </c>
      <c r="AO83" t="s">
        <v>1782</v>
      </c>
      <c r="AP83" t="s">
        <v>1783</v>
      </c>
      <c r="AQ83" t="s">
        <v>74</v>
      </c>
      <c r="AR83" t="s">
        <v>1784</v>
      </c>
      <c r="AS83" t="s">
        <v>1785</v>
      </c>
      <c r="AT83" t="s">
        <v>99</v>
      </c>
      <c r="AU83">
        <v>2013</v>
      </c>
      <c r="AV83">
        <v>34</v>
      </c>
      <c r="AW83">
        <v>4</v>
      </c>
      <c r="AX83" t="s">
        <v>74</v>
      </c>
      <c r="AY83" t="s">
        <v>74</v>
      </c>
      <c r="AZ83" t="s">
        <v>74</v>
      </c>
      <c r="BA83" t="s">
        <v>74</v>
      </c>
      <c r="BB83">
        <v>336</v>
      </c>
      <c r="BC83">
        <v>344</v>
      </c>
      <c r="BD83" t="s">
        <v>74</v>
      </c>
      <c r="BE83" t="s">
        <v>1786</v>
      </c>
      <c r="BF83" t="str">
        <f>HYPERLINK("http://dx.doi.org/10.5467/JKESS.2013.34.4.336","http://dx.doi.org/10.5467/JKESS.2013.34.4.336")</f>
        <v>http://dx.doi.org/10.5467/JKESS.2013.34.4.336</v>
      </c>
      <c r="BG83" t="s">
        <v>74</v>
      </c>
      <c r="BH83" t="s">
        <v>74</v>
      </c>
      <c r="BI83">
        <v>9</v>
      </c>
      <c r="BJ83" t="s">
        <v>1426</v>
      </c>
      <c r="BK83" t="s">
        <v>1452</v>
      </c>
      <c r="BL83" t="s">
        <v>219</v>
      </c>
      <c r="BM83" t="s">
        <v>1787</v>
      </c>
      <c r="BN83" t="s">
        <v>74</v>
      </c>
      <c r="BO83" t="s">
        <v>104</v>
      </c>
      <c r="BP83" t="s">
        <v>74</v>
      </c>
      <c r="BQ83" t="s">
        <v>74</v>
      </c>
      <c r="BR83" t="s">
        <v>105</v>
      </c>
      <c r="BS83" t="s">
        <v>1788</v>
      </c>
      <c r="BT83" t="str">
        <f>HYPERLINK("https%3A%2F%2Fwww.webofscience.com%2Fwos%2Fwoscc%2Ffull-record%2FWOS:000439527800005","View Full Record in Web of Science")</f>
        <v>View Full Record in Web of Science</v>
      </c>
    </row>
    <row r="84" spans="1:72" x14ac:dyDescent="0.15">
      <c r="A84" t="s">
        <v>72</v>
      </c>
      <c r="B84" t="s">
        <v>1789</v>
      </c>
      <c r="C84" t="s">
        <v>74</v>
      </c>
      <c r="D84" t="s">
        <v>74</v>
      </c>
      <c r="E84" t="s">
        <v>74</v>
      </c>
      <c r="F84" t="s">
        <v>1790</v>
      </c>
      <c r="G84" t="s">
        <v>74</v>
      </c>
      <c r="H84" t="s">
        <v>74</v>
      </c>
      <c r="I84" t="s">
        <v>1791</v>
      </c>
      <c r="J84" t="s">
        <v>1792</v>
      </c>
      <c r="K84" t="s">
        <v>74</v>
      </c>
      <c r="L84" t="s">
        <v>74</v>
      </c>
      <c r="M84" t="s">
        <v>78</v>
      </c>
      <c r="N84" t="s">
        <v>79</v>
      </c>
      <c r="O84" t="s">
        <v>74</v>
      </c>
      <c r="P84" t="s">
        <v>74</v>
      </c>
      <c r="Q84" t="s">
        <v>74</v>
      </c>
      <c r="R84" t="s">
        <v>74</v>
      </c>
      <c r="S84" t="s">
        <v>74</v>
      </c>
      <c r="T84" t="s">
        <v>1793</v>
      </c>
      <c r="U84" t="s">
        <v>1794</v>
      </c>
      <c r="V84" t="s">
        <v>1795</v>
      </c>
      <c r="W84" t="s">
        <v>1796</v>
      </c>
      <c r="X84" t="s">
        <v>1797</v>
      </c>
      <c r="Y84" t="s">
        <v>1798</v>
      </c>
      <c r="Z84" t="s">
        <v>1799</v>
      </c>
      <c r="AA84" t="s">
        <v>1800</v>
      </c>
      <c r="AB84" t="s">
        <v>1801</v>
      </c>
      <c r="AC84" t="s">
        <v>1802</v>
      </c>
      <c r="AD84" t="s">
        <v>1803</v>
      </c>
      <c r="AE84" t="s">
        <v>1804</v>
      </c>
      <c r="AF84" t="s">
        <v>74</v>
      </c>
      <c r="AG84">
        <v>51</v>
      </c>
      <c r="AH84">
        <v>3</v>
      </c>
      <c r="AI84">
        <v>3</v>
      </c>
      <c r="AJ84">
        <v>0</v>
      </c>
      <c r="AK84">
        <v>22</v>
      </c>
      <c r="AL84" t="s">
        <v>390</v>
      </c>
      <c r="AM84" t="s">
        <v>391</v>
      </c>
      <c r="AN84" t="s">
        <v>392</v>
      </c>
      <c r="AO84" t="s">
        <v>1805</v>
      </c>
      <c r="AP84" t="s">
        <v>74</v>
      </c>
      <c r="AQ84" t="s">
        <v>74</v>
      </c>
      <c r="AR84" t="s">
        <v>1806</v>
      </c>
      <c r="AS84" t="s">
        <v>1807</v>
      </c>
      <c r="AT84" t="s">
        <v>99</v>
      </c>
      <c r="AU84">
        <v>2013</v>
      </c>
      <c r="AV84">
        <v>93</v>
      </c>
      <c r="AW84">
        <v>5</v>
      </c>
      <c r="AX84" t="s">
        <v>74</v>
      </c>
      <c r="AY84" t="s">
        <v>74</v>
      </c>
      <c r="AZ84" t="s">
        <v>74</v>
      </c>
      <c r="BA84" t="s">
        <v>74</v>
      </c>
      <c r="BB84">
        <v>1287</v>
      </c>
      <c r="BC84">
        <v>1301</v>
      </c>
      <c r="BD84" t="s">
        <v>74</v>
      </c>
      <c r="BE84" t="s">
        <v>1808</v>
      </c>
      <c r="BF84" t="str">
        <f>HYPERLINK("http://dx.doi.org/10.1017/S0025315412001385","http://dx.doi.org/10.1017/S0025315412001385")</f>
        <v>http://dx.doi.org/10.1017/S0025315412001385</v>
      </c>
      <c r="BG84" t="s">
        <v>74</v>
      </c>
      <c r="BH84" t="s">
        <v>74</v>
      </c>
      <c r="BI84">
        <v>15</v>
      </c>
      <c r="BJ84" t="s">
        <v>1809</v>
      </c>
      <c r="BK84" t="s">
        <v>102</v>
      </c>
      <c r="BL84" t="s">
        <v>1809</v>
      </c>
      <c r="BM84" t="s">
        <v>1810</v>
      </c>
      <c r="BN84" t="s">
        <v>74</v>
      </c>
      <c r="BO84" t="s">
        <v>1063</v>
      </c>
      <c r="BP84" t="s">
        <v>74</v>
      </c>
      <c r="BQ84" t="s">
        <v>74</v>
      </c>
      <c r="BR84" t="s">
        <v>105</v>
      </c>
      <c r="BS84" t="s">
        <v>1811</v>
      </c>
      <c r="BT84" t="str">
        <f>HYPERLINK("https%3A%2F%2Fwww.webofscience.com%2Fwos%2Fwoscc%2Ffull-record%2FWOS:000321510200013","View Full Record in Web of Science")</f>
        <v>View Full Record in Web of Science</v>
      </c>
    </row>
    <row r="85" spans="1:72" x14ac:dyDescent="0.15">
      <c r="A85" t="s">
        <v>72</v>
      </c>
      <c r="B85" t="s">
        <v>1812</v>
      </c>
      <c r="C85" t="s">
        <v>74</v>
      </c>
      <c r="D85" t="s">
        <v>74</v>
      </c>
      <c r="E85" t="s">
        <v>74</v>
      </c>
      <c r="F85" t="s">
        <v>1813</v>
      </c>
      <c r="G85" t="s">
        <v>74</v>
      </c>
      <c r="H85" t="s">
        <v>74</v>
      </c>
      <c r="I85" t="s">
        <v>1814</v>
      </c>
      <c r="J85" t="s">
        <v>1815</v>
      </c>
      <c r="K85" t="s">
        <v>74</v>
      </c>
      <c r="L85" t="s">
        <v>74</v>
      </c>
      <c r="M85" t="s">
        <v>1816</v>
      </c>
      <c r="N85" t="s">
        <v>79</v>
      </c>
      <c r="O85" t="s">
        <v>74</v>
      </c>
      <c r="P85" t="s">
        <v>74</v>
      </c>
      <c r="Q85" t="s">
        <v>74</v>
      </c>
      <c r="R85" t="s">
        <v>74</v>
      </c>
      <c r="S85" t="s">
        <v>74</v>
      </c>
      <c r="T85" t="s">
        <v>1817</v>
      </c>
      <c r="U85" t="s">
        <v>74</v>
      </c>
      <c r="V85" t="s">
        <v>1818</v>
      </c>
      <c r="W85" t="s">
        <v>1819</v>
      </c>
      <c r="X85" t="s">
        <v>1820</v>
      </c>
      <c r="Y85" t="s">
        <v>1821</v>
      </c>
      <c r="Z85" t="s">
        <v>1822</v>
      </c>
      <c r="AA85" t="s">
        <v>1823</v>
      </c>
      <c r="AB85" t="s">
        <v>1824</v>
      </c>
      <c r="AC85" t="s">
        <v>74</v>
      </c>
      <c r="AD85" t="s">
        <v>74</v>
      </c>
      <c r="AE85" t="s">
        <v>74</v>
      </c>
      <c r="AF85" t="s">
        <v>74</v>
      </c>
      <c r="AG85">
        <v>25</v>
      </c>
      <c r="AH85">
        <v>8</v>
      </c>
      <c r="AI85">
        <v>8</v>
      </c>
      <c r="AJ85">
        <v>0</v>
      </c>
      <c r="AK85">
        <v>2</v>
      </c>
      <c r="AL85" t="s">
        <v>1825</v>
      </c>
      <c r="AM85" t="s">
        <v>1826</v>
      </c>
      <c r="AN85" t="s">
        <v>1827</v>
      </c>
      <c r="AO85" t="s">
        <v>1828</v>
      </c>
      <c r="AP85" t="s">
        <v>1829</v>
      </c>
      <c r="AQ85" t="s">
        <v>74</v>
      </c>
      <c r="AR85" t="s">
        <v>1830</v>
      </c>
      <c r="AS85" t="s">
        <v>1831</v>
      </c>
      <c r="AT85" t="s">
        <v>99</v>
      </c>
      <c r="AU85">
        <v>2013</v>
      </c>
      <c r="AV85">
        <v>29</v>
      </c>
      <c r="AW85">
        <v>4</v>
      </c>
      <c r="AX85" t="s">
        <v>74</v>
      </c>
      <c r="AY85" t="s">
        <v>74</v>
      </c>
      <c r="AZ85" t="s">
        <v>74</v>
      </c>
      <c r="BA85" t="s">
        <v>74</v>
      </c>
      <c r="BB85">
        <v>375</v>
      </c>
      <c r="BC85">
        <v>387</v>
      </c>
      <c r="BD85" t="s">
        <v>74</v>
      </c>
      <c r="BE85" t="s">
        <v>74</v>
      </c>
      <c r="BF85" t="s">
        <v>74</v>
      </c>
      <c r="BG85" t="s">
        <v>74</v>
      </c>
      <c r="BH85" t="s">
        <v>74</v>
      </c>
      <c r="BI85">
        <v>13</v>
      </c>
      <c r="BJ85" t="s">
        <v>1832</v>
      </c>
      <c r="BK85" t="s">
        <v>1452</v>
      </c>
      <c r="BL85" t="s">
        <v>1832</v>
      </c>
      <c r="BM85" t="s">
        <v>1833</v>
      </c>
      <c r="BN85" t="s">
        <v>74</v>
      </c>
      <c r="BO85" t="s">
        <v>104</v>
      </c>
      <c r="BP85" t="s">
        <v>74</v>
      </c>
      <c r="BQ85" t="s">
        <v>74</v>
      </c>
      <c r="BR85" t="s">
        <v>105</v>
      </c>
      <c r="BS85" t="s">
        <v>1834</v>
      </c>
      <c r="BT85" t="str">
        <f>HYPERLINK("https%3A%2F%2Fwww.webofscience.com%2Fwos%2Fwoscc%2Ffull-record%2FWOS:000410220900003","View Full Record in Web of Science")</f>
        <v>View Full Record in Web of Science</v>
      </c>
    </row>
    <row r="86" spans="1:72" x14ac:dyDescent="0.15">
      <c r="A86" t="s">
        <v>72</v>
      </c>
      <c r="B86" t="s">
        <v>1835</v>
      </c>
      <c r="C86" t="s">
        <v>74</v>
      </c>
      <c r="D86" t="s">
        <v>74</v>
      </c>
      <c r="E86" t="s">
        <v>74</v>
      </c>
      <c r="F86" t="s">
        <v>1836</v>
      </c>
      <c r="G86" t="s">
        <v>74</v>
      </c>
      <c r="H86" t="s">
        <v>74</v>
      </c>
      <c r="I86" t="s">
        <v>1837</v>
      </c>
      <c r="J86" t="s">
        <v>1838</v>
      </c>
      <c r="K86" t="s">
        <v>74</v>
      </c>
      <c r="L86" t="s">
        <v>74</v>
      </c>
      <c r="M86" t="s">
        <v>78</v>
      </c>
      <c r="N86" t="s">
        <v>79</v>
      </c>
      <c r="O86" t="s">
        <v>74</v>
      </c>
      <c r="P86" t="s">
        <v>74</v>
      </c>
      <c r="Q86" t="s">
        <v>74</v>
      </c>
      <c r="R86" t="s">
        <v>74</v>
      </c>
      <c r="S86" t="s">
        <v>74</v>
      </c>
      <c r="T86" t="s">
        <v>74</v>
      </c>
      <c r="U86" t="s">
        <v>1839</v>
      </c>
      <c r="V86" t="s">
        <v>1840</v>
      </c>
      <c r="W86" t="s">
        <v>1841</v>
      </c>
      <c r="X86" t="s">
        <v>1842</v>
      </c>
      <c r="Y86" t="s">
        <v>1843</v>
      </c>
      <c r="Z86" t="s">
        <v>1844</v>
      </c>
      <c r="AA86" t="s">
        <v>1845</v>
      </c>
      <c r="AB86" t="s">
        <v>1846</v>
      </c>
      <c r="AC86" t="s">
        <v>1847</v>
      </c>
      <c r="AD86" t="s">
        <v>1848</v>
      </c>
      <c r="AE86" t="s">
        <v>1849</v>
      </c>
      <c r="AF86" t="s">
        <v>74</v>
      </c>
      <c r="AG86">
        <v>28</v>
      </c>
      <c r="AH86">
        <v>114</v>
      </c>
      <c r="AI86">
        <v>124</v>
      </c>
      <c r="AJ86">
        <v>2</v>
      </c>
      <c r="AK86">
        <v>57</v>
      </c>
      <c r="AL86" t="s">
        <v>1850</v>
      </c>
      <c r="AM86" t="s">
        <v>1851</v>
      </c>
      <c r="AN86" t="s">
        <v>1852</v>
      </c>
      <c r="AO86" t="s">
        <v>1853</v>
      </c>
      <c r="AP86" t="s">
        <v>1854</v>
      </c>
      <c r="AQ86" t="s">
        <v>74</v>
      </c>
      <c r="AR86" t="s">
        <v>1855</v>
      </c>
      <c r="AS86" t="s">
        <v>1856</v>
      </c>
      <c r="AT86" t="s">
        <v>99</v>
      </c>
      <c r="AU86">
        <v>2013</v>
      </c>
      <c r="AV86">
        <v>6</v>
      </c>
      <c r="AW86">
        <v>8</v>
      </c>
      <c r="AX86" t="s">
        <v>74</v>
      </c>
      <c r="AY86" t="s">
        <v>74</v>
      </c>
      <c r="AZ86" t="s">
        <v>74</v>
      </c>
      <c r="BA86" t="s">
        <v>74</v>
      </c>
      <c r="BB86">
        <v>613</v>
      </c>
      <c r="BC86">
        <v>616</v>
      </c>
      <c r="BD86" t="s">
        <v>74</v>
      </c>
      <c r="BE86" t="s">
        <v>1857</v>
      </c>
      <c r="BF86" t="str">
        <f>HYPERLINK("http://dx.doi.org/10.1038/NGEO1874","http://dx.doi.org/10.1038/NGEO1874")</f>
        <v>http://dx.doi.org/10.1038/NGEO1874</v>
      </c>
      <c r="BG86" t="s">
        <v>74</v>
      </c>
      <c r="BH86" t="s">
        <v>74</v>
      </c>
      <c r="BI86">
        <v>4</v>
      </c>
      <c r="BJ86" t="s">
        <v>1426</v>
      </c>
      <c r="BK86" t="s">
        <v>102</v>
      </c>
      <c r="BL86" t="s">
        <v>219</v>
      </c>
      <c r="BM86" t="s">
        <v>1858</v>
      </c>
      <c r="BN86" t="s">
        <v>74</v>
      </c>
      <c r="BO86" t="s">
        <v>74</v>
      </c>
      <c r="BP86" t="s">
        <v>74</v>
      </c>
      <c r="BQ86" t="s">
        <v>74</v>
      </c>
      <c r="BR86" t="s">
        <v>105</v>
      </c>
      <c r="BS86" t="s">
        <v>1859</v>
      </c>
      <c r="BT86" t="str">
        <f>HYPERLINK("https%3A%2F%2Fwww.webofscience.com%2Fwos%2Fwoscc%2Ffull-record%2FWOS:000322441900010","View Full Record in Web of Science")</f>
        <v>View Full Record in Web of Science</v>
      </c>
    </row>
    <row r="87" spans="1:72" x14ac:dyDescent="0.15">
      <c r="A87" t="s">
        <v>72</v>
      </c>
      <c r="B87" t="s">
        <v>1860</v>
      </c>
      <c r="C87" t="s">
        <v>74</v>
      </c>
      <c r="D87" t="s">
        <v>74</v>
      </c>
      <c r="E87" t="s">
        <v>74</v>
      </c>
      <c r="F87" t="s">
        <v>1861</v>
      </c>
      <c r="G87" t="s">
        <v>74</v>
      </c>
      <c r="H87" t="s">
        <v>74</v>
      </c>
      <c r="I87" t="s">
        <v>1862</v>
      </c>
      <c r="J87" t="s">
        <v>1863</v>
      </c>
      <c r="K87" t="s">
        <v>74</v>
      </c>
      <c r="L87" t="s">
        <v>74</v>
      </c>
      <c r="M87" t="s">
        <v>78</v>
      </c>
      <c r="N87" t="s">
        <v>79</v>
      </c>
      <c r="O87" t="s">
        <v>74</v>
      </c>
      <c r="P87" t="s">
        <v>74</v>
      </c>
      <c r="Q87" t="s">
        <v>74</v>
      </c>
      <c r="R87" t="s">
        <v>74</v>
      </c>
      <c r="S87" t="s">
        <v>74</v>
      </c>
      <c r="T87" t="s">
        <v>1864</v>
      </c>
      <c r="U87" t="s">
        <v>1865</v>
      </c>
      <c r="V87" t="s">
        <v>1866</v>
      </c>
      <c r="W87" t="s">
        <v>1867</v>
      </c>
      <c r="X87" t="s">
        <v>1868</v>
      </c>
      <c r="Y87" t="s">
        <v>1869</v>
      </c>
      <c r="Z87" t="s">
        <v>1870</v>
      </c>
      <c r="AA87" t="s">
        <v>1871</v>
      </c>
      <c r="AB87" t="s">
        <v>1872</v>
      </c>
      <c r="AC87" t="s">
        <v>1873</v>
      </c>
      <c r="AD87" t="s">
        <v>1874</v>
      </c>
      <c r="AE87" t="s">
        <v>1875</v>
      </c>
      <c r="AF87" t="s">
        <v>74</v>
      </c>
      <c r="AG87">
        <v>187</v>
      </c>
      <c r="AH87">
        <v>9</v>
      </c>
      <c r="AI87">
        <v>9</v>
      </c>
      <c r="AJ87">
        <v>0</v>
      </c>
      <c r="AK87">
        <v>35</v>
      </c>
      <c r="AL87" t="s">
        <v>529</v>
      </c>
      <c r="AM87" t="s">
        <v>391</v>
      </c>
      <c r="AN87" t="s">
        <v>1220</v>
      </c>
      <c r="AO87" t="s">
        <v>1876</v>
      </c>
      <c r="AP87" t="s">
        <v>1877</v>
      </c>
      <c r="AQ87" t="s">
        <v>74</v>
      </c>
      <c r="AR87" t="s">
        <v>1863</v>
      </c>
      <c r="AS87" t="s">
        <v>1878</v>
      </c>
      <c r="AT87" t="s">
        <v>99</v>
      </c>
      <c r="AU87">
        <v>2013</v>
      </c>
      <c r="AV87">
        <v>100</v>
      </c>
      <c r="AW87">
        <v>8</v>
      </c>
      <c r="AX87" t="s">
        <v>74</v>
      </c>
      <c r="AY87" t="s">
        <v>74</v>
      </c>
      <c r="AZ87" t="s">
        <v>74</v>
      </c>
      <c r="BA87" t="s">
        <v>74</v>
      </c>
      <c r="BB87">
        <v>699</v>
      </c>
      <c r="BC87">
        <v>722</v>
      </c>
      <c r="BD87" t="s">
        <v>74</v>
      </c>
      <c r="BE87" t="s">
        <v>1879</v>
      </c>
      <c r="BF87" t="str">
        <f>HYPERLINK("http://dx.doi.org/10.1007/s00114-013-1075-9","http://dx.doi.org/10.1007/s00114-013-1075-9")</f>
        <v>http://dx.doi.org/10.1007/s00114-013-1075-9</v>
      </c>
      <c r="BG87" t="s">
        <v>74</v>
      </c>
      <c r="BH87" t="s">
        <v>74</v>
      </c>
      <c r="BI87">
        <v>24</v>
      </c>
      <c r="BJ87" t="s">
        <v>1880</v>
      </c>
      <c r="BK87" t="s">
        <v>102</v>
      </c>
      <c r="BL87" t="s">
        <v>1881</v>
      </c>
      <c r="BM87" t="s">
        <v>1882</v>
      </c>
      <c r="BN87">
        <v>23828612</v>
      </c>
      <c r="BO87" t="s">
        <v>1063</v>
      </c>
      <c r="BP87" t="s">
        <v>74</v>
      </c>
      <c r="BQ87" t="s">
        <v>74</v>
      </c>
      <c r="BR87" t="s">
        <v>105</v>
      </c>
      <c r="BS87" t="s">
        <v>1883</v>
      </c>
      <c r="BT87" t="str">
        <f>HYPERLINK("https%3A%2F%2Fwww.webofscience.com%2Fwos%2Fwoscc%2Ffull-record%2FWOS:000321787200001","View Full Record in Web of Science")</f>
        <v>View Full Record in Web of Science</v>
      </c>
    </row>
    <row r="88" spans="1:72" x14ac:dyDescent="0.15">
      <c r="A88" t="s">
        <v>72</v>
      </c>
      <c r="B88" t="s">
        <v>1884</v>
      </c>
      <c r="C88" t="s">
        <v>74</v>
      </c>
      <c r="D88" t="s">
        <v>74</v>
      </c>
      <c r="E88" t="s">
        <v>74</v>
      </c>
      <c r="F88" t="s">
        <v>1885</v>
      </c>
      <c r="G88" t="s">
        <v>74</v>
      </c>
      <c r="H88" t="s">
        <v>74</v>
      </c>
      <c r="I88" t="s">
        <v>1886</v>
      </c>
      <c r="J88" t="s">
        <v>1887</v>
      </c>
      <c r="K88" t="s">
        <v>74</v>
      </c>
      <c r="L88" t="s">
        <v>74</v>
      </c>
      <c r="M88" t="s">
        <v>78</v>
      </c>
      <c r="N88" t="s">
        <v>79</v>
      </c>
      <c r="O88" t="s">
        <v>74</v>
      </c>
      <c r="P88" t="s">
        <v>74</v>
      </c>
      <c r="Q88" t="s">
        <v>74</v>
      </c>
      <c r="R88" t="s">
        <v>74</v>
      </c>
      <c r="S88" t="s">
        <v>74</v>
      </c>
      <c r="T88" t="s">
        <v>74</v>
      </c>
      <c r="U88" t="s">
        <v>1888</v>
      </c>
      <c r="V88" t="s">
        <v>1889</v>
      </c>
      <c r="W88" t="s">
        <v>1890</v>
      </c>
      <c r="X88" t="s">
        <v>1891</v>
      </c>
      <c r="Y88" t="s">
        <v>1892</v>
      </c>
      <c r="Z88" t="s">
        <v>1893</v>
      </c>
      <c r="AA88" t="s">
        <v>1894</v>
      </c>
      <c r="AB88" t="s">
        <v>1895</v>
      </c>
      <c r="AC88" t="s">
        <v>1896</v>
      </c>
      <c r="AD88" t="s">
        <v>1897</v>
      </c>
      <c r="AE88" t="s">
        <v>1898</v>
      </c>
      <c r="AF88" t="s">
        <v>74</v>
      </c>
      <c r="AG88">
        <v>47</v>
      </c>
      <c r="AH88">
        <v>63</v>
      </c>
      <c r="AI88">
        <v>67</v>
      </c>
      <c r="AJ88">
        <v>1</v>
      </c>
      <c r="AK88">
        <v>75</v>
      </c>
      <c r="AL88" t="s">
        <v>1850</v>
      </c>
      <c r="AM88" t="s">
        <v>1851</v>
      </c>
      <c r="AN88" t="s">
        <v>1852</v>
      </c>
      <c r="AO88" t="s">
        <v>1899</v>
      </c>
      <c r="AP88" t="s">
        <v>74</v>
      </c>
      <c r="AQ88" t="s">
        <v>74</v>
      </c>
      <c r="AR88" t="s">
        <v>1900</v>
      </c>
      <c r="AS88" t="s">
        <v>1901</v>
      </c>
      <c r="AT88" t="s">
        <v>1383</v>
      </c>
      <c r="AU88">
        <v>2013</v>
      </c>
      <c r="AV88">
        <v>3</v>
      </c>
      <c r="AW88" t="s">
        <v>74</v>
      </c>
      <c r="AX88" t="s">
        <v>74</v>
      </c>
      <c r="AY88" t="s">
        <v>74</v>
      </c>
      <c r="AZ88" t="s">
        <v>74</v>
      </c>
      <c r="BA88" t="s">
        <v>74</v>
      </c>
      <c r="BB88" t="s">
        <v>74</v>
      </c>
      <c r="BC88" t="s">
        <v>74</v>
      </c>
      <c r="BD88">
        <v>2339</v>
      </c>
      <c r="BE88" t="s">
        <v>1902</v>
      </c>
      <c r="BF88" t="str">
        <f>HYPERLINK("http://dx.doi.org/10.1038/srep02339","http://dx.doi.org/10.1038/srep02339")</f>
        <v>http://dx.doi.org/10.1038/srep02339</v>
      </c>
      <c r="BG88" t="s">
        <v>74</v>
      </c>
      <c r="BH88" t="s">
        <v>74</v>
      </c>
      <c r="BI88">
        <v>7</v>
      </c>
      <c r="BJ88" t="s">
        <v>1880</v>
      </c>
      <c r="BK88" t="s">
        <v>102</v>
      </c>
      <c r="BL88" t="s">
        <v>1881</v>
      </c>
      <c r="BM88" t="s">
        <v>1903</v>
      </c>
      <c r="BN88">
        <v>23903871</v>
      </c>
      <c r="BO88" t="s">
        <v>1904</v>
      </c>
      <c r="BP88" t="s">
        <v>74</v>
      </c>
      <c r="BQ88" t="s">
        <v>74</v>
      </c>
      <c r="BR88" t="s">
        <v>105</v>
      </c>
      <c r="BS88" t="s">
        <v>1905</v>
      </c>
      <c r="BT88" t="str">
        <f>HYPERLINK("https%3A%2F%2Fwww.webofscience.com%2Fwos%2Fwoscc%2Ffull-record%2FWOS:000322565300002","View Full Record in Web of Science")</f>
        <v>View Full Record in Web of Science</v>
      </c>
    </row>
    <row r="89" spans="1:72" x14ac:dyDescent="0.15">
      <c r="A89" t="s">
        <v>72</v>
      </c>
      <c r="B89" t="s">
        <v>1906</v>
      </c>
      <c r="C89" t="s">
        <v>74</v>
      </c>
      <c r="D89" t="s">
        <v>74</v>
      </c>
      <c r="E89" t="s">
        <v>74</v>
      </c>
      <c r="F89" t="s">
        <v>1907</v>
      </c>
      <c r="G89" t="s">
        <v>74</v>
      </c>
      <c r="H89" t="s">
        <v>74</v>
      </c>
      <c r="I89" t="s">
        <v>1908</v>
      </c>
      <c r="J89" t="s">
        <v>1909</v>
      </c>
      <c r="K89" t="s">
        <v>74</v>
      </c>
      <c r="L89" t="s">
        <v>74</v>
      </c>
      <c r="M89" t="s">
        <v>78</v>
      </c>
      <c r="N89" t="s">
        <v>79</v>
      </c>
      <c r="O89" t="s">
        <v>74</v>
      </c>
      <c r="P89" t="s">
        <v>74</v>
      </c>
      <c r="Q89" t="s">
        <v>74</v>
      </c>
      <c r="R89" t="s">
        <v>74</v>
      </c>
      <c r="S89" t="s">
        <v>74</v>
      </c>
      <c r="T89" t="s">
        <v>1910</v>
      </c>
      <c r="U89" t="s">
        <v>1911</v>
      </c>
      <c r="V89" t="s">
        <v>1912</v>
      </c>
      <c r="W89" t="s">
        <v>1913</v>
      </c>
      <c r="X89" t="s">
        <v>1914</v>
      </c>
      <c r="Y89" t="s">
        <v>1915</v>
      </c>
      <c r="Z89" t="s">
        <v>1916</v>
      </c>
      <c r="AA89" t="s">
        <v>1917</v>
      </c>
      <c r="AB89" t="s">
        <v>1918</v>
      </c>
      <c r="AC89" t="s">
        <v>1919</v>
      </c>
      <c r="AD89" t="s">
        <v>1920</v>
      </c>
      <c r="AE89" t="s">
        <v>1921</v>
      </c>
      <c r="AF89" t="s">
        <v>74</v>
      </c>
      <c r="AG89">
        <v>66</v>
      </c>
      <c r="AH89">
        <v>36</v>
      </c>
      <c r="AI89">
        <v>39</v>
      </c>
      <c r="AJ89">
        <v>1</v>
      </c>
      <c r="AK89">
        <v>7</v>
      </c>
      <c r="AL89" t="s">
        <v>1515</v>
      </c>
      <c r="AM89" t="s">
        <v>442</v>
      </c>
      <c r="AN89" t="s">
        <v>1516</v>
      </c>
      <c r="AO89" t="s">
        <v>1922</v>
      </c>
      <c r="AP89" t="s">
        <v>1923</v>
      </c>
      <c r="AQ89" t="s">
        <v>74</v>
      </c>
      <c r="AR89" t="s">
        <v>1924</v>
      </c>
      <c r="AS89" t="s">
        <v>1925</v>
      </c>
      <c r="AT89" t="s">
        <v>99</v>
      </c>
      <c r="AU89">
        <v>2013</v>
      </c>
      <c r="AV89">
        <v>68</v>
      </c>
      <c r="AW89" t="s">
        <v>74</v>
      </c>
      <c r="AX89" t="s">
        <v>74</v>
      </c>
      <c r="AY89" t="s">
        <v>74</v>
      </c>
      <c r="AZ89" t="s">
        <v>74</v>
      </c>
      <c r="BA89" t="s">
        <v>74</v>
      </c>
      <c r="BB89">
        <v>88</v>
      </c>
      <c r="BC89">
        <v>105</v>
      </c>
      <c r="BD89" t="s">
        <v>74</v>
      </c>
      <c r="BE89" t="s">
        <v>1926</v>
      </c>
      <c r="BF89" t="str">
        <f>HYPERLINK("http://dx.doi.org/10.1016/j.ocemod.2013.05.001","http://dx.doi.org/10.1016/j.ocemod.2013.05.001")</f>
        <v>http://dx.doi.org/10.1016/j.ocemod.2013.05.001</v>
      </c>
      <c r="BG89" t="s">
        <v>74</v>
      </c>
      <c r="BH89" t="s">
        <v>74</v>
      </c>
      <c r="BI89">
        <v>18</v>
      </c>
      <c r="BJ89" t="s">
        <v>1927</v>
      </c>
      <c r="BK89" t="s">
        <v>102</v>
      </c>
      <c r="BL89" t="s">
        <v>1927</v>
      </c>
      <c r="BM89" t="s">
        <v>1928</v>
      </c>
      <c r="BN89" t="s">
        <v>74</v>
      </c>
      <c r="BO89" t="s">
        <v>74</v>
      </c>
      <c r="BP89" t="s">
        <v>74</v>
      </c>
      <c r="BQ89" t="s">
        <v>74</v>
      </c>
      <c r="BR89" t="s">
        <v>105</v>
      </c>
      <c r="BS89" t="s">
        <v>1929</v>
      </c>
      <c r="BT89" t="str">
        <f>HYPERLINK("https%3A%2F%2Fwww.webofscience.com%2Fwos%2Fwoscc%2Ffull-record%2FWOS:000320606500007","View Full Record in Web of Science")</f>
        <v>View Full Record in Web of Science</v>
      </c>
    </row>
    <row r="90" spans="1:72" x14ac:dyDescent="0.15">
      <c r="A90" t="s">
        <v>72</v>
      </c>
      <c r="B90" t="s">
        <v>1930</v>
      </c>
      <c r="C90" t="s">
        <v>74</v>
      </c>
      <c r="D90" t="s">
        <v>74</v>
      </c>
      <c r="E90" t="s">
        <v>74</v>
      </c>
      <c r="F90" t="s">
        <v>1931</v>
      </c>
      <c r="G90" t="s">
        <v>74</v>
      </c>
      <c r="H90" t="s">
        <v>74</v>
      </c>
      <c r="I90" t="s">
        <v>1932</v>
      </c>
      <c r="J90" t="s">
        <v>1933</v>
      </c>
      <c r="K90" t="s">
        <v>74</v>
      </c>
      <c r="L90" t="s">
        <v>74</v>
      </c>
      <c r="M90" t="s">
        <v>78</v>
      </c>
      <c r="N90" t="s">
        <v>79</v>
      </c>
      <c r="O90" t="s">
        <v>74</v>
      </c>
      <c r="P90" t="s">
        <v>74</v>
      </c>
      <c r="Q90" t="s">
        <v>74</v>
      </c>
      <c r="R90" t="s">
        <v>74</v>
      </c>
      <c r="S90" t="s">
        <v>74</v>
      </c>
      <c r="T90" t="s">
        <v>1934</v>
      </c>
      <c r="U90" t="s">
        <v>1935</v>
      </c>
      <c r="V90" t="s">
        <v>1936</v>
      </c>
      <c r="W90" t="s">
        <v>1937</v>
      </c>
      <c r="X90" t="s">
        <v>1938</v>
      </c>
      <c r="Y90" t="s">
        <v>1939</v>
      </c>
      <c r="Z90" t="s">
        <v>1940</v>
      </c>
      <c r="AA90" t="s">
        <v>1941</v>
      </c>
      <c r="AB90" t="s">
        <v>1942</v>
      </c>
      <c r="AC90" t="s">
        <v>1943</v>
      </c>
      <c r="AD90" t="s">
        <v>1944</v>
      </c>
      <c r="AE90" t="s">
        <v>1945</v>
      </c>
      <c r="AF90" t="s">
        <v>74</v>
      </c>
      <c r="AG90">
        <v>61</v>
      </c>
      <c r="AH90">
        <v>22</v>
      </c>
      <c r="AI90">
        <v>23</v>
      </c>
      <c r="AJ90">
        <v>0</v>
      </c>
      <c r="AK90">
        <v>37</v>
      </c>
      <c r="AL90" t="s">
        <v>954</v>
      </c>
      <c r="AM90" t="s">
        <v>955</v>
      </c>
      <c r="AN90" t="s">
        <v>956</v>
      </c>
      <c r="AO90" t="s">
        <v>1946</v>
      </c>
      <c r="AP90" t="s">
        <v>1947</v>
      </c>
      <c r="AQ90" t="s">
        <v>74</v>
      </c>
      <c r="AR90" t="s">
        <v>1948</v>
      </c>
      <c r="AS90" t="s">
        <v>1949</v>
      </c>
      <c r="AT90" t="s">
        <v>1383</v>
      </c>
      <c r="AU90">
        <v>2013</v>
      </c>
      <c r="AV90">
        <v>32</v>
      </c>
      <c r="AW90" t="s">
        <v>74</v>
      </c>
      <c r="AX90" t="s">
        <v>74</v>
      </c>
      <c r="AY90" t="s">
        <v>74</v>
      </c>
      <c r="AZ90" t="s">
        <v>74</v>
      </c>
      <c r="BA90" t="s">
        <v>74</v>
      </c>
      <c r="BB90">
        <v>1</v>
      </c>
      <c r="BC90">
        <v>12</v>
      </c>
      <c r="BD90" t="s">
        <v>74</v>
      </c>
      <c r="BE90" t="s">
        <v>1950</v>
      </c>
      <c r="BF90" t="str">
        <f>HYPERLINK("http://dx.doi.org/10.1016/j.niox.2013.03.005","http://dx.doi.org/10.1016/j.niox.2013.03.005")</f>
        <v>http://dx.doi.org/10.1016/j.niox.2013.03.005</v>
      </c>
      <c r="BG90" t="s">
        <v>74</v>
      </c>
      <c r="BH90" t="s">
        <v>74</v>
      </c>
      <c r="BI90">
        <v>12</v>
      </c>
      <c r="BJ90" t="s">
        <v>1951</v>
      </c>
      <c r="BK90" t="s">
        <v>102</v>
      </c>
      <c r="BL90" t="s">
        <v>1951</v>
      </c>
      <c r="BM90" t="s">
        <v>1952</v>
      </c>
      <c r="BN90">
        <v>23545405</v>
      </c>
      <c r="BO90" t="s">
        <v>74</v>
      </c>
      <c r="BP90" t="s">
        <v>74</v>
      </c>
      <c r="BQ90" t="s">
        <v>74</v>
      </c>
      <c r="BR90" t="s">
        <v>105</v>
      </c>
      <c r="BS90" t="s">
        <v>1953</v>
      </c>
      <c r="BT90" t="str">
        <f>HYPERLINK("https%3A%2F%2Fwww.webofscience.com%2Fwos%2Fwoscc%2Ffull-record%2FWOS:000320418800001","View Full Record in Web of Science")</f>
        <v>View Full Record in Web of Science</v>
      </c>
    </row>
    <row r="91" spans="1:72" x14ac:dyDescent="0.15">
      <c r="A91" t="s">
        <v>72</v>
      </c>
      <c r="B91" t="s">
        <v>1954</v>
      </c>
      <c r="C91" t="s">
        <v>74</v>
      </c>
      <c r="D91" t="s">
        <v>74</v>
      </c>
      <c r="E91" t="s">
        <v>74</v>
      </c>
      <c r="F91" t="s">
        <v>1955</v>
      </c>
      <c r="G91" t="s">
        <v>74</v>
      </c>
      <c r="H91" t="s">
        <v>74</v>
      </c>
      <c r="I91" t="s">
        <v>1956</v>
      </c>
      <c r="J91" t="s">
        <v>1957</v>
      </c>
      <c r="K91" t="s">
        <v>74</v>
      </c>
      <c r="L91" t="s">
        <v>74</v>
      </c>
      <c r="M91" t="s">
        <v>78</v>
      </c>
      <c r="N91" t="s">
        <v>79</v>
      </c>
      <c r="O91" t="s">
        <v>74</v>
      </c>
      <c r="P91" t="s">
        <v>74</v>
      </c>
      <c r="Q91" t="s">
        <v>74</v>
      </c>
      <c r="R91" t="s">
        <v>74</v>
      </c>
      <c r="S91" t="s">
        <v>74</v>
      </c>
      <c r="T91" t="s">
        <v>1958</v>
      </c>
      <c r="U91" t="s">
        <v>1959</v>
      </c>
      <c r="V91" t="s">
        <v>1960</v>
      </c>
      <c r="W91" t="s">
        <v>1961</v>
      </c>
      <c r="X91" t="s">
        <v>1962</v>
      </c>
      <c r="Y91" t="s">
        <v>1963</v>
      </c>
      <c r="Z91" t="s">
        <v>1964</v>
      </c>
      <c r="AA91" t="s">
        <v>1965</v>
      </c>
      <c r="AB91" t="s">
        <v>1966</v>
      </c>
      <c r="AC91" t="s">
        <v>1967</v>
      </c>
      <c r="AD91" t="s">
        <v>1968</v>
      </c>
      <c r="AE91" t="s">
        <v>1969</v>
      </c>
      <c r="AF91" t="s">
        <v>74</v>
      </c>
      <c r="AG91">
        <v>22</v>
      </c>
      <c r="AH91">
        <v>44</v>
      </c>
      <c r="AI91">
        <v>45</v>
      </c>
      <c r="AJ91">
        <v>0</v>
      </c>
      <c r="AK91">
        <v>25</v>
      </c>
      <c r="AL91" t="s">
        <v>92</v>
      </c>
      <c r="AM91" t="s">
        <v>93</v>
      </c>
      <c r="AN91" t="s">
        <v>94</v>
      </c>
      <c r="AO91" t="s">
        <v>1970</v>
      </c>
      <c r="AP91" t="s">
        <v>1971</v>
      </c>
      <c r="AQ91" t="s">
        <v>74</v>
      </c>
      <c r="AR91" t="s">
        <v>1972</v>
      </c>
      <c r="AS91" t="s">
        <v>1973</v>
      </c>
      <c r="AT91" t="s">
        <v>1974</v>
      </c>
      <c r="AU91">
        <v>2013</v>
      </c>
      <c r="AV91">
        <v>40</v>
      </c>
      <c r="AW91">
        <v>14</v>
      </c>
      <c r="AX91" t="s">
        <v>74</v>
      </c>
      <c r="AY91" t="s">
        <v>74</v>
      </c>
      <c r="AZ91" t="s">
        <v>74</v>
      </c>
      <c r="BA91" t="s">
        <v>74</v>
      </c>
      <c r="BB91">
        <v>3643</v>
      </c>
      <c r="BC91">
        <v>3648</v>
      </c>
      <c r="BD91" t="s">
        <v>74</v>
      </c>
      <c r="BE91" t="s">
        <v>1975</v>
      </c>
      <c r="BF91" t="str">
        <f>HYPERLINK("http://dx.doi.org/10.1002/grl.50715","http://dx.doi.org/10.1002/grl.50715")</f>
        <v>http://dx.doi.org/10.1002/grl.50715</v>
      </c>
      <c r="BG91" t="s">
        <v>74</v>
      </c>
      <c r="BH91" t="s">
        <v>74</v>
      </c>
      <c r="BI91">
        <v>6</v>
      </c>
      <c r="BJ91" t="s">
        <v>1426</v>
      </c>
      <c r="BK91" t="s">
        <v>102</v>
      </c>
      <c r="BL91" t="s">
        <v>219</v>
      </c>
      <c r="BM91" t="s">
        <v>1976</v>
      </c>
      <c r="BN91" t="s">
        <v>74</v>
      </c>
      <c r="BO91" t="s">
        <v>74</v>
      </c>
      <c r="BP91" t="s">
        <v>74</v>
      </c>
      <c r="BQ91" t="s">
        <v>74</v>
      </c>
      <c r="BR91" t="s">
        <v>105</v>
      </c>
      <c r="BS91" t="s">
        <v>1977</v>
      </c>
      <c r="BT91" t="str">
        <f>HYPERLINK("https%3A%2F%2Fwww.webofscience.com%2Fwos%2Fwoscc%2Ffull-record%2FWOS:000323392700028","View Full Record in Web of Science")</f>
        <v>View Full Record in Web of Science</v>
      </c>
    </row>
    <row r="92" spans="1:72" x14ac:dyDescent="0.15">
      <c r="A92" t="s">
        <v>72</v>
      </c>
      <c r="B92" t="s">
        <v>1978</v>
      </c>
      <c r="C92" t="s">
        <v>74</v>
      </c>
      <c r="D92" t="s">
        <v>74</v>
      </c>
      <c r="E92" t="s">
        <v>74</v>
      </c>
      <c r="F92" t="s">
        <v>1979</v>
      </c>
      <c r="G92" t="s">
        <v>74</v>
      </c>
      <c r="H92" t="s">
        <v>74</v>
      </c>
      <c r="I92" t="s">
        <v>1980</v>
      </c>
      <c r="J92" t="s">
        <v>1957</v>
      </c>
      <c r="K92" t="s">
        <v>74</v>
      </c>
      <c r="L92" t="s">
        <v>74</v>
      </c>
      <c r="M92" t="s">
        <v>78</v>
      </c>
      <c r="N92" t="s">
        <v>79</v>
      </c>
      <c r="O92" t="s">
        <v>74</v>
      </c>
      <c r="P92" t="s">
        <v>74</v>
      </c>
      <c r="Q92" t="s">
        <v>74</v>
      </c>
      <c r="R92" t="s">
        <v>74</v>
      </c>
      <c r="S92" t="s">
        <v>74</v>
      </c>
      <c r="T92" t="s">
        <v>1981</v>
      </c>
      <c r="U92" t="s">
        <v>1982</v>
      </c>
      <c r="V92" t="s">
        <v>1983</v>
      </c>
      <c r="W92" t="s">
        <v>1984</v>
      </c>
      <c r="X92" t="s">
        <v>1985</v>
      </c>
      <c r="Y92" t="s">
        <v>1986</v>
      </c>
      <c r="Z92" t="s">
        <v>1987</v>
      </c>
      <c r="AA92" t="s">
        <v>1988</v>
      </c>
      <c r="AB92" t="s">
        <v>1989</v>
      </c>
      <c r="AC92" t="s">
        <v>1990</v>
      </c>
      <c r="AD92" t="s">
        <v>1991</v>
      </c>
      <c r="AE92" t="s">
        <v>1992</v>
      </c>
      <c r="AF92" t="s">
        <v>74</v>
      </c>
      <c r="AG92">
        <v>16</v>
      </c>
      <c r="AH92">
        <v>54</v>
      </c>
      <c r="AI92">
        <v>62</v>
      </c>
      <c r="AJ92">
        <v>0</v>
      </c>
      <c r="AK92">
        <v>39</v>
      </c>
      <c r="AL92" t="s">
        <v>92</v>
      </c>
      <c r="AM92" t="s">
        <v>93</v>
      </c>
      <c r="AN92" t="s">
        <v>94</v>
      </c>
      <c r="AO92" t="s">
        <v>1970</v>
      </c>
      <c r="AP92" t="s">
        <v>1971</v>
      </c>
      <c r="AQ92" t="s">
        <v>74</v>
      </c>
      <c r="AR92" t="s">
        <v>1972</v>
      </c>
      <c r="AS92" t="s">
        <v>1973</v>
      </c>
      <c r="AT92" t="s">
        <v>1974</v>
      </c>
      <c r="AU92">
        <v>2013</v>
      </c>
      <c r="AV92">
        <v>40</v>
      </c>
      <c r="AW92">
        <v>14</v>
      </c>
      <c r="AX92" t="s">
        <v>74</v>
      </c>
      <c r="AY92" t="s">
        <v>74</v>
      </c>
      <c r="AZ92" t="s">
        <v>74</v>
      </c>
      <c r="BA92" t="s">
        <v>74</v>
      </c>
      <c r="BB92">
        <v>3688</v>
      </c>
      <c r="BC92">
        <v>3692</v>
      </c>
      <c r="BD92" t="s">
        <v>74</v>
      </c>
      <c r="BE92" t="s">
        <v>1993</v>
      </c>
      <c r="BF92" t="str">
        <f>HYPERLINK("http://dx.doi.org/10.1002/grl.50675","http://dx.doi.org/10.1002/grl.50675")</f>
        <v>http://dx.doi.org/10.1002/grl.50675</v>
      </c>
      <c r="BG92" t="s">
        <v>74</v>
      </c>
      <c r="BH92" t="s">
        <v>74</v>
      </c>
      <c r="BI92">
        <v>5</v>
      </c>
      <c r="BJ92" t="s">
        <v>1426</v>
      </c>
      <c r="BK92" t="s">
        <v>102</v>
      </c>
      <c r="BL92" t="s">
        <v>219</v>
      </c>
      <c r="BM92" t="s">
        <v>1976</v>
      </c>
      <c r="BN92" t="s">
        <v>74</v>
      </c>
      <c r="BO92" t="s">
        <v>1589</v>
      </c>
      <c r="BP92" t="s">
        <v>74</v>
      </c>
      <c r="BQ92" t="s">
        <v>74</v>
      </c>
      <c r="BR92" t="s">
        <v>105</v>
      </c>
      <c r="BS92" t="s">
        <v>1994</v>
      </c>
      <c r="BT92" t="str">
        <f>HYPERLINK("https%3A%2F%2Fwww.webofscience.com%2Fwos%2Fwoscc%2Ffull-record%2FWOS:000323392700036","View Full Record in Web of Science")</f>
        <v>View Full Record in Web of Science</v>
      </c>
    </row>
    <row r="93" spans="1:72" x14ac:dyDescent="0.15">
      <c r="A93" t="s">
        <v>72</v>
      </c>
      <c r="B93" t="s">
        <v>1995</v>
      </c>
      <c r="C93" t="s">
        <v>74</v>
      </c>
      <c r="D93" t="s">
        <v>74</v>
      </c>
      <c r="E93" t="s">
        <v>74</v>
      </c>
      <c r="F93" t="s">
        <v>1996</v>
      </c>
      <c r="G93" t="s">
        <v>74</v>
      </c>
      <c r="H93" t="s">
        <v>74</v>
      </c>
      <c r="I93" t="s">
        <v>1997</v>
      </c>
      <c r="J93" t="s">
        <v>1957</v>
      </c>
      <c r="K93" t="s">
        <v>74</v>
      </c>
      <c r="L93" t="s">
        <v>74</v>
      </c>
      <c r="M93" t="s">
        <v>78</v>
      </c>
      <c r="N93" t="s">
        <v>79</v>
      </c>
      <c r="O93" t="s">
        <v>74</v>
      </c>
      <c r="P93" t="s">
        <v>74</v>
      </c>
      <c r="Q93" t="s">
        <v>74</v>
      </c>
      <c r="R93" t="s">
        <v>74</v>
      </c>
      <c r="S93" t="s">
        <v>74</v>
      </c>
      <c r="T93" t="s">
        <v>1998</v>
      </c>
      <c r="U93" t="s">
        <v>1999</v>
      </c>
      <c r="V93" t="s">
        <v>2000</v>
      </c>
      <c r="W93" t="s">
        <v>2001</v>
      </c>
      <c r="X93" t="s">
        <v>2002</v>
      </c>
      <c r="Y93" t="s">
        <v>2003</v>
      </c>
      <c r="Z93" t="s">
        <v>2004</v>
      </c>
      <c r="AA93" t="s">
        <v>2005</v>
      </c>
      <c r="AB93" t="s">
        <v>2006</v>
      </c>
      <c r="AC93" t="s">
        <v>2007</v>
      </c>
      <c r="AD93" t="s">
        <v>2008</v>
      </c>
      <c r="AE93" t="s">
        <v>2009</v>
      </c>
      <c r="AF93" t="s">
        <v>74</v>
      </c>
      <c r="AG93">
        <v>32</v>
      </c>
      <c r="AH93">
        <v>109</v>
      </c>
      <c r="AI93">
        <v>122</v>
      </c>
      <c r="AJ93">
        <v>1</v>
      </c>
      <c r="AK93">
        <v>39</v>
      </c>
      <c r="AL93" t="s">
        <v>92</v>
      </c>
      <c r="AM93" t="s">
        <v>93</v>
      </c>
      <c r="AN93" t="s">
        <v>94</v>
      </c>
      <c r="AO93" t="s">
        <v>1970</v>
      </c>
      <c r="AP93" t="s">
        <v>74</v>
      </c>
      <c r="AQ93" t="s">
        <v>74</v>
      </c>
      <c r="AR93" t="s">
        <v>1972</v>
      </c>
      <c r="AS93" t="s">
        <v>1973</v>
      </c>
      <c r="AT93" t="s">
        <v>1974</v>
      </c>
      <c r="AU93">
        <v>2013</v>
      </c>
      <c r="AV93">
        <v>40</v>
      </c>
      <c r="AW93">
        <v>14</v>
      </c>
      <c r="AX93" t="s">
        <v>74</v>
      </c>
      <c r="AY93" t="s">
        <v>74</v>
      </c>
      <c r="AZ93" t="s">
        <v>74</v>
      </c>
      <c r="BA93" t="s">
        <v>74</v>
      </c>
      <c r="BB93">
        <v>3649</v>
      </c>
      <c r="BC93">
        <v>3654</v>
      </c>
      <c r="BD93" t="s">
        <v>74</v>
      </c>
      <c r="BE93" t="s">
        <v>2010</v>
      </c>
      <c r="BF93" t="str">
        <f>HYPERLINK("http://dx.doi.org/10.1002/grl.50706","http://dx.doi.org/10.1002/grl.50706")</f>
        <v>http://dx.doi.org/10.1002/grl.50706</v>
      </c>
      <c r="BG93" t="s">
        <v>74</v>
      </c>
      <c r="BH93" t="s">
        <v>74</v>
      </c>
      <c r="BI93">
        <v>6</v>
      </c>
      <c r="BJ93" t="s">
        <v>1426</v>
      </c>
      <c r="BK93" t="s">
        <v>102</v>
      </c>
      <c r="BL93" t="s">
        <v>219</v>
      </c>
      <c r="BM93" t="s">
        <v>1976</v>
      </c>
      <c r="BN93" t="s">
        <v>74</v>
      </c>
      <c r="BO93" t="s">
        <v>2011</v>
      </c>
      <c r="BP93" t="s">
        <v>74</v>
      </c>
      <c r="BQ93" t="s">
        <v>74</v>
      </c>
      <c r="BR93" t="s">
        <v>105</v>
      </c>
      <c r="BS93" t="s">
        <v>2012</v>
      </c>
      <c r="BT93" t="str">
        <f>HYPERLINK("https%3A%2F%2Fwww.webofscience.com%2Fwos%2Fwoscc%2Ffull-record%2FWOS:000323392700029","View Full Record in Web of Science")</f>
        <v>View Full Record in Web of Science</v>
      </c>
    </row>
    <row r="94" spans="1:72" x14ac:dyDescent="0.15">
      <c r="A94" t="s">
        <v>72</v>
      </c>
      <c r="B94" t="s">
        <v>2013</v>
      </c>
      <c r="C94" t="s">
        <v>74</v>
      </c>
      <c r="D94" t="s">
        <v>74</v>
      </c>
      <c r="E94" t="s">
        <v>74</v>
      </c>
      <c r="F94" t="s">
        <v>2014</v>
      </c>
      <c r="G94" t="s">
        <v>74</v>
      </c>
      <c r="H94" t="s">
        <v>74</v>
      </c>
      <c r="I94" t="s">
        <v>2015</v>
      </c>
      <c r="J94" t="s">
        <v>2016</v>
      </c>
      <c r="K94" t="s">
        <v>74</v>
      </c>
      <c r="L94" t="s">
        <v>74</v>
      </c>
      <c r="M94" t="s">
        <v>78</v>
      </c>
      <c r="N94" t="s">
        <v>79</v>
      </c>
      <c r="O94" t="s">
        <v>74</v>
      </c>
      <c r="P94" t="s">
        <v>74</v>
      </c>
      <c r="Q94" t="s">
        <v>74</v>
      </c>
      <c r="R94" t="s">
        <v>74</v>
      </c>
      <c r="S94" t="s">
        <v>74</v>
      </c>
      <c r="T94" t="s">
        <v>2017</v>
      </c>
      <c r="U94" t="s">
        <v>2018</v>
      </c>
      <c r="V94" t="s">
        <v>2019</v>
      </c>
      <c r="W94" t="s">
        <v>2020</v>
      </c>
      <c r="X94" t="s">
        <v>2021</v>
      </c>
      <c r="Y94" t="s">
        <v>2022</v>
      </c>
      <c r="Z94" t="s">
        <v>2023</v>
      </c>
      <c r="AA94" t="s">
        <v>2024</v>
      </c>
      <c r="AB94" t="s">
        <v>2025</v>
      </c>
      <c r="AC94" t="s">
        <v>2026</v>
      </c>
      <c r="AD94" t="s">
        <v>2027</v>
      </c>
      <c r="AE94" t="s">
        <v>2028</v>
      </c>
      <c r="AF94" t="s">
        <v>74</v>
      </c>
      <c r="AG94">
        <v>55</v>
      </c>
      <c r="AH94">
        <v>5</v>
      </c>
      <c r="AI94">
        <v>5</v>
      </c>
      <c r="AJ94">
        <v>1</v>
      </c>
      <c r="AK94">
        <v>21</v>
      </c>
      <c r="AL94" t="s">
        <v>92</v>
      </c>
      <c r="AM94" t="s">
        <v>93</v>
      </c>
      <c r="AN94" t="s">
        <v>94</v>
      </c>
      <c r="AO94" t="s">
        <v>2029</v>
      </c>
      <c r="AP94" t="s">
        <v>2030</v>
      </c>
      <c r="AQ94" t="s">
        <v>74</v>
      </c>
      <c r="AR94" t="s">
        <v>2031</v>
      </c>
      <c r="AS94" t="s">
        <v>2032</v>
      </c>
      <c r="AT94" t="s">
        <v>2033</v>
      </c>
      <c r="AU94">
        <v>2013</v>
      </c>
      <c r="AV94">
        <v>118</v>
      </c>
      <c r="AW94">
        <v>14</v>
      </c>
      <c r="AX94" t="s">
        <v>74</v>
      </c>
      <c r="AY94" t="s">
        <v>74</v>
      </c>
      <c r="AZ94" t="s">
        <v>74</v>
      </c>
      <c r="BA94" t="s">
        <v>74</v>
      </c>
      <c r="BB94">
        <v>7606</v>
      </c>
      <c r="BC94">
        <v>7616</v>
      </c>
      <c r="BD94" t="s">
        <v>74</v>
      </c>
      <c r="BE94" t="s">
        <v>2034</v>
      </c>
      <c r="BF94" t="str">
        <f>HYPERLINK("http://dx.doi.org/10.1002/jgrd.50594","http://dx.doi.org/10.1002/jgrd.50594")</f>
        <v>http://dx.doi.org/10.1002/jgrd.50594</v>
      </c>
      <c r="BG94" t="s">
        <v>74</v>
      </c>
      <c r="BH94" t="s">
        <v>74</v>
      </c>
      <c r="BI94">
        <v>11</v>
      </c>
      <c r="BJ94" t="s">
        <v>305</v>
      </c>
      <c r="BK94" t="s">
        <v>102</v>
      </c>
      <c r="BL94" t="s">
        <v>305</v>
      </c>
      <c r="BM94" t="s">
        <v>2035</v>
      </c>
      <c r="BN94" t="s">
        <v>74</v>
      </c>
      <c r="BO94" t="s">
        <v>104</v>
      </c>
      <c r="BP94" t="s">
        <v>74</v>
      </c>
      <c r="BQ94" t="s">
        <v>74</v>
      </c>
      <c r="BR94" t="s">
        <v>105</v>
      </c>
      <c r="BS94" t="s">
        <v>2036</v>
      </c>
      <c r="BT94" t="str">
        <f>HYPERLINK("https%3A%2F%2Fwww.webofscience.com%2Fwos%2Fwoscc%2Ffull-record%2FWOS:000323120800016","View Full Record in Web of Science")</f>
        <v>View Full Record in Web of Science</v>
      </c>
    </row>
    <row r="95" spans="1:72" x14ac:dyDescent="0.15">
      <c r="A95" t="s">
        <v>72</v>
      </c>
      <c r="B95" t="s">
        <v>2037</v>
      </c>
      <c r="C95" t="s">
        <v>74</v>
      </c>
      <c r="D95" t="s">
        <v>74</v>
      </c>
      <c r="E95" t="s">
        <v>74</v>
      </c>
      <c r="F95" t="s">
        <v>2038</v>
      </c>
      <c r="G95" t="s">
        <v>74</v>
      </c>
      <c r="H95" t="s">
        <v>74</v>
      </c>
      <c r="I95" t="s">
        <v>2039</v>
      </c>
      <c r="J95" t="s">
        <v>2016</v>
      </c>
      <c r="K95" t="s">
        <v>74</v>
      </c>
      <c r="L95" t="s">
        <v>74</v>
      </c>
      <c r="M95" t="s">
        <v>78</v>
      </c>
      <c r="N95" t="s">
        <v>79</v>
      </c>
      <c r="O95" t="s">
        <v>74</v>
      </c>
      <c r="P95" t="s">
        <v>74</v>
      </c>
      <c r="Q95" t="s">
        <v>74</v>
      </c>
      <c r="R95" t="s">
        <v>74</v>
      </c>
      <c r="S95" t="s">
        <v>74</v>
      </c>
      <c r="T95" t="s">
        <v>2040</v>
      </c>
      <c r="U95" t="s">
        <v>2041</v>
      </c>
      <c r="V95" t="s">
        <v>2042</v>
      </c>
      <c r="W95" t="s">
        <v>2043</v>
      </c>
      <c r="X95" t="s">
        <v>2044</v>
      </c>
      <c r="Y95" t="s">
        <v>2045</v>
      </c>
      <c r="Z95" t="s">
        <v>2046</v>
      </c>
      <c r="AA95" t="s">
        <v>2047</v>
      </c>
      <c r="AB95" t="s">
        <v>2048</v>
      </c>
      <c r="AC95" t="s">
        <v>2049</v>
      </c>
      <c r="AD95" t="s">
        <v>2050</v>
      </c>
      <c r="AE95" t="s">
        <v>2051</v>
      </c>
      <c r="AF95" t="s">
        <v>74</v>
      </c>
      <c r="AG95">
        <v>44</v>
      </c>
      <c r="AH95">
        <v>34</v>
      </c>
      <c r="AI95">
        <v>37</v>
      </c>
      <c r="AJ95">
        <v>1</v>
      </c>
      <c r="AK95">
        <v>26</v>
      </c>
      <c r="AL95" t="s">
        <v>92</v>
      </c>
      <c r="AM95" t="s">
        <v>93</v>
      </c>
      <c r="AN95" t="s">
        <v>94</v>
      </c>
      <c r="AO95" t="s">
        <v>2029</v>
      </c>
      <c r="AP95" t="s">
        <v>2030</v>
      </c>
      <c r="AQ95" t="s">
        <v>74</v>
      </c>
      <c r="AR95" t="s">
        <v>2031</v>
      </c>
      <c r="AS95" t="s">
        <v>2032</v>
      </c>
      <c r="AT95" t="s">
        <v>2033</v>
      </c>
      <c r="AU95">
        <v>2013</v>
      </c>
      <c r="AV95">
        <v>118</v>
      </c>
      <c r="AW95">
        <v>14</v>
      </c>
      <c r="AX95" t="s">
        <v>74</v>
      </c>
      <c r="AY95" t="s">
        <v>74</v>
      </c>
      <c r="AZ95" t="s">
        <v>74</v>
      </c>
      <c r="BA95" t="s">
        <v>74</v>
      </c>
      <c r="BB95">
        <v>7427</v>
      </c>
      <c r="BC95">
        <v>7434</v>
      </c>
      <c r="BD95" t="s">
        <v>74</v>
      </c>
      <c r="BE95" t="s">
        <v>2052</v>
      </c>
      <c r="BF95" t="str">
        <f>HYPERLINK("http://dx.doi.org/10.1002/jgrd.50551","http://dx.doi.org/10.1002/jgrd.50551")</f>
        <v>http://dx.doi.org/10.1002/jgrd.50551</v>
      </c>
      <c r="BG95" t="s">
        <v>74</v>
      </c>
      <c r="BH95" t="s">
        <v>74</v>
      </c>
      <c r="BI95">
        <v>8</v>
      </c>
      <c r="BJ95" t="s">
        <v>305</v>
      </c>
      <c r="BK95" t="s">
        <v>102</v>
      </c>
      <c r="BL95" t="s">
        <v>305</v>
      </c>
      <c r="BM95" t="s">
        <v>2035</v>
      </c>
      <c r="BN95" t="s">
        <v>74</v>
      </c>
      <c r="BO95" t="s">
        <v>2053</v>
      </c>
      <c r="BP95" t="s">
        <v>74</v>
      </c>
      <c r="BQ95" t="s">
        <v>74</v>
      </c>
      <c r="BR95" t="s">
        <v>105</v>
      </c>
      <c r="BS95" t="s">
        <v>2054</v>
      </c>
      <c r="BT95" t="str">
        <f>HYPERLINK("https%3A%2F%2Fwww.webofscience.com%2Fwos%2Fwoscc%2Ffull-record%2FWOS:000323120800001","View Full Record in Web of Science")</f>
        <v>View Full Record in Web of Science</v>
      </c>
    </row>
    <row r="96" spans="1:72" x14ac:dyDescent="0.15">
      <c r="A96" t="s">
        <v>72</v>
      </c>
      <c r="B96" t="s">
        <v>2055</v>
      </c>
      <c r="C96" t="s">
        <v>74</v>
      </c>
      <c r="D96" t="s">
        <v>74</v>
      </c>
      <c r="E96" t="s">
        <v>74</v>
      </c>
      <c r="F96" t="s">
        <v>2056</v>
      </c>
      <c r="G96" t="s">
        <v>74</v>
      </c>
      <c r="H96" t="s">
        <v>74</v>
      </c>
      <c r="I96" t="s">
        <v>2057</v>
      </c>
      <c r="J96" t="s">
        <v>2016</v>
      </c>
      <c r="K96" t="s">
        <v>74</v>
      </c>
      <c r="L96" t="s">
        <v>74</v>
      </c>
      <c r="M96" t="s">
        <v>78</v>
      </c>
      <c r="N96" t="s">
        <v>79</v>
      </c>
      <c r="O96" t="s">
        <v>74</v>
      </c>
      <c r="P96" t="s">
        <v>74</v>
      </c>
      <c r="Q96" t="s">
        <v>74</v>
      </c>
      <c r="R96" t="s">
        <v>74</v>
      </c>
      <c r="S96" t="s">
        <v>74</v>
      </c>
      <c r="T96" t="s">
        <v>2058</v>
      </c>
      <c r="U96" t="s">
        <v>2059</v>
      </c>
      <c r="V96" t="s">
        <v>2060</v>
      </c>
      <c r="W96" t="s">
        <v>2061</v>
      </c>
      <c r="X96" t="s">
        <v>2062</v>
      </c>
      <c r="Y96" t="s">
        <v>2063</v>
      </c>
      <c r="Z96" t="s">
        <v>2064</v>
      </c>
      <c r="AA96" t="s">
        <v>74</v>
      </c>
      <c r="AB96" t="s">
        <v>2065</v>
      </c>
      <c r="AC96" t="s">
        <v>2066</v>
      </c>
      <c r="AD96" t="s">
        <v>2067</v>
      </c>
      <c r="AE96" t="s">
        <v>2068</v>
      </c>
      <c r="AF96" t="s">
        <v>74</v>
      </c>
      <c r="AG96">
        <v>26</v>
      </c>
      <c r="AH96">
        <v>7</v>
      </c>
      <c r="AI96">
        <v>8</v>
      </c>
      <c r="AJ96">
        <v>1</v>
      </c>
      <c r="AK96">
        <v>17</v>
      </c>
      <c r="AL96" t="s">
        <v>92</v>
      </c>
      <c r="AM96" t="s">
        <v>93</v>
      </c>
      <c r="AN96" t="s">
        <v>94</v>
      </c>
      <c r="AO96" t="s">
        <v>2029</v>
      </c>
      <c r="AP96" t="s">
        <v>2030</v>
      </c>
      <c r="AQ96" t="s">
        <v>74</v>
      </c>
      <c r="AR96" t="s">
        <v>2031</v>
      </c>
      <c r="AS96" t="s">
        <v>2032</v>
      </c>
      <c r="AT96" t="s">
        <v>2033</v>
      </c>
      <c r="AU96">
        <v>2013</v>
      </c>
      <c r="AV96">
        <v>118</v>
      </c>
      <c r="AW96">
        <v>14</v>
      </c>
      <c r="AX96" t="s">
        <v>74</v>
      </c>
      <c r="AY96" t="s">
        <v>74</v>
      </c>
      <c r="AZ96" t="s">
        <v>74</v>
      </c>
      <c r="BA96" t="s">
        <v>74</v>
      </c>
      <c r="BB96">
        <v>7765</v>
      </c>
      <c r="BC96">
        <v>7772</v>
      </c>
      <c r="BD96" t="s">
        <v>74</v>
      </c>
      <c r="BE96" t="s">
        <v>2069</v>
      </c>
      <c r="BF96" t="str">
        <f>HYPERLINK("http://dx.doi.org/10.1002/jgrd.50577","http://dx.doi.org/10.1002/jgrd.50577")</f>
        <v>http://dx.doi.org/10.1002/jgrd.50577</v>
      </c>
      <c r="BG96" t="s">
        <v>74</v>
      </c>
      <c r="BH96" t="s">
        <v>74</v>
      </c>
      <c r="BI96">
        <v>8</v>
      </c>
      <c r="BJ96" t="s">
        <v>305</v>
      </c>
      <c r="BK96" t="s">
        <v>102</v>
      </c>
      <c r="BL96" t="s">
        <v>305</v>
      </c>
      <c r="BM96" t="s">
        <v>2035</v>
      </c>
      <c r="BN96" t="s">
        <v>74</v>
      </c>
      <c r="BO96" t="s">
        <v>104</v>
      </c>
      <c r="BP96" t="s">
        <v>74</v>
      </c>
      <c r="BQ96" t="s">
        <v>74</v>
      </c>
      <c r="BR96" t="s">
        <v>105</v>
      </c>
      <c r="BS96" t="s">
        <v>2070</v>
      </c>
      <c r="BT96" t="str">
        <f>HYPERLINK("https%3A%2F%2Fwww.webofscience.com%2Fwos%2Fwoscc%2Ffull-record%2FWOS:000323120800027","View Full Record in Web of Science")</f>
        <v>View Full Record in Web of Science</v>
      </c>
    </row>
    <row r="97" spans="1:72" x14ac:dyDescent="0.15">
      <c r="A97" t="s">
        <v>72</v>
      </c>
      <c r="B97" t="s">
        <v>2071</v>
      </c>
      <c r="C97" t="s">
        <v>74</v>
      </c>
      <c r="D97" t="s">
        <v>74</v>
      </c>
      <c r="E97" t="s">
        <v>74</v>
      </c>
      <c r="F97" t="s">
        <v>2072</v>
      </c>
      <c r="G97" t="s">
        <v>74</v>
      </c>
      <c r="H97" t="s">
        <v>74</v>
      </c>
      <c r="I97" t="s">
        <v>2073</v>
      </c>
      <c r="J97" t="s">
        <v>2016</v>
      </c>
      <c r="K97" t="s">
        <v>74</v>
      </c>
      <c r="L97" t="s">
        <v>74</v>
      </c>
      <c r="M97" t="s">
        <v>78</v>
      </c>
      <c r="N97" t="s">
        <v>79</v>
      </c>
      <c r="O97" t="s">
        <v>74</v>
      </c>
      <c r="P97" t="s">
        <v>74</v>
      </c>
      <c r="Q97" t="s">
        <v>74</v>
      </c>
      <c r="R97" t="s">
        <v>74</v>
      </c>
      <c r="S97" t="s">
        <v>74</v>
      </c>
      <c r="T97" t="s">
        <v>2074</v>
      </c>
      <c r="U97" t="s">
        <v>2075</v>
      </c>
      <c r="V97" t="s">
        <v>2076</v>
      </c>
      <c r="W97" t="s">
        <v>2077</v>
      </c>
      <c r="X97" t="s">
        <v>2078</v>
      </c>
      <c r="Y97" t="s">
        <v>2079</v>
      </c>
      <c r="Z97" t="s">
        <v>2080</v>
      </c>
      <c r="AA97" t="s">
        <v>2081</v>
      </c>
      <c r="AB97" t="s">
        <v>2082</v>
      </c>
      <c r="AC97" t="s">
        <v>2083</v>
      </c>
      <c r="AD97" t="s">
        <v>2084</v>
      </c>
      <c r="AE97" t="s">
        <v>2085</v>
      </c>
      <c r="AF97" t="s">
        <v>74</v>
      </c>
      <c r="AG97">
        <v>37</v>
      </c>
      <c r="AH97">
        <v>59</v>
      </c>
      <c r="AI97">
        <v>64</v>
      </c>
      <c r="AJ97">
        <v>2</v>
      </c>
      <c r="AK97">
        <v>84</v>
      </c>
      <c r="AL97" t="s">
        <v>92</v>
      </c>
      <c r="AM97" t="s">
        <v>93</v>
      </c>
      <c r="AN97" t="s">
        <v>94</v>
      </c>
      <c r="AO97" t="s">
        <v>2029</v>
      </c>
      <c r="AP97" t="s">
        <v>2030</v>
      </c>
      <c r="AQ97" t="s">
        <v>74</v>
      </c>
      <c r="AR97" t="s">
        <v>2031</v>
      </c>
      <c r="AS97" t="s">
        <v>2032</v>
      </c>
      <c r="AT97" t="s">
        <v>2033</v>
      </c>
      <c r="AU97">
        <v>2013</v>
      </c>
      <c r="AV97">
        <v>118</v>
      </c>
      <c r="AW97">
        <v>14</v>
      </c>
      <c r="AX97" t="s">
        <v>74</v>
      </c>
      <c r="AY97" t="s">
        <v>74</v>
      </c>
      <c r="AZ97" t="s">
        <v>74</v>
      </c>
      <c r="BA97" t="s">
        <v>74</v>
      </c>
      <c r="BB97">
        <v>7948</v>
      </c>
      <c r="BC97">
        <v>7961</v>
      </c>
      <c r="BD97" t="s">
        <v>74</v>
      </c>
      <c r="BE97" t="s">
        <v>2086</v>
      </c>
      <c r="BF97" t="str">
        <f>HYPERLINK("http://dx.doi.org/10.1002/jgrd.50612","http://dx.doi.org/10.1002/jgrd.50612")</f>
        <v>http://dx.doi.org/10.1002/jgrd.50612</v>
      </c>
      <c r="BG97" t="s">
        <v>74</v>
      </c>
      <c r="BH97" t="s">
        <v>74</v>
      </c>
      <c r="BI97">
        <v>14</v>
      </c>
      <c r="BJ97" t="s">
        <v>305</v>
      </c>
      <c r="BK97" t="s">
        <v>102</v>
      </c>
      <c r="BL97" t="s">
        <v>305</v>
      </c>
      <c r="BM97" t="s">
        <v>2035</v>
      </c>
      <c r="BN97" t="s">
        <v>74</v>
      </c>
      <c r="BO97" t="s">
        <v>426</v>
      </c>
      <c r="BP97" t="s">
        <v>74</v>
      </c>
      <c r="BQ97" t="s">
        <v>74</v>
      </c>
      <c r="BR97" t="s">
        <v>105</v>
      </c>
      <c r="BS97" t="s">
        <v>2087</v>
      </c>
      <c r="BT97" t="str">
        <f>HYPERLINK("https%3A%2F%2Fwww.webofscience.com%2Fwos%2Fwoscc%2Ffull-record%2FWOS:000323120800042","View Full Record in Web of Science")</f>
        <v>View Full Record in Web of Science</v>
      </c>
    </row>
    <row r="98" spans="1:72" x14ac:dyDescent="0.15">
      <c r="A98" t="s">
        <v>72</v>
      </c>
      <c r="B98" t="s">
        <v>2088</v>
      </c>
      <c r="C98" t="s">
        <v>74</v>
      </c>
      <c r="D98" t="s">
        <v>74</v>
      </c>
      <c r="E98" t="s">
        <v>74</v>
      </c>
      <c r="F98" t="s">
        <v>2088</v>
      </c>
      <c r="G98" t="s">
        <v>74</v>
      </c>
      <c r="H98" t="s">
        <v>74</v>
      </c>
      <c r="I98" t="s">
        <v>2089</v>
      </c>
      <c r="J98" t="s">
        <v>2090</v>
      </c>
      <c r="K98" t="s">
        <v>74</v>
      </c>
      <c r="L98" t="s">
        <v>74</v>
      </c>
      <c r="M98" t="s">
        <v>78</v>
      </c>
      <c r="N98" t="s">
        <v>254</v>
      </c>
      <c r="O98" t="s">
        <v>74</v>
      </c>
      <c r="P98" t="s">
        <v>74</v>
      </c>
      <c r="Q98" t="s">
        <v>74</v>
      </c>
      <c r="R98" t="s">
        <v>74</v>
      </c>
      <c r="S98" t="s">
        <v>74</v>
      </c>
      <c r="T98" t="s">
        <v>74</v>
      </c>
      <c r="U98" t="s">
        <v>74</v>
      </c>
      <c r="V98" t="s">
        <v>74</v>
      </c>
      <c r="W98" t="s">
        <v>74</v>
      </c>
      <c r="X98" t="s">
        <v>74</v>
      </c>
      <c r="Y98" t="s">
        <v>74</v>
      </c>
      <c r="Z98" t="s">
        <v>74</v>
      </c>
      <c r="AA98" t="s">
        <v>74</v>
      </c>
      <c r="AB98" t="s">
        <v>74</v>
      </c>
      <c r="AC98" t="s">
        <v>74</v>
      </c>
      <c r="AD98" t="s">
        <v>74</v>
      </c>
      <c r="AE98" t="s">
        <v>74</v>
      </c>
      <c r="AF98" t="s">
        <v>74</v>
      </c>
      <c r="AG98">
        <v>0</v>
      </c>
      <c r="AH98">
        <v>0</v>
      </c>
      <c r="AI98">
        <v>0</v>
      </c>
      <c r="AJ98">
        <v>0</v>
      </c>
      <c r="AK98">
        <v>4</v>
      </c>
      <c r="AL98" t="s">
        <v>2091</v>
      </c>
      <c r="AM98" t="s">
        <v>93</v>
      </c>
      <c r="AN98" t="s">
        <v>2092</v>
      </c>
      <c r="AO98" t="s">
        <v>2093</v>
      </c>
      <c r="AP98" t="s">
        <v>74</v>
      </c>
      <c r="AQ98" t="s">
        <v>74</v>
      </c>
      <c r="AR98" t="s">
        <v>2090</v>
      </c>
      <c r="AS98" t="s">
        <v>2094</v>
      </c>
      <c r="AT98" t="s">
        <v>2095</v>
      </c>
      <c r="AU98">
        <v>2013</v>
      </c>
      <c r="AV98">
        <v>341</v>
      </c>
      <c r="AW98">
        <v>6144</v>
      </c>
      <c r="AX98" t="s">
        <v>74</v>
      </c>
      <c r="AY98" t="s">
        <v>74</v>
      </c>
      <c r="AZ98" t="s">
        <v>74</v>
      </c>
      <c r="BA98" t="s">
        <v>74</v>
      </c>
      <c r="BB98">
        <v>326</v>
      </c>
      <c r="BC98">
        <v>326</v>
      </c>
      <c r="BD98" t="s">
        <v>74</v>
      </c>
      <c r="BE98" t="s">
        <v>74</v>
      </c>
      <c r="BF98" t="s">
        <v>74</v>
      </c>
      <c r="BG98" t="s">
        <v>74</v>
      </c>
      <c r="BH98" t="s">
        <v>74</v>
      </c>
      <c r="BI98">
        <v>1</v>
      </c>
      <c r="BJ98" t="s">
        <v>1880</v>
      </c>
      <c r="BK98" t="s">
        <v>102</v>
      </c>
      <c r="BL98" t="s">
        <v>1881</v>
      </c>
      <c r="BM98" t="s">
        <v>2096</v>
      </c>
      <c r="BN98" t="s">
        <v>74</v>
      </c>
      <c r="BO98" t="s">
        <v>74</v>
      </c>
      <c r="BP98" t="s">
        <v>74</v>
      </c>
      <c r="BQ98" t="s">
        <v>74</v>
      </c>
      <c r="BR98" t="s">
        <v>105</v>
      </c>
      <c r="BS98" t="s">
        <v>2097</v>
      </c>
      <c r="BT98" t="str">
        <f>HYPERLINK("https%3A%2F%2Fwww.webofscience.com%2Fwos%2Fwoscc%2Ffull-record%2FWOS:000322259200009","View Full Record in Web of Science")</f>
        <v>View Full Record in Web of Science</v>
      </c>
    </row>
    <row r="99" spans="1:72" x14ac:dyDescent="0.15">
      <c r="A99" t="s">
        <v>72</v>
      </c>
      <c r="B99" t="s">
        <v>2098</v>
      </c>
      <c r="C99" t="s">
        <v>74</v>
      </c>
      <c r="D99" t="s">
        <v>74</v>
      </c>
      <c r="E99" t="s">
        <v>74</v>
      </c>
      <c r="F99" t="s">
        <v>2099</v>
      </c>
      <c r="G99" t="s">
        <v>74</v>
      </c>
      <c r="H99" t="s">
        <v>74</v>
      </c>
      <c r="I99" t="s">
        <v>2100</v>
      </c>
      <c r="J99" t="s">
        <v>2101</v>
      </c>
      <c r="K99" t="s">
        <v>74</v>
      </c>
      <c r="L99" t="s">
        <v>74</v>
      </c>
      <c r="M99" t="s">
        <v>78</v>
      </c>
      <c r="N99" t="s">
        <v>79</v>
      </c>
      <c r="O99" t="s">
        <v>74</v>
      </c>
      <c r="P99" t="s">
        <v>74</v>
      </c>
      <c r="Q99" t="s">
        <v>74</v>
      </c>
      <c r="R99" t="s">
        <v>74</v>
      </c>
      <c r="S99" t="s">
        <v>74</v>
      </c>
      <c r="T99" t="s">
        <v>2102</v>
      </c>
      <c r="U99" t="s">
        <v>2103</v>
      </c>
      <c r="V99" t="s">
        <v>2104</v>
      </c>
      <c r="W99" t="s">
        <v>2105</v>
      </c>
      <c r="X99" t="s">
        <v>2106</v>
      </c>
      <c r="Y99" t="s">
        <v>2107</v>
      </c>
      <c r="Z99" t="s">
        <v>2108</v>
      </c>
      <c r="AA99" t="s">
        <v>74</v>
      </c>
      <c r="AB99" t="s">
        <v>74</v>
      </c>
      <c r="AC99" t="s">
        <v>2109</v>
      </c>
      <c r="AD99" t="s">
        <v>2110</v>
      </c>
      <c r="AE99" t="s">
        <v>2111</v>
      </c>
      <c r="AF99" t="s">
        <v>74</v>
      </c>
      <c r="AG99">
        <v>119</v>
      </c>
      <c r="AH99">
        <v>15</v>
      </c>
      <c r="AI99">
        <v>16</v>
      </c>
      <c r="AJ99">
        <v>1</v>
      </c>
      <c r="AK99">
        <v>14</v>
      </c>
      <c r="AL99" t="s">
        <v>2112</v>
      </c>
      <c r="AM99" t="s">
        <v>2113</v>
      </c>
      <c r="AN99" t="s">
        <v>2114</v>
      </c>
      <c r="AO99" t="s">
        <v>2115</v>
      </c>
      <c r="AP99" t="s">
        <v>2116</v>
      </c>
      <c r="AQ99" t="s">
        <v>74</v>
      </c>
      <c r="AR99" t="s">
        <v>2101</v>
      </c>
      <c r="AS99" t="s">
        <v>2117</v>
      </c>
      <c r="AT99" t="s">
        <v>2118</v>
      </c>
      <c r="AU99">
        <v>2013</v>
      </c>
      <c r="AV99">
        <v>3692</v>
      </c>
      <c r="AW99">
        <v>1</v>
      </c>
      <c r="AX99" t="s">
        <v>74</v>
      </c>
      <c r="AY99" t="s">
        <v>74</v>
      </c>
      <c r="AZ99" t="s">
        <v>935</v>
      </c>
      <c r="BA99" t="s">
        <v>74</v>
      </c>
      <c r="BB99">
        <v>28</v>
      </c>
      <c r="BC99">
        <v>101</v>
      </c>
      <c r="BD99" t="s">
        <v>74</v>
      </c>
      <c r="BE99" t="s">
        <v>2119</v>
      </c>
      <c r="BF99" t="str">
        <f>HYPERLINK("http://dx.doi.org/10.11646/zootaxa.3692.1.5","http://dx.doi.org/10.11646/zootaxa.3692.1.5")</f>
        <v>http://dx.doi.org/10.11646/zootaxa.3692.1.5</v>
      </c>
      <c r="BG99" t="s">
        <v>74</v>
      </c>
      <c r="BH99" t="s">
        <v>74</v>
      </c>
      <c r="BI99">
        <v>74</v>
      </c>
      <c r="BJ99" t="s">
        <v>2120</v>
      </c>
      <c r="BK99" t="s">
        <v>102</v>
      </c>
      <c r="BL99" t="s">
        <v>2120</v>
      </c>
      <c r="BM99" t="s">
        <v>2121</v>
      </c>
      <c r="BN99" t="s">
        <v>74</v>
      </c>
      <c r="BO99" t="s">
        <v>74</v>
      </c>
      <c r="BP99" t="s">
        <v>74</v>
      </c>
      <c r="BQ99" t="s">
        <v>74</v>
      </c>
      <c r="BR99" t="s">
        <v>105</v>
      </c>
      <c r="BS99" t="s">
        <v>2122</v>
      </c>
      <c r="BT99" t="str">
        <f>HYPERLINK("https%3A%2F%2Fwww.webofscience.com%2Fwos%2Fwoscc%2Ffull-record%2FWOS:000322226500003","View Full Record in Web of Science")</f>
        <v>View Full Record in Web of Science</v>
      </c>
    </row>
    <row r="100" spans="1:72" x14ac:dyDescent="0.15">
      <c r="A100" t="s">
        <v>72</v>
      </c>
      <c r="B100" t="s">
        <v>2098</v>
      </c>
      <c r="C100" t="s">
        <v>74</v>
      </c>
      <c r="D100" t="s">
        <v>74</v>
      </c>
      <c r="E100" t="s">
        <v>74</v>
      </c>
      <c r="F100" t="s">
        <v>2099</v>
      </c>
      <c r="G100" t="s">
        <v>74</v>
      </c>
      <c r="H100" t="s">
        <v>74</v>
      </c>
      <c r="I100" t="s">
        <v>2123</v>
      </c>
      <c r="J100" t="s">
        <v>2101</v>
      </c>
      <c r="K100" t="s">
        <v>74</v>
      </c>
      <c r="L100" t="s">
        <v>74</v>
      </c>
      <c r="M100" t="s">
        <v>78</v>
      </c>
      <c r="N100" t="s">
        <v>79</v>
      </c>
      <c r="O100" t="s">
        <v>74</v>
      </c>
      <c r="P100" t="s">
        <v>74</v>
      </c>
      <c r="Q100" t="s">
        <v>74</v>
      </c>
      <c r="R100" t="s">
        <v>74</v>
      </c>
      <c r="S100" t="s">
        <v>74</v>
      </c>
      <c r="T100" t="s">
        <v>2124</v>
      </c>
      <c r="U100" t="s">
        <v>2125</v>
      </c>
      <c r="V100" t="s">
        <v>2126</v>
      </c>
      <c r="W100" t="s">
        <v>2105</v>
      </c>
      <c r="X100" t="s">
        <v>2106</v>
      </c>
      <c r="Y100" t="s">
        <v>2107</v>
      </c>
      <c r="Z100" t="s">
        <v>2108</v>
      </c>
      <c r="AA100" t="s">
        <v>74</v>
      </c>
      <c r="AB100" t="s">
        <v>74</v>
      </c>
      <c r="AC100" t="s">
        <v>2127</v>
      </c>
      <c r="AD100" t="s">
        <v>2128</v>
      </c>
      <c r="AE100" t="s">
        <v>2129</v>
      </c>
      <c r="AF100" t="s">
        <v>74</v>
      </c>
      <c r="AG100">
        <v>28</v>
      </c>
      <c r="AH100">
        <v>9</v>
      </c>
      <c r="AI100">
        <v>9</v>
      </c>
      <c r="AJ100">
        <v>0</v>
      </c>
      <c r="AK100">
        <v>4</v>
      </c>
      <c r="AL100" t="s">
        <v>2112</v>
      </c>
      <c r="AM100" t="s">
        <v>2113</v>
      </c>
      <c r="AN100" t="s">
        <v>2114</v>
      </c>
      <c r="AO100" t="s">
        <v>2115</v>
      </c>
      <c r="AP100" t="s">
        <v>2116</v>
      </c>
      <c r="AQ100" t="s">
        <v>74</v>
      </c>
      <c r="AR100" t="s">
        <v>2101</v>
      </c>
      <c r="AS100" t="s">
        <v>2117</v>
      </c>
      <c r="AT100" t="s">
        <v>2118</v>
      </c>
      <c r="AU100">
        <v>2013</v>
      </c>
      <c r="AV100">
        <v>3692</v>
      </c>
      <c r="AW100">
        <v>1</v>
      </c>
      <c r="AX100" t="s">
        <v>74</v>
      </c>
      <c r="AY100" t="s">
        <v>74</v>
      </c>
      <c r="AZ100" t="s">
        <v>935</v>
      </c>
      <c r="BA100" t="s">
        <v>74</v>
      </c>
      <c r="BB100">
        <v>102</v>
      </c>
      <c r="BC100">
        <v>122</v>
      </c>
      <c r="BD100" t="s">
        <v>74</v>
      </c>
      <c r="BE100" t="s">
        <v>2130</v>
      </c>
      <c r="BF100" t="str">
        <f>HYPERLINK("http://dx.doi.org/10.11646/zootaxa.3692.1.6","http://dx.doi.org/10.11646/zootaxa.3692.1.6")</f>
        <v>http://dx.doi.org/10.11646/zootaxa.3692.1.6</v>
      </c>
      <c r="BG100" t="s">
        <v>74</v>
      </c>
      <c r="BH100" t="s">
        <v>74</v>
      </c>
      <c r="BI100">
        <v>21</v>
      </c>
      <c r="BJ100" t="s">
        <v>2120</v>
      </c>
      <c r="BK100" t="s">
        <v>102</v>
      </c>
      <c r="BL100" t="s">
        <v>2120</v>
      </c>
      <c r="BM100" t="s">
        <v>2121</v>
      </c>
      <c r="BN100" t="s">
        <v>74</v>
      </c>
      <c r="BO100" t="s">
        <v>74</v>
      </c>
      <c r="BP100" t="s">
        <v>74</v>
      </c>
      <c r="BQ100" t="s">
        <v>74</v>
      </c>
      <c r="BR100" t="s">
        <v>105</v>
      </c>
      <c r="BS100" t="s">
        <v>2131</v>
      </c>
      <c r="BT100" t="str">
        <f>HYPERLINK("https%3A%2F%2Fwww.webofscience.com%2Fwos%2Fwoscc%2Ffull-record%2FWOS:000322226500004","View Full Record in Web of Science")</f>
        <v>View Full Record in Web of Science</v>
      </c>
    </row>
    <row r="101" spans="1:72" x14ac:dyDescent="0.15">
      <c r="A101" t="s">
        <v>72</v>
      </c>
      <c r="B101" t="s">
        <v>2132</v>
      </c>
      <c r="C101" t="s">
        <v>74</v>
      </c>
      <c r="D101" t="s">
        <v>74</v>
      </c>
      <c r="E101" t="s">
        <v>74</v>
      </c>
      <c r="F101" t="s">
        <v>2133</v>
      </c>
      <c r="G101" t="s">
        <v>74</v>
      </c>
      <c r="H101" t="s">
        <v>74</v>
      </c>
      <c r="I101" t="s">
        <v>2134</v>
      </c>
      <c r="J101" t="s">
        <v>2101</v>
      </c>
      <c r="K101" t="s">
        <v>74</v>
      </c>
      <c r="L101" t="s">
        <v>74</v>
      </c>
      <c r="M101" t="s">
        <v>78</v>
      </c>
      <c r="N101" t="s">
        <v>79</v>
      </c>
      <c r="O101" t="s">
        <v>74</v>
      </c>
      <c r="P101" t="s">
        <v>74</v>
      </c>
      <c r="Q101" t="s">
        <v>74</v>
      </c>
      <c r="R101" t="s">
        <v>74</v>
      </c>
      <c r="S101" t="s">
        <v>74</v>
      </c>
      <c r="T101" t="s">
        <v>2135</v>
      </c>
      <c r="U101" t="s">
        <v>2136</v>
      </c>
      <c r="V101" t="s">
        <v>2137</v>
      </c>
      <c r="W101" t="s">
        <v>2138</v>
      </c>
      <c r="X101" t="s">
        <v>2139</v>
      </c>
      <c r="Y101" t="s">
        <v>2140</v>
      </c>
      <c r="Z101" t="s">
        <v>2141</v>
      </c>
      <c r="AA101" t="s">
        <v>2142</v>
      </c>
      <c r="AB101" t="s">
        <v>2143</v>
      </c>
      <c r="AC101" t="s">
        <v>74</v>
      </c>
      <c r="AD101" t="s">
        <v>74</v>
      </c>
      <c r="AE101" t="s">
        <v>74</v>
      </c>
      <c r="AF101" t="s">
        <v>74</v>
      </c>
      <c r="AG101">
        <v>38</v>
      </c>
      <c r="AH101">
        <v>2</v>
      </c>
      <c r="AI101">
        <v>2</v>
      </c>
      <c r="AJ101">
        <v>0</v>
      </c>
      <c r="AK101">
        <v>4</v>
      </c>
      <c r="AL101" t="s">
        <v>2112</v>
      </c>
      <c r="AM101" t="s">
        <v>2113</v>
      </c>
      <c r="AN101" t="s">
        <v>2114</v>
      </c>
      <c r="AO101" t="s">
        <v>2115</v>
      </c>
      <c r="AP101" t="s">
        <v>2116</v>
      </c>
      <c r="AQ101" t="s">
        <v>74</v>
      </c>
      <c r="AR101" t="s">
        <v>2101</v>
      </c>
      <c r="AS101" t="s">
        <v>2117</v>
      </c>
      <c r="AT101" t="s">
        <v>2118</v>
      </c>
      <c r="AU101">
        <v>2013</v>
      </c>
      <c r="AV101">
        <v>3692</v>
      </c>
      <c r="AW101">
        <v>1</v>
      </c>
      <c r="AX101" t="s">
        <v>74</v>
      </c>
      <c r="AY101" t="s">
        <v>74</v>
      </c>
      <c r="AZ101" t="s">
        <v>935</v>
      </c>
      <c r="BA101" t="s">
        <v>74</v>
      </c>
      <c r="BB101">
        <v>123</v>
      </c>
      <c r="BC101">
        <v>135</v>
      </c>
      <c r="BD101" t="s">
        <v>74</v>
      </c>
      <c r="BE101" t="s">
        <v>2144</v>
      </c>
      <c r="BF101" t="str">
        <f>HYPERLINK("http://dx.doi.org/10.11646/zootaxa.3692.1.7","http://dx.doi.org/10.11646/zootaxa.3692.1.7")</f>
        <v>http://dx.doi.org/10.11646/zootaxa.3692.1.7</v>
      </c>
      <c r="BG101" t="s">
        <v>74</v>
      </c>
      <c r="BH101" t="s">
        <v>74</v>
      </c>
      <c r="BI101">
        <v>13</v>
      </c>
      <c r="BJ101" t="s">
        <v>2120</v>
      </c>
      <c r="BK101" t="s">
        <v>102</v>
      </c>
      <c r="BL101" t="s">
        <v>2120</v>
      </c>
      <c r="BM101" t="s">
        <v>2121</v>
      </c>
      <c r="BN101" t="s">
        <v>74</v>
      </c>
      <c r="BO101" t="s">
        <v>74</v>
      </c>
      <c r="BP101" t="s">
        <v>74</v>
      </c>
      <c r="BQ101" t="s">
        <v>74</v>
      </c>
      <c r="BR101" t="s">
        <v>105</v>
      </c>
      <c r="BS101" t="s">
        <v>2145</v>
      </c>
      <c r="BT101" t="str">
        <f>HYPERLINK("https%3A%2F%2Fwww.webofscience.com%2Fwos%2Fwoscc%2Ffull-record%2FWOS:000322226500005","View Full Record in Web of Science")</f>
        <v>View Full Record in Web of Science</v>
      </c>
    </row>
    <row r="102" spans="1:72" x14ac:dyDescent="0.15">
      <c r="A102" t="s">
        <v>72</v>
      </c>
      <c r="B102" t="s">
        <v>2146</v>
      </c>
      <c r="C102" t="s">
        <v>74</v>
      </c>
      <c r="D102" t="s">
        <v>74</v>
      </c>
      <c r="E102" t="s">
        <v>74</v>
      </c>
      <c r="F102" t="s">
        <v>2147</v>
      </c>
      <c r="G102" t="s">
        <v>74</v>
      </c>
      <c r="H102" t="s">
        <v>74</v>
      </c>
      <c r="I102" t="s">
        <v>2148</v>
      </c>
      <c r="J102" t="s">
        <v>2101</v>
      </c>
      <c r="K102" t="s">
        <v>74</v>
      </c>
      <c r="L102" t="s">
        <v>74</v>
      </c>
      <c r="M102" t="s">
        <v>78</v>
      </c>
      <c r="N102" t="s">
        <v>79</v>
      </c>
      <c r="O102" t="s">
        <v>74</v>
      </c>
      <c r="P102" t="s">
        <v>74</v>
      </c>
      <c r="Q102" t="s">
        <v>74</v>
      </c>
      <c r="R102" t="s">
        <v>74</v>
      </c>
      <c r="S102" t="s">
        <v>74</v>
      </c>
      <c r="T102" t="s">
        <v>2149</v>
      </c>
      <c r="U102" t="s">
        <v>2150</v>
      </c>
      <c r="V102" t="s">
        <v>2151</v>
      </c>
      <c r="W102" t="s">
        <v>2152</v>
      </c>
      <c r="X102" t="s">
        <v>2153</v>
      </c>
      <c r="Y102" t="s">
        <v>2154</v>
      </c>
      <c r="Z102" t="s">
        <v>2155</v>
      </c>
      <c r="AA102" t="s">
        <v>74</v>
      </c>
      <c r="AB102" t="s">
        <v>74</v>
      </c>
      <c r="AC102" t="s">
        <v>2156</v>
      </c>
      <c r="AD102" t="s">
        <v>2157</v>
      </c>
      <c r="AE102" t="s">
        <v>2158</v>
      </c>
      <c r="AF102" t="s">
        <v>74</v>
      </c>
      <c r="AG102">
        <v>48</v>
      </c>
      <c r="AH102">
        <v>12</v>
      </c>
      <c r="AI102">
        <v>12</v>
      </c>
      <c r="AJ102">
        <v>0</v>
      </c>
      <c r="AK102">
        <v>12</v>
      </c>
      <c r="AL102" t="s">
        <v>2112</v>
      </c>
      <c r="AM102" t="s">
        <v>2113</v>
      </c>
      <c r="AN102" t="s">
        <v>2114</v>
      </c>
      <c r="AO102" t="s">
        <v>2115</v>
      </c>
      <c r="AP102" t="s">
        <v>2116</v>
      </c>
      <c r="AQ102" t="s">
        <v>74</v>
      </c>
      <c r="AR102" t="s">
        <v>2101</v>
      </c>
      <c r="AS102" t="s">
        <v>2117</v>
      </c>
      <c r="AT102" t="s">
        <v>2118</v>
      </c>
      <c r="AU102">
        <v>2013</v>
      </c>
      <c r="AV102">
        <v>3692</v>
      </c>
      <c r="AW102">
        <v>1</v>
      </c>
      <c r="AX102" t="s">
        <v>74</v>
      </c>
      <c r="AY102" t="s">
        <v>74</v>
      </c>
      <c r="AZ102" t="s">
        <v>935</v>
      </c>
      <c r="BA102" t="s">
        <v>74</v>
      </c>
      <c r="BB102">
        <v>149</v>
      </c>
      <c r="BC102">
        <v>159</v>
      </c>
      <c r="BD102" t="s">
        <v>74</v>
      </c>
      <c r="BE102" t="s">
        <v>2159</v>
      </c>
      <c r="BF102" t="str">
        <f>HYPERLINK("http://dx.doi.org/10.11646/zootaxa.3692.1.9","http://dx.doi.org/10.11646/zootaxa.3692.1.9")</f>
        <v>http://dx.doi.org/10.11646/zootaxa.3692.1.9</v>
      </c>
      <c r="BG102" t="s">
        <v>74</v>
      </c>
      <c r="BH102" t="s">
        <v>74</v>
      </c>
      <c r="BI102">
        <v>11</v>
      </c>
      <c r="BJ102" t="s">
        <v>2120</v>
      </c>
      <c r="BK102" t="s">
        <v>102</v>
      </c>
      <c r="BL102" t="s">
        <v>2120</v>
      </c>
      <c r="BM102" t="s">
        <v>2121</v>
      </c>
      <c r="BN102" t="s">
        <v>74</v>
      </c>
      <c r="BO102" t="s">
        <v>1589</v>
      </c>
      <c r="BP102" t="s">
        <v>74</v>
      </c>
      <c r="BQ102" t="s">
        <v>74</v>
      </c>
      <c r="BR102" t="s">
        <v>105</v>
      </c>
      <c r="BS102" t="s">
        <v>2160</v>
      </c>
      <c r="BT102" t="str">
        <f>HYPERLINK("https%3A%2F%2Fwww.webofscience.com%2Fwos%2Fwoscc%2Ffull-record%2FWOS:000322226500007","View Full Record in Web of Science")</f>
        <v>View Full Record in Web of Science</v>
      </c>
    </row>
    <row r="103" spans="1:72" x14ac:dyDescent="0.15">
      <c r="A103" t="s">
        <v>72</v>
      </c>
      <c r="B103" t="s">
        <v>2161</v>
      </c>
      <c r="C103" t="s">
        <v>74</v>
      </c>
      <c r="D103" t="s">
        <v>74</v>
      </c>
      <c r="E103" t="s">
        <v>74</v>
      </c>
      <c r="F103" t="s">
        <v>2162</v>
      </c>
      <c r="G103" t="s">
        <v>74</v>
      </c>
      <c r="H103" t="s">
        <v>74</v>
      </c>
      <c r="I103" t="s">
        <v>2163</v>
      </c>
      <c r="J103" t="s">
        <v>2101</v>
      </c>
      <c r="K103" t="s">
        <v>74</v>
      </c>
      <c r="L103" t="s">
        <v>74</v>
      </c>
      <c r="M103" t="s">
        <v>78</v>
      </c>
      <c r="N103" t="s">
        <v>79</v>
      </c>
      <c r="O103" t="s">
        <v>74</v>
      </c>
      <c r="P103" t="s">
        <v>74</v>
      </c>
      <c r="Q103" t="s">
        <v>74</v>
      </c>
      <c r="R103" t="s">
        <v>74</v>
      </c>
      <c r="S103" t="s">
        <v>74</v>
      </c>
      <c r="T103" t="s">
        <v>2164</v>
      </c>
      <c r="U103" t="s">
        <v>2165</v>
      </c>
      <c r="V103" t="s">
        <v>2166</v>
      </c>
      <c r="W103" t="s">
        <v>2167</v>
      </c>
      <c r="X103" t="s">
        <v>2168</v>
      </c>
      <c r="Y103" t="s">
        <v>2169</v>
      </c>
      <c r="Z103" t="s">
        <v>2170</v>
      </c>
      <c r="AA103" t="s">
        <v>2171</v>
      </c>
      <c r="AB103" t="s">
        <v>2172</v>
      </c>
      <c r="AC103" t="s">
        <v>2173</v>
      </c>
      <c r="AD103" t="s">
        <v>2174</v>
      </c>
      <c r="AE103" t="s">
        <v>2175</v>
      </c>
      <c r="AF103" t="s">
        <v>74</v>
      </c>
      <c r="AG103">
        <v>84</v>
      </c>
      <c r="AH103">
        <v>13</v>
      </c>
      <c r="AI103">
        <v>13</v>
      </c>
      <c r="AJ103">
        <v>0</v>
      </c>
      <c r="AK103">
        <v>9</v>
      </c>
      <c r="AL103" t="s">
        <v>2112</v>
      </c>
      <c r="AM103" t="s">
        <v>2113</v>
      </c>
      <c r="AN103" t="s">
        <v>2176</v>
      </c>
      <c r="AO103" t="s">
        <v>2115</v>
      </c>
      <c r="AP103" t="s">
        <v>2116</v>
      </c>
      <c r="AQ103" t="s">
        <v>74</v>
      </c>
      <c r="AR103" t="s">
        <v>2101</v>
      </c>
      <c r="AS103" t="s">
        <v>2117</v>
      </c>
      <c r="AT103" t="s">
        <v>2118</v>
      </c>
      <c r="AU103">
        <v>2013</v>
      </c>
      <c r="AV103">
        <v>3692</v>
      </c>
      <c r="AW103">
        <v>1</v>
      </c>
      <c r="AX103" t="s">
        <v>74</v>
      </c>
      <c r="AY103" t="s">
        <v>74</v>
      </c>
      <c r="AZ103" t="s">
        <v>935</v>
      </c>
      <c r="BA103" t="s">
        <v>74</v>
      </c>
      <c r="BB103">
        <v>160</v>
      </c>
      <c r="BC103">
        <v>203</v>
      </c>
      <c r="BD103" t="s">
        <v>74</v>
      </c>
      <c r="BE103" t="s">
        <v>2177</v>
      </c>
      <c r="BF103" t="str">
        <f>HYPERLINK("http://dx.doi.org/10.11646/zootaxa.3692.1.10","http://dx.doi.org/10.11646/zootaxa.3692.1.10")</f>
        <v>http://dx.doi.org/10.11646/zootaxa.3692.1.10</v>
      </c>
      <c r="BG103" t="s">
        <v>74</v>
      </c>
      <c r="BH103" t="s">
        <v>74</v>
      </c>
      <c r="BI103">
        <v>44</v>
      </c>
      <c r="BJ103" t="s">
        <v>2120</v>
      </c>
      <c r="BK103" t="s">
        <v>102</v>
      </c>
      <c r="BL103" t="s">
        <v>2120</v>
      </c>
      <c r="BM103" t="s">
        <v>2121</v>
      </c>
      <c r="BN103" t="s">
        <v>74</v>
      </c>
      <c r="BO103" t="s">
        <v>74</v>
      </c>
      <c r="BP103" t="s">
        <v>74</v>
      </c>
      <c r="BQ103" t="s">
        <v>74</v>
      </c>
      <c r="BR103" t="s">
        <v>105</v>
      </c>
      <c r="BS103" t="s">
        <v>2178</v>
      </c>
      <c r="BT103" t="str">
        <f>HYPERLINK("https%3A%2F%2Fwww.webofscience.com%2Fwos%2Fwoscc%2Ffull-record%2FWOS:000322226500008","View Full Record in Web of Science")</f>
        <v>View Full Record in Web of Science</v>
      </c>
    </row>
    <row r="104" spans="1:72" x14ac:dyDescent="0.15">
      <c r="A104" t="s">
        <v>72</v>
      </c>
      <c r="B104" t="s">
        <v>2179</v>
      </c>
      <c r="C104" t="s">
        <v>74</v>
      </c>
      <c r="D104" t="s">
        <v>74</v>
      </c>
      <c r="E104" t="s">
        <v>74</v>
      </c>
      <c r="F104" t="s">
        <v>2180</v>
      </c>
      <c r="G104" t="s">
        <v>74</v>
      </c>
      <c r="H104" t="s">
        <v>74</v>
      </c>
      <c r="I104" t="s">
        <v>2181</v>
      </c>
      <c r="J104" t="s">
        <v>2101</v>
      </c>
      <c r="K104" t="s">
        <v>74</v>
      </c>
      <c r="L104" t="s">
        <v>74</v>
      </c>
      <c r="M104" t="s">
        <v>78</v>
      </c>
      <c r="N104" t="s">
        <v>79</v>
      </c>
      <c r="O104" t="s">
        <v>74</v>
      </c>
      <c r="P104" t="s">
        <v>74</v>
      </c>
      <c r="Q104" t="s">
        <v>74</v>
      </c>
      <c r="R104" t="s">
        <v>74</v>
      </c>
      <c r="S104" t="s">
        <v>74</v>
      </c>
      <c r="T104" t="s">
        <v>2182</v>
      </c>
      <c r="U104" t="s">
        <v>2183</v>
      </c>
      <c r="V104" t="s">
        <v>2184</v>
      </c>
      <c r="W104" t="s">
        <v>2185</v>
      </c>
      <c r="X104" t="s">
        <v>2186</v>
      </c>
      <c r="Y104" t="s">
        <v>2187</v>
      </c>
      <c r="Z104" t="s">
        <v>2188</v>
      </c>
      <c r="AA104" t="s">
        <v>2189</v>
      </c>
      <c r="AB104" t="s">
        <v>2190</v>
      </c>
      <c r="AC104" t="s">
        <v>2191</v>
      </c>
      <c r="AD104" t="s">
        <v>2192</v>
      </c>
      <c r="AE104" t="s">
        <v>2193</v>
      </c>
      <c r="AF104" t="s">
        <v>74</v>
      </c>
      <c r="AG104">
        <v>62</v>
      </c>
      <c r="AH104">
        <v>3</v>
      </c>
      <c r="AI104">
        <v>4</v>
      </c>
      <c r="AJ104">
        <v>0</v>
      </c>
      <c r="AK104">
        <v>11</v>
      </c>
      <c r="AL104" t="s">
        <v>2112</v>
      </c>
      <c r="AM104" t="s">
        <v>2113</v>
      </c>
      <c r="AN104" t="s">
        <v>2114</v>
      </c>
      <c r="AO104" t="s">
        <v>2115</v>
      </c>
      <c r="AP104" t="s">
        <v>2116</v>
      </c>
      <c r="AQ104" t="s">
        <v>74</v>
      </c>
      <c r="AR104" t="s">
        <v>2101</v>
      </c>
      <c r="AS104" t="s">
        <v>2117</v>
      </c>
      <c r="AT104" t="s">
        <v>2118</v>
      </c>
      <c r="AU104">
        <v>2013</v>
      </c>
      <c r="AV104">
        <v>3692</v>
      </c>
      <c r="AW104">
        <v>1</v>
      </c>
      <c r="AX104" t="s">
        <v>74</v>
      </c>
      <c r="AY104" t="s">
        <v>74</v>
      </c>
      <c r="AZ104" t="s">
        <v>935</v>
      </c>
      <c r="BA104" t="s">
        <v>74</v>
      </c>
      <c r="BB104">
        <v>7</v>
      </c>
      <c r="BC104">
        <v>27</v>
      </c>
      <c r="BD104" t="s">
        <v>74</v>
      </c>
      <c r="BE104" t="s">
        <v>2194</v>
      </c>
      <c r="BF104" t="str">
        <f>HYPERLINK("http://dx.doi.org/10.11646/zootaxa.3692.1.4","http://dx.doi.org/10.11646/zootaxa.3692.1.4")</f>
        <v>http://dx.doi.org/10.11646/zootaxa.3692.1.4</v>
      </c>
      <c r="BG104" t="s">
        <v>74</v>
      </c>
      <c r="BH104" t="s">
        <v>74</v>
      </c>
      <c r="BI104">
        <v>21</v>
      </c>
      <c r="BJ104" t="s">
        <v>2120</v>
      </c>
      <c r="BK104" t="s">
        <v>102</v>
      </c>
      <c r="BL104" t="s">
        <v>2120</v>
      </c>
      <c r="BM104" t="s">
        <v>2121</v>
      </c>
      <c r="BN104" t="s">
        <v>74</v>
      </c>
      <c r="BO104" t="s">
        <v>426</v>
      </c>
      <c r="BP104" t="s">
        <v>74</v>
      </c>
      <c r="BQ104" t="s">
        <v>74</v>
      </c>
      <c r="BR104" t="s">
        <v>105</v>
      </c>
      <c r="BS104" t="s">
        <v>2195</v>
      </c>
      <c r="BT104" t="str">
        <f>HYPERLINK("https%3A%2F%2Fwww.webofscience.com%2Fwos%2Fwoscc%2Ffull-record%2FWOS:000322226500002","View Full Record in Web of Science")</f>
        <v>View Full Record in Web of Science</v>
      </c>
    </row>
    <row r="105" spans="1:72" x14ac:dyDescent="0.15">
      <c r="A105" t="s">
        <v>72</v>
      </c>
      <c r="B105" t="s">
        <v>2196</v>
      </c>
      <c r="C105" t="s">
        <v>74</v>
      </c>
      <c r="D105" t="s">
        <v>74</v>
      </c>
      <c r="E105" t="s">
        <v>74</v>
      </c>
      <c r="F105" t="s">
        <v>2197</v>
      </c>
      <c r="G105" t="s">
        <v>74</v>
      </c>
      <c r="H105" t="s">
        <v>74</v>
      </c>
      <c r="I105" t="s">
        <v>2198</v>
      </c>
      <c r="J105" t="s">
        <v>2101</v>
      </c>
      <c r="K105" t="s">
        <v>74</v>
      </c>
      <c r="L105" t="s">
        <v>74</v>
      </c>
      <c r="M105" t="s">
        <v>78</v>
      </c>
      <c r="N105" t="s">
        <v>79</v>
      </c>
      <c r="O105" t="s">
        <v>74</v>
      </c>
      <c r="P105" t="s">
        <v>74</v>
      </c>
      <c r="Q105" t="s">
        <v>74</v>
      </c>
      <c r="R105" t="s">
        <v>74</v>
      </c>
      <c r="S105" t="s">
        <v>74</v>
      </c>
      <c r="T105" t="s">
        <v>2199</v>
      </c>
      <c r="U105" t="s">
        <v>2200</v>
      </c>
      <c r="V105" t="s">
        <v>2201</v>
      </c>
      <c r="W105" t="s">
        <v>2202</v>
      </c>
      <c r="X105" t="s">
        <v>2203</v>
      </c>
      <c r="Y105" t="s">
        <v>2204</v>
      </c>
      <c r="Z105" t="s">
        <v>2205</v>
      </c>
      <c r="AA105" t="s">
        <v>2206</v>
      </c>
      <c r="AB105" t="s">
        <v>2207</v>
      </c>
      <c r="AC105" t="s">
        <v>2208</v>
      </c>
      <c r="AD105" t="s">
        <v>2209</v>
      </c>
      <c r="AE105" t="s">
        <v>2210</v>
      </c>
      <c r="AF105" t="s">
        <v>74</v>
      </c>
      <c r="AG105">
        <v>22</v>
      </c>
      <c r="AH105">
        <v>2</v>
      </c>
      <c r="AI105">
        <v>2</v>
      </c>
      <c r="AJ105">
        <v>0</v>
      </c>
      <c r="AK105">
        <v>4</v>
      </c>
      <c r="AL105" t="s">
        <v>2112</v>
      </c>
      <c r="AM105" t="s">
        <v>2113</v>
      </c>
      <c r="AN105" t="s">
        <v>2114</v>
      </c>
      <c r="AO105" t="s">
        <v>2115</v>
      </c>
      <c r="AP105" t="s">
        <v>2116</v>
      </c>
      <c r="AQ105" t="s">
        <v>74</v>
      </c>
      <c r="AR105" t="s">
        <v>2101</v>
      </c>
      <c r="AS105" t="s">
        <v>2117</v>
      </c>
      <c r="AT105" t="s">
        <v>2118</v>
      </c>
      <c r="AU105">
        <v>2013</v>
      </c>
      <c r="AV105">
        <v>3692</v>
      </c>
      <c r="AW105">
        <v>1</v>
      </c>
      <c r="AX105" t="s">
        <v>74</v>
      </c>
      <c r="AY105" t="s">
        <v>74</v>
      </c>
      <c r="AZ105" t="s">
        <v>935</v>
      </c>
      <c r="BA105" t="s">
        <v>74</v>
      </c>
      <c r="BB105">
        <v>238</v>
      </c>
      <c r="BC105">
        <v>258</v>
      </c>
      <c r="BD105" t="s">
        <v>74</v>
      </c>
      <c r="BE105" t="s">
        <v>2211</v>
      </c>
      <c r="BF105" t="str">
        <f>HYPERLINK("http://dx.doi.org/10.11646/zootaxa.3692.1.12","http://dx.doi.org/10.11646/zootaxa.3692.1.12")</f>
        <v>http://dx.doi.org/10.11646/zootaxa.3692.1.12</v>
      </c>
      <c r="BG105" t="s">
        <v>74</v>
      </c>
      <c r="BH105" t="s">
        <v>74</v>
      </c>
      <c r="BI105">
        <v>21</v>
      </c>
      <c r="BJ105" t="s">
        <v>2120</v>
      </c>
      <c r="BK105" t="s">
        <v>102</v>
      </c>
      <c r="BL105" t="s">
        <v>2120</v>
      </c>
      <c r="BM105" t="s">
        <v>2121</v>
      </c>
      <c r="BN105" t="s">
        <v>74</v>
      </c>
      <c r="BO105" t="s">
        <v>74</v>
      </c>
      <c r="BP105" t="s">
        <v>74</v>
      </c>
      <c r="BQ105" t="s">
        <v>74</v>
      </c>
      <c r="BR105" t="s">
        <v>105</v>
      </c>
      <c r="BS105" t="s">
        <v>2212</v>
      </c>
      <c r="BT105" t="str">
        <f>HYPERLINK("https%3A%2F%2Fwww.webofscience.com%2Fwos%2Fwoscc%2Ffull-record%2FWOS:000322226500010","View Full Record in Web of Science")</f>
        <v>View Full Record in Web of Science</v>
      </c>
    </row>
    <row r="106" spans="1:72" x14ac:dyDescent="0.15">
      <c r="A106" t="s">
        <v>72</v>
      </c>
      <c r="B106" t="s">
        <v>2213</v>
      </c>
      <c r="C106" t="s">
        <v>74</v>
      </c>
      <c r="D106" t="s">
        <v>74</v>
      </c>
      <c r="E106" t="s">
        <v>74</v>
      </c>
      <c r="F106" t="s">
        <v>2214</v>
      </c>
      <c r="G106" t="s">
        <v>74</v>
      </c>
      <c r="H106" t="s">
        <v>74</v>
      </c>
      <c r="I106" t="s">
        <v>2215</v>
      </c>
      <c r="J106" t="s">
        <v>1887</v>
      </c>
      <c r="K106" t="s">
        <v>74</v>
      </c>
      <c r="L106" t="s">
        <v>74</v>
      </c>
      <c r="M106" t="s">
        <v>78</v>
      </c>
      <c r="N106" t="s">
        <v>79</v>
      </c>
      <c r="O106" t="s">
        <v>74</v>
      </c>
      <c r="P106" t="s">
        <v>74</v>
      </c>
      <c r="Q106" t="s">
        <v>74</v>
      </c>
      <c r="R106" t="s">
        <v>74</v>
      </c>
      <c r="S106" t="s">
        <v>74</v>
      </c>
      <c r="T106" t="s">
        <v>74</v>
      </c>
      <c r="U106" t="s">
        <v>2216</v>
      </c>
      <c r="V106" t="s">
        <v>2217</v>
      </c>
      <c r="W106" t="s">
        <v>2218</v>
      </c>
      <c r="X106" t="s">
        <v>2219</v>
      </c>
      <c r="Y106" t="s">
        <v>2220</v>
      </c>
      <c r="Z106" t="s">
        <v>2221</v>
      </c>
      <c r="AA106" t="s">
        <v>2222</v>
      </c>
      <c r="AB106" t="s">
        <v>2223</v>
      </c>
      <c r="AC106" t="s">
        <v>2224</v>
      </c>
      <c r="AD106" t="s">
        <v>2225</v>
      </c>
      <c r="AE106" t="s">
        <v>2226</v>
      </c>
      <c r="AF106" t="s">
        <v>74</v>
      </c>
      <c r="AG106">
        <v>41</v>
      </c>
      <c r="AH106">
        <v>30</v>
      </c>
      <c r="AI106">
        <v>34</v>
      </c>
      <c r="AJ106">
        <v>2</v>
      </c>
      <c r="AK106">
        <v>41</v>
      </c>
      <c r="AL106" t="s">
        <v>1850</v>
      </c>
      <c r="AM106" t="s">
        <v>1851</v>
      </c>
      <c r="AN106" t="s">
        <v>1852</v>
      </c>
      <c r="AO106" t="s">
        <v>1899</v>
      </c>
      <c r="AP106" t="s">
        <v>74</v>
      </c>
      <c r="AQ106" t="s">
        <v>74</v>
      </c>
      <c r="AR106" t="s">
        <v>1900</v>
      </c>
      <c r="AS106" t="s">
        <v>1901</v>
      </c>
      <c r="AT106" t="s">
        <v>2227</v>
      </c>
      <c r="AU106">
        <v>2013</v>
      </c>
      <c r="AV106">
        <v>3</v>
      </c>
      <c r="AW106" t="s">
        <v>74</v>
      </c>
      <c r="AX106" t="s">
        <v>74</v>
      </c>
      <c r="AY106" t="s">
        <v>74</v>
      </c>
      <c r="AZ106" t="s">
        <v>74</v>
      </c>
      <c r="BA106" t="s">
        <v>74</v>
      </c>
      <c r="BB106" t="s">
        <v>74</v>
      </c>
      <c r="BC106" t="s">
        <v>74</v>
      </c>
      <c r="BD106">
        <v>2269</v>
      </c>
      <c r="BE106" t="s">
        <v>2228</v>
      </c>
      <c r="BF106" t="str">
        <f>HYPERLINK("http://dx.doi.org/10.1038/srep02269","http://dx.doi.org/10.1038/srep02269")</f>
        <v>http://dx.doi.org/10.1038/srep02269</v>
      </c>
      <c r="BG106" t="s">
        <v>74</v>
      </c>
      <c r="BH106" t="s">
        <v>74</v>
      </c>
      <c r="BI106">
        <v>8</v>
      </c>
      <c r="BJ106" t="s">
        <v>1880</v>
      </c>
      <c r="BK106" t="s">
        <v>102</v>
      </c>
      <c r="BL106" t="s">
        <v>1881</v>
      </c>
      <c r="BM106" t="s">
        <v>2229</v>
      </c>
      <c r="BN106">
        <v>23881292</v>
      </c>
      <c r="BO106" t="s">
        <v>2230</v>
      </c>
      <c r="BP106" t="s">
        <v>74</v>
      </c>
      <c r="BQ106" t="s">
        <v>74</v>
      </c>
      <c r="BR106" t="s">
        <v>105</v>
      </c>
      <c r="BS106" t="s">
        <v>2231</v>
      </c>
      <c r="BT106" t="str">
        <f>HYPERLINK("https%3A%2F%2Fwww.webofscience.com%2Fwos%2Fwoscc%2Ffull-record%2FWOS:000322153700004","View Full Record in Web of Science")</f>
        <v>View Full Record in Web of Science</v>
      </c>
    </row>
    <row r="107" spans="1:72" x14ac:dyDescent="0.15">
      <c r="A107" t="s">
        <v>72</v>
      </c>
      <c r="B107" t="s">
        <v>2232</v>
      </c>
      <c r="C107" t="s">
        <v>74</v>
      </c>
      <c r="D107" t="s">
        <v>74</v>
      </c>
      <c r="E107" t="s">
        <v>74</v>
      </c>
      <c r="F107" t="s">
        <v>2233</v>
      </c>
      <c r="G107" t="s">
        <v>74</v>
      </c>
      <c r="H107" t="s">
        <v>74</v>
      </c>
      <c r="I107" t="s">
        <v>2234</v>
      </c>
      <c r="J107" t="s">
        <v>1887</v>
      </c>
      <c r="K107" t="s">
        <v>74</v>
      </c>
      <c r="L107" t="s">
        <v>74</v>
      </c>
      <c r="M107" t="s">
        <v>78</v>
      </c>
      <c r="N107" t="s">
        <v>79</v>
      </c>
      <c r="O107" t="s">
        <v>74</v>
      </c>
      <c r="P107" t="s">
        <v>74</v>
      </c>
      <c r="Q107" t="s">
        <v>74</v>
      </c>
      <c r="R107" t="s">
        <v>74</v>
      </c>
      <c r="S107" t="s">
        <v>74</v>
      </c>
      <c r="T107" t="s">
        <v>74</v>
      </c>
      <c r="U107" t="s">
        <v>2235</v>
      </c>
      <c r="V107" t="s">
        <v>2236</v>
      </c>
      <c r="W107" t="s">
        <v>2237</v>
      </c>
      <c r="X107" t="s">
        <v>2238</v>
      </c>
      <c r="Y107" t="s">
        <v>2239</v>
      </c>
      <c r="Z107" t="s">
        <v>2240</v>
      </c>
      <c r="AA107" t="s">
        <v>2241</v>
      </c>
      <c r="AB107" t="s">
        <v>2242</v>
      </c>
      <c r="AC107" t="s">
        <v>2243</v>
      </c>
      <c r="AD107" t="s">
        <v>2244</v>
      </c>
      <c r="AE107" t="s">
        <v>2245</v>
      </c>
      <c r="AF107" t="s">
        <v>74</v>
      </c>
      <c r="AG107">
        <v>52</v>
      </c>
      <c r="AH107">
        <v>97</v>
      </c>
      <c r="AI107">
        <v>110</v>
      </c>
      <c r="AJ107">
        <v>10</v>
      </c>
      <c r="AK107">
        <v>154</v>
      </c>
      <c r="AL107" t="s">
        <v>1850</v>
      </c>
      <c r="AM107" t="s">
        <v>1851</v>
      </c>
      <c r="AN107" t="s">
        <v>1852</v>
      </c>
      <c r="AO107" t="s">
        <v>1899</v>
      </c>
      <c r="AP107" t="s">
        <v>74</v>
      </c>
      <c r="AQ107" t="s">
        <v>74</v>
      </c>
      <c r="AR107" t="s">
        <v>1900</v>
      </c>
      <c r="AS107" t="s">
        <v>1901</v>
      </c>
      <c r="AT107" t="s">
        <v>2227</v>
      </c>
      <c r="AU107">
        <v>2013</v>
      </c>
      <c r="AV107">
        <v>3</v>
      </c>
      <c r="AW107" t="s">
        <v>74</v>
      </c>
      <c r="AX107" t="s">
        <v>74</v>
      </c>
      <c r="AY107" t="s">
        <v>74</v>
      </c>
      <c r="AZ107" t="s">
        <v>74</v>
      </c>
      <c r="BA107" t="s">
        <v>74</v>
      </c>
      <c r="BB107" t="s">
        <v>74</v>
      </c>
      <c r="BC107" t="s">
        <v>74</v>
      </c>
      <c r="BD107">
        <v>2280</v>
      </c>
      <c r="BE107" t="s">
        <v>2246</v>
      </c>
      <c r="BF107" t="str">
        <f>HYPERLINK("http://dx.doi.org/10.1038/srep02280","http://dx.doi.org/10.1038/srep02280")</f>
        <v>http://dx.doi.org/10.1038/srep02280</v>
      </c>
      <c r="BG107" t="s">
        <v>74</v>
      </c>
      <c r="BH107" t="s">
        <v>74</v>
      </c>
      <c r="BI107">
        <v>7</v>
      </c>
      <c r="BJ107" t="s">
        <v>1880</v>
      </c>
      <c r="BK107" t="s">
        <v>102</v>
      </c>
      <c r="BL107" t="s">
        <v>1881</v>
      </c>
      <c r="BM107" t="s">
        <v>2247</v>
      </c>
      <c r="BN107">
        <v>23880782</v>
      </c>
      <c r="BO107" t="s">
        <v>2248</v>
      </c>
      <c r="BP107" t="s">
        <v>74</v>
      </c>
      <c r="BQ107" t="s">
        <v>74</v>
      </c>
      <c r="BR107" t="s">
        <v>105</v>
      </c>
      <c r="BS107" t="s">
        <v>2249</v>
      </c>
      <c r="BT107" t="str">
        <f>HYPERLINK("https%3A%2F%2Fwww.webofscience.com%2Fwos%2Fwoscc%2Ffull-record%2FWOS:000322153800008","View Full Record in Web of Science")</f>
        <v>View Full Record in Web of Science</v>
      </c>
    </row>
    <row r="108" spans="1:72" x14ac:dyDescent="0.15">
      <c r="A108" t="s">
        <v>72</v>
      </c>
      <c r="B108" t="s">
        <v>2250</v>
      </c>
      <c r="C108" t="s">
        <v>74</v>
      </c>
      <c r="D108" t="s">
        <v>74</v>
      </c>
      <c r="E108" t="s">
        <v>74</v>
      </c>
      <c r="F108" t="s">
        <v>2251</v>
      </c>
      <c r="G108" t="s">
        <v>74</v>
      </c>
      <c r="H108" t="s">
        <v>74</v>
      </c>
      <c r="I108" t="s">
        <v>2252</v>
      </c>
      <c r="J108" t="s">
        <v>2253</v>
      </c>
      <c r="K108" t="s">
        <v>74</v>
      </c>
      <c r="L108" t="s">
        <v>74</v>
      </c>
      <c r="M108" t="s">
        <v>78</v>
      </c>
      <c r="N108" t="s">
        <v>79</v>
      </c>
      <c r="O108" t="s">
        <v>74</v>
      </c>
      <c r="P108" t="s">
        <v>74</v>
      </c>
      <c r="Q108" t="s">
        <v>74</v>
      </c>
      <c r="R108" t="s">
        <v>74</v>
      </c>
      <c r="S108" t="s">
        <v>74</v>
      </c>
      <c r="T108" t="s">
        <v>2254</v>
      </c>
      <c r="U108" t="s">
        <v>2255</v>
      </c>
      <c r="V108" t="s">
        <v>2256</v>
      </c>
      <c r="W108" t="s">
        <v>2257</v>
      </c>
      <c r="X108" t="s">
        <v>2258</v>
      </c>
      <c r="Y108" t="s">
        <v>2259</v>
      </c>
      <c r="Z108" t="s">
        <v>2260</v>
      </c>
      <c r="AA108" t="s">
        <v>2261</v>
      </c>
      <c r="AB108" t="s">
        <v>2262</v>
      </c>
      <c r="AC108" t="s">
        <v>2263</v>
      </c>
      <c r="AD108" t="s">
        <v>2264</v>
      </c>
      <c r="AE108" t="s">
        <v>2265</v>
      </c>
      <c r="AF108" t="s">
        <v>74</v>
      </c>
      <c r="AG108">
        <v>29</v>
      </c>
      <c r="AH108">
        <v>114</v>
      </c>
      <c r="AI108">
        <v>127</v>
      </c>
      <c r="AJ108">
        <v>0</v>
      </c>
      <c r="AK108">
        <v>43</v>
      </c>
      <c r="AL108" t="s">
        <v>2266</v>
      </c>
      <c r="AM108" t="s">
        <v>93</v>
      </c>
      <c r="AN108" t="s">
        <v>2267</v>
      </c>
      <c r="AO108" t="s">
        <v>2268</v>
      </c>
      <c r="AP108" t="s">
        <v>74</v>
      </c>
      <c r="AQ108" t="s">
        <v>74</v>
      </c>
      <c r="AR108" t="s">
        <v>2269</v>
      </c>
      <c r="AS108" t="s">
        <v>2270</v>
      </c>
      <c r="AT108" t="s">
        <v>2271</v>
      </c>
      <c r="AU108">
        <v>2013</v>
      </c>
      <c r="AV108">
        <v>110</v>
      </c>
      <c r="AW108">
        <v>30</v>
      </c>
      <c r="AX108" t="s">
        <v>74</v>
      </c>
      <c r="AY108" t="s">
        <v>74</v>
      </c>
      <c r="AZ108" t="s">
        <v>74</v>
      </c>
      <c r="BA108" t="s">
        <v>74</v>
      </c>
      <c r="BB108">
        <v>12225</v>
      </c>
      <c r="BC108">
        <v>12228</v>
      </c>
      <c r="BD108" t="s">
        <v>74</v>
      </c>
      <c r="BE108" t="s">
        <v>2272</v>
      </c>
      <c r="BF108" t="str">
        <f>HYPERLINK("http://dx.doi.org/10.1073/pnas.1302828110","http://dx.doi.org/10.1073/pnas.1302828110")</f>
        <v>http://dx.doi.org/10.1073/pnas.1302828110</v>
      </c>
      <c r="BG108" t="s">
        <v>74</v>
      </c>
      <c r="BH108" t="s">
        <v>74</v>
      </c>
      <c r="BI108">
        <v>4</v>
      </c>
      <c r="BJ108" t="s">
        <v>1880</v>
      </c>
      <c r="BK108" t="s">
        <v>102</v>
      </c>
      <c r="BL108" t="s">
        <v>1881</v>
      </c>
      <c r="BM108" t="s">
        <v>2273</v>
      </c>
      <c r="BN108">
        <v>23836631</v>
      </c>
      <c r="BO108" t="s">
        <v>1589</v>
      </c>
      <c r="BP108" t="s">
        <v>74</v>
      </c>
      <c r="BQ108" t="s">
        <v>74</v>
      </c>
      <c r="BR108" t="s">
        <v>105</v>
      </c>
      <c r="BS108" t="s">
        <v>2274</v>
      </c>
      <c r="BT108" t="str">
        <f>HYPERLINK("https%3A%2F%2Fwww.webofscience.com%2Fwos%2Fwoscc%2Ffull-record%2FWOS:000322112300031","View Full Record in Web of Science")</f>
        <v>View Full Record in Web of Science</v>
      </c>
    </row>
    <row r="109" spans="1:72" x14ac:dyDescent="0.15">
      <c r="A109" t="s">
        <v>72</v>
      </c>
      <c r="B109" t="s">
        <v>2275</v>
      </c>
      <c r="C109" t="s">
        <v>74</v>
      </c>
      <c r="D109" t="s">
        <v>74</v>
      </c>
      <c r="E109" t="s">
        <v>74</v>
      </c>
      <c r="F109" t="s">
        <v>2276</v>
      </c>
      <c r="G109" t="s">
        <v>74</v>
      </c>
      <c r="H109" t="s">
        <v>74</v>
      </c>
      <c r="I109" t="s">
        <v>2277</v>
      </c>
      <c r="J109" t="s">
        <v>2278</v>
      </c>
      <c r="K109" t="s">
        <v>74</v>
      </c>
      <c r="L109" t="s">
        <v>74</v>
      </c>
      <c r="M109" t="s">
        <v>78</v>
      </c>
      <c r="N109" t="s">
        <v>79</v>
      </c>
      <c r="O109" t="s">
        <v>74</v>
      </c>
      <c r="P109" t="s">
        <v>74</v>
      </c>
      <c r="Q109" t="s">
        <v>74</v>
      </c>
      <c r="R109" t="s">
        <v>74</v>
      </c>
      <c r="S109" t="s">
        <v>74</v>
      </c>
      <c r="T109" t="s">
        <v>2279</v>
      </c>
      <c r="U109" t="s">
        <v>2280</v>
      </c>
      <c r="V109" t="s">
        <v>2281</v>
      </c>
      <c r="W109" t="s">
        <v>2282</v>
      </c>
      <c r="X109" t="s">
        <v>2283</v>
      </c>
      <c r="Y109" t="s">
        <v>2284</v>
      </c>
      <c r="Z109" t="s">
        <v>2285</v>
      </c>
      <c r="AA109" t="s">
        <v>2286</v>
      </c>
      <c r="AB109" t="s">
        <v>2287</v>
      </c>
      <c r="AC109" t="s">
        <v>2288</v>
      </c>
      <c r="AD109" t="s">
        <v>2288</v>
      </c>
      <c r="AE109" t="s">
        <v>2289</v>
      </c>
      <c r="AF109" t="s">
        <v>74</v>
      </c>
      <c r="AG109">
        <v>46</v>
      </c>
      <c r="AH109">
        <v>42</v>
      </c>
      <c r="AI109">
        <v>46</v>
      </c>
      <c r="AJ109">
        <v>0</v>
      </c>
      <c r="AK109">
        <v>31</v>
      </c>
      <c r="AL109" t="s">
        <v>2290</v>
      </c>
      <c r="AM109" t="s">
        <v>2291</v>
      </c>
      <c r="AN109" t="s">
        <v>2292</v>
      </c>
      <c r="AO109" t="s">
        <v>2293</v>
      </c>
      <c r="AP109" t="s">
        <v>2294</v>
      </c>
      <c r="AQ109" t="s">
        <v>74</v>
      </c>
      <c r="AR109" t="s">
        <v>2295</v>
      </c>
      <c r="AS109" t="s">
        <v>2296</v>
      </c>
      <c r="AT109" t="s">
        <v>2297</v>
      </c>
      <c r="AU109">
        <v>2013</v>
      </c>
      <c r="AV109">
        <v>105</v>
      </c>
      <c r="AW109">
        <v>2</v>
      </c>
      <c r="AX109" t="s">
        <v>74</v>
      </c>
      <c r="AY109" t="s">
        <v>74</v>
      </c>
      <c r="AZ109" t="s">
        <v>74</v>
      </c>
      <c r="BA109" t="s">
        <v>74</v>
      </c>
      <c r="BB109">
        <v>139</v>
      </c>
      <c r="BC109">
        <v>148</v>
      </c>
      <c r="BD109" t="s">
        <v>74</v>
      </c>
      <c r="BE109" t="s">
        <v>2298</v>
      </c>
      <c r="BF109" t="str">
        <f>HYPERLINK("http://dx.doi.org/10.3354/dao02626","http://dx.doi.org/10.3354/dao02626")</f>
        <v>http://dx.doi.org/10.3354/dao02626</v>
      </c>
      <c r="BG109" t="s">
        <v>74</v>
      </c>
      <c r="BH109" t="s">
        <v>74</v>
      </c>
      <c r="BI109">
        <v>10</v>
      </c>
      <c r="BJ109" t="s">
        <v>2299</v>
      </c>
      <c r="BK109" t="s">
        <v>102</v>
      </c>
      <c r="BL109" t="s">
        <v>2299</v>
      </c>
      <c r="BM109" t="s">
        <v>2300</v>
      </c>
      <c r="BN109">
        <v>23872857</v>
      </c>
      <c r="BO109" t="s">
        <v>104</v>
      </c>
      <c r="BP109" t="s">
        <v>74</v>
      </c>
      <c r="BQ109" t="s">
        <v>74</v>
      </c>
      <c r="BR109" t="s">
        <v>105</v>
      </c>
      <c r="BS109" t="s">
        <v>2301</v>
      </c>
      <c r="BT109" t="str">
        <f>HYPERLINK("https%3A%2F%2Fwww.webofscience.com%2Fwos%2Fwoscc%2Ffull-record%2FWOS:000322135600005","View Full Record in Web of Science")</f>
        <v>View Full Record in Web of Science</v>
      </c>
    </row>
    <row r="110" spans="1:72" x14ac:dyDescent="0.15">
      <c r="A110" t="s">
        <v>72</v>
      </c>
      <c r="B110" t="s">
        <v>2302</v>
      </c>
      <c r="C110" t="s">
        <v>74</v>
      </c>
      <c r="D110" t="s">
        <v>74</v>
      </c>
      <c r="E110" t="s">
        <v>74</v>
      </c>
      <c r="F110" t="s">
        <v>2303</v>
      </c>
      <c r="G110" t="s">
        <v>74</v>
      </c>
      <c r="H110" t="s">
        <v>74</v>
      </c>
      <c r="I110" t="s">
        <v>2304</v>
      </c>
      <c r="J110" t="s">
        <v>2305</v>
      </c>
      <c r="K110" t="s">
        <v>74</v>
      </c>
      <c r="L110" t="s">
        <v>74</v>
      </c>
      <c r="M110" t="s">
        <v>78</v>
      </c>
      <c r="N110" t="s">
        <v>79</v>
      </c>
      <c r="O110" t="s">
        <v>74</v>
      </c>
      <c r="P110" t="s">
        <v>74</v>
      </c>
      <c r="Q110" t="s">
        <v>74</v>
      </c>
      <c r="R110" t="s">
        <v>74</v>
      </c>
      <c r="S110" t="s">
        <v>74</v>
      </c>
      <c r="T110" t="s">
        <v>74</v>
      </c>
      <c r="U110" t="s">
        <v>2306</v>
      </c>
      <c r="V110" t="s">
        <v>2307</v>
      </c>
      <c r="W110" t="s">
        <v>2308</v>
      </c>
      <c r="X110" t="s">
        <v>2309</v>
      </c>
      <c r="Y110" t="s">
        <v>2310</v>
      </c>
      <c r="Z110" t="s">
        <v>2311</v>
      </c>
      <c r="AA110" t="s">
        <v>2312</v>
      </c>
      <c r="AB110" t="s">
        <v>2313</v>
      </c>
      <c r="AC110" t="s">
        <v>2314</v>
      </c>
      <c r="AD110" t="s">
        <v>2315</v>
      </c>
      <c r="AE110" t="s">
        <v>2316</v>
      </c>
      <c r="AF110" t="s">
        <v>74</v>
      </c>
      <c r="AG110">
        <v>30</v>
      </c>
      <c r="AH110">
        <v>78</v>
      </c>
      <c r="AI110">
        <v>85</v>
      </c>
      <c r="AJ110">
        <v>0</v>
      </c>
      <c r="AK110">
        <v>69</v>
      </c>
      <c r="AL110" t="s">
        <v>2317</v>
      </c>
      <c r="AM110" t="s">
        <v>1679</v>
      </c>
      <c r="AN110" t="s">
        <v>2318</v>
      </c>
      <c r="AO110" t="s">
        <v>2319</v>
      </c>
      <c r="AP110" t="s">
        <v>2320</v>
      </c>
      <c r="AQ110" t="s">
        <v>74</v>
      </c>
      <c r="AR110" t="s">
        <v>2321</v>
      </c>
      <c r="AS110" t="s">
        <v>2322</v>
      </c>
      <c r="AT110" t="s">
        <v>2297</v>
      </c>
      <c r="AU110">
        <v>2013</v>
      </c>
      <c r="AV110">
        <v>23</v>
      </c>
      <c r="AW110">
        <v>14</v>
      </c>
      <c r="AX110" t="s">
        <v>74</v>
      </c>
      <c r="AY110" t="s">
        <v>74</v>
      </c>
      <c r="AZ110" t="s">
        <v>74</v>
      </c>
      <c r="BA110" t="s">
        <v>74</v>
      </c>
      <c r="BB110">
        <v>1330</v>
      </c>
      <c r="BC110">
        <v>1334</v>
      </c>
      <c r="BD110" t="s">
        <v>74</v>
      </c>
      <c r="BE110" t="s">
        <v>2323</v>
      </c>
      <c r="BF110" t="str">
        <f>HYPERLINK("http://dx.doi.org/10.1016/j.cub.2013.05.051","http://dx.doi.org/10.1016/j.cub.2013.05.051")</f>
        <v>http://dx.doi.org/10.1016/j.cub.2013.05.051</v>
      </c>
      <c r="BG110" t="s">
        <v>74</v>
      </c>
      <c r="BH110" t="s">
        <v>74</v>
      </c>
      <c r="BI110">
        <v>5</v>
      </c>
      <c r="BJ110" t="s">
        <v>2324</v>
      </c>
      <c r="BK110" t="s">
        <v>102</v>
      </c>
      <c r="BL110" t="s">
        <v>2325</v>
      </c>
      <c r="BM110" t="s">
        <v>2326</v>
      </c>
      <c r="BN110">
        <v>23850279</v>
      </c>
      <c r="BO110" t="s">
        <v>248</v>
      </c>
      <c r="BP110" t="s">
        <v>74</v>
      </c>
      <c r="BQ110" t="s">
        <v>74</v>
      </c>
      <c r="BR110" t="s">
        <v>105</v>
      </c>
      <c r="BS110" t="s">
        <v>2327</v>
      </c>
      <c r="BT110" t="str">
        <f>HYPERLINK("https%3A%2F%2Fwww.webofscience.com%2Fwos%2Fwoscc%2Ffull-record%2FWOS:000322414200026","View Full Record in Web of Science")</f>
        <v>View Full Record in Web of Science</v>
      </c>
    </row>
    <row r="111" spans="1:72" x14ac:dyDescent="0.15">
      <c r="A111" t="s">
        <v>72</v>
      </c>
      <c r="B111" t="s">
        <v>2328</v>
      </c>
      <c r="C111" t="s">
        <v>74</v>
      </c>
      <c r="D111" t="s">
        <v>74</v>
      </c>
      <c r="E111" t="s">
        <v>74</v>
      </c>
      <c r="F111" t="s">
        <v>2329</v>
      </c>
      <c r="G111" t="s">
        <v>74</v>
      </c>
      <c r="H111" t="s">
        <v>74</v>
      </c>
      <c r="I111" t="s">
        <v>2330</v>
      </c>
      <c r="J111" t="s">
        <v>2305</v>
      </c>
      <c r="K111" t="s">
        <v>74</v>
      </c>
      <c r="L111" t="s">
        <v>74</v>
      </c>
      <c r="M111" t="s">
        <v>78</v>
      </c>
      <c r="N111" t="s">
        <v>991</v>
      </c>
      <c r="O111" t="s">
        <v>74</v>
      </c>
      <c r="P111" t="s">
        <v>74</v>
      </c>
      <c r="Q111" t="s">
        <v>74</v>
      </c>
      <c r="R111" t="s">
        <v>74</v>
      </c>
      <c r="S111" t="s">
        <v>74</v>
      </c>
      <c r="T111" t="s">
        <v>74</v>
      </c>
      <c r="U111" t="s">
        <v>74</v>
      </c>
      <c r="V111" t="s">
        <v>74</v>
      </c>
      <c r="W111" t="s">
        <v>2331</v>
      </c>
      <c r="X111" t="s">
        <v>1300</v>
      </c>
      <c r="Y111" t="s">
        <v>2332</v>
      </c>
      <c r="Z111" t="s">
        <v>2333</v>
      </c>
      <c r="AA111" t="s">
        <v>74</v>
      </c>
      <c r="AB111" t="s">
        <v>74</v>
      </c>
      <c r="AC111" t="s">
        <v>2334</v>
      </c>
      <c r="AD111" t="s">
        <v>995</v>
      </c>
      <c r="AE111" t="s">
        <v>74</v>
      </c>
      <c r="AF111" t="s">
        <v>74</v>
      </c>
      <c r="AG111">
        <v>7</v>
      </c>
      <c r="AH111">
        <v>8</v>
      </c>
      <c r="AI111">
        <v>9</v>
      </c>
      <c r="AJ111">
        <v>0</v>
      </c>
      <c r="AK111">
        <v>11</v>
      </c>
      <c r="AL111" t="s">
        <v>2317</v>
      </c>
      <c r="AM111" t="s">
        <v>1679</v>
      </c>
      <c r="AN111" t="s">
        <v>2335</v>
      </c>
      <c r="AO111" t="s">
        <v>2319</v>
      </c>
      <c r="AP111" t="s">
        <v>74</v>
      </c>
      <c r="AQ111" t="s">
        <v>74</v>
      </c>
      <c r="AR111" t="s">
        <v>2321</v>
      </c>
      <c r="AS111" t="s">
        <v>2322</v>
      </c>
      <c r="AT111" t="s">
        <v>2297</v>
      </c>
      <c r="AU111">
        <v>2013</v>
      </c>
      <c r="AV111">
        <v>23</v>
      </c>
      <c r="AW111">
        <v>14</v>
      </c>
      <c r="AX111" t="s">
        <v>74</v>
      </c>
      <c r="AY111" t="s">
        <v>74</v>
      </c>
      <c r="AZ111" t="s">
        <v>74</v>
      </c>
      <c r="BA111" t="s">
        <v>74</v>
      </c>
      <c r="BB111" t="s">
        <v>2336</v>
      </c>
      <c r="BC111" t="s">
        <v>2337</v>
      </c>
      <c r="BD111" t="s">
        <v>74</v>
      </c>
      <c r="BE111" t="s">
        <v>2338</v>
      </c>
      <c r="BF111" t="str">
        <f>HYPERLINK("http://dx.doi.org/10.1016/j.cub.2013.05.058","http://dx.doi.org/10.1016/j.cub.2013.05.058")</f>
        <v>http://dx.doi.org/10.1016/j.cub.2013.05.058</v>
      </c>
      <c r="BG111" t="s">
        <v>74</v>
      </c>
      <c r="BH111" t="s">
        <v>74</v>
      </c>
      <c r="BI111">
        <v>3</v>
      </c>
      <c r="BJ111" t="s">
        <v>2324</v>
      </c>
      <c r="BK111" t="s">
        <v>102</v>
      </c>
      <c r="BL111" t="s">
        <v>2325</v>
      </c>
      <c r="BM111" t="s">
        <v>2326</v>
      </c>
      <c r="BN111">
        <v>23885875</v>
      </c>
      <c r="BO111" t="s">
        <v>248</v>
      </c>
      <c r="BP111" t="s">
        <v>74</v>
      </c>
      <c r="BQ111" t="s">
        <v>74</v>
      </c>
      <c r="BR111" t="s">
        <v>105</v>
      </c>
      <c r="BS111" t="s">
        <v>2339</v>
      </c>
      <c r="BT111" t="str">
        <f>HYPERLINK("https%3A%2F%2Fwww.webofscience.com%2Fwos%2Fwoscc%2Ffull-record%2FWOS:000322414200010","View Full Record in Web of Science")</f>
        <v>View Full Record in Web of Science</v>
      </c>
    </row>
    <row r="112" spans="1:72" x14ac:dyDescent="0.15">
      <c r="A112" t="s">
        <v>72</v>
      </c>
      <c r="B112" t="s">
        <v>2340</v>
      </c>
      <c r="C112" t="s">
        <v>74</v>
      </c>
      <c r="D112" t="s">
        <v>74</v>
      </c>
      <c r="E112" t="s">
        <v>74</v>
      </c>
      <c r="F112" t="s">
        <v>2341</v>
      </c>
      <c r="G112" t="s">
        <v>74</v>
      </c>
      <c r="H112" t="s">
        <v>74</v>
      </c>
      <c r="I112" t="s">
        <v>2342</v>
      </c>
      <c r="J112" t="s">
        <v>2343</v>
      </c>
      <c r="K112" t="s">
        <v>74</v>
      </c>
      <c r="L112" t="s">
        <v>74</v>
      </c>
      <c r="M112" t="s">
        <v>78</v>
      </c>
      <c r="N112" t="s">
        <v>79</v>
      </c>
      <c r="O112" t="s">
        <v>74</v>
      </c>
      <c r="P112" t="s">
        <v>74</v>
      </c>
      <c r="Q112" t="s">
        <v>74</v>
      </c>
      <c r="R112" t="s">
        <v>74</v>
      </c>
      <c r="S112" t="s">
        <v>74</v>
      </c>
      <c r="T112" t="s">
        <v>74</v>
      </c>
      <c r="U112" t="s">
        <v>2344</v>
      </c>
      <c r="V112" t="s">
        <v>2345</v>
      </c>
      <c r="W112" t="s">
        <v>2346</v>
      </c>
      <c r="X112" t="s">
        <v>2347</v>
      </c>
      <c r="Y112" t="s">
        <v>2348</v>
      </c>
      <c r="Z112" t="s">
        <v>2349</v>
      </c>
      <c r="AA112" t="s">
        <v>2350</v>
      </c>
      <c r="AB112" t="s">
        <v>2351</v>
      </c>
      <c r="AC112" t="s">
        <v>2352</v>
      </c>
      <c r="AD112" t="s">
        <v>2353</v>
      </c>
      <c r="AE112" t="s">
        <v>2354</v>
      </c>
      <c r="AF112" t="s">
        <v>74</v>
      </c>
      <c r="AG112">
        <v>61</v>
      </c>
      <c r="AH112">
        <v>48</v>
      </c>
      <c r="AI112">
        <v>49</v>
      </c>
      <c r="AJ112">
        <v>1</v>
      </c>
      <c r="AK112">
        <v>43</v>
      </c>
      <c r="AL112" t="s">
        <v>2355</v>
      </c>
      <c r="AM112" t="s">
        <v>2356</v>
      </c>
      <c r="AN112" t="s">
        <v>2357</v>
      </c>
      <c r="AO112" t="s">
        <v>2358</v>
      </c>
      <c r="AP112" t="s">
        <v>74</v>
      </c>
      <c r="AQ112" t="s">
        <v>74</v>
      </c>
      <c r="AR112" t="s">
        <v>2343</v>
      </c>
      <c r="AS112" t="s">
        <v>2359</v>
      </c>
      <c r="AT112" t="s">
        <v>2297</v>
      </c>
      <c r="AU112">
        <v>2013</v>
      </c>
      <c r="AV112">
        <v>8</v>
      </c>
      <c r="AW112">
        <v>7</v>
      </c>
      <c r="AX112" t="s">
        <v>74</v>
      </c>
      <c r="AY112" t="s">
        <v>74</v>
      </c>
      <c r="AZ112" t="s">
        <v>74</v>
      </c>
      <c r="BA112" t="s">
        <v>74</v>
      </c>
      <c r="BB112" t="s">
        <v>74</v>
      </c>
      <c r="BC112" t="s">
        <v>74</v>
      </c>
      <c r="BD112" t="s">
        <v>2360</v>
      </c>
      <c r="BE112" t="s">
        <v>2361</v>
      </c>
      <c r="BF112" t="str">
        <f>HYPERLINK("http://dx.doi.org/10.1371/journal.pone.0069138","http://dx.doi.org/10.1371/journal.pone.0069138")</f>
        <v>http://dx.doi.org/10.1371/journal.pone.0069138</v>
      </c>
      <c r="BG112" t="s">
        <v>74</v>
      </c>
      <c r="BH112" t="s">
        <v>74</v>
      </c>
      <c r="BI112">
        <v>12</v>
      </c>
      <c r="BJ112" t="s">
        <v>1880</v>
      </c>
      <c r="BK112" t="s">
        <v>102</v>
      </c>
      <c r="BL112" t="s">
        <v>1881</v>
      </c>
      <c r="BM112" t="s">
        <v>2362</v>
      </c>
      <c r="BN112">
        <v>23894421</v>
      </c>
      <c r="BO112" t="s">
        <v>2363</v>
      </c>
      <c r="BP112" t="s">
        <v>74</v>
      </c>
      <c r="BQ112" t="s">
        <v>74</v>
      </c>
      <c r="BR112" t="s">
        <v>105</v>
      </c>
      <c r="BS112" t="s">
        <v>2364</v>
      </c>
      <c r="BT112" t="str">
        <f>HYPERLINK("https%3A%2F%2Fwww.webofscience.com%2Fwos%2Fwoscc%2Ffull-record%2FWOS:000322132100048","View Full Record in Web of Science")</f>
        <v>View Full Record in Web of Science</v>
      </c>
    </row>
    <row r="113" spans="1:72" x14ac:dyDescent="0.15">
      <c r="A113" t="s">
        <v>72</v>
      </c>
      <c r="B113" t="s">
        <v>2365</v>
      </c>
      <c r="C113" t="s">
        <v>74</v>
      </c>
      <c r="D113" t="s">
        <v>74</v>
      </c>
      <c r="E113" t="s">
        <v>74</v>
      </c>
      <c r="F113" t="s">
        <v>2366</v>
      </c>
      <c r="G113" t="s">
        <v>74</v>
      </c>
      <c r="H113" t="s">
        <v>74</v>
      </c>
      <c r="I113" t="s">
        <v>2367</v>
      </c>
      <c r="J113" t="s">
        <v>2368</v>
      </c>
      <c r="K113" t="s">
        <v>74</v>
      </c>
      <c r="L113" t="s">
        <v>74</v>
      </c>
      <c r="M113" t="s">
        <v>78</v>
      </c>
      <c r="N113" t="s">
        <v>79</v>
      </c>
      <c r="O113" t="s">
        <v>74</v>
      </c>
      <c r="P113" t="s">
        <v>74</v>
      </c>
      <c r="Q113" t="s">
        <v>74</v>
      </c>
      <c r="R113" t="s">
        <v>74</v>
      </c>
      <c r="S113" t="s">
        <v>74</v>
      </c>
      <c r="T113" t="s">
        <v>2369</v>
      </c>
      <c r="U113" t="s">
        <v>2370</v>
      </c>
      <c r="V113" t="s">
        <v>2371</v>
      </c>
      <c r="W113" t="s">
        <v>2372</v>
      </c>
      <c r="X113" t="s">
        <v>2373</v>
      </c>
      <c r="Y113" t="s">
        <v>2374</v>
      </c>
      <c r="Z113" t="s">
        <v>2375</v>
      </c>
      <c r="AA113" t="s">
        <v>2376</v>
      </c>
      <c r="AB113" t="s">
        <v>2377</v>
      </c>
      <c r="AC113" t="s">
        <v>2378</v>
      </c>
      <c r="AD113" t="s">
        <v>2379</v>
      </c>
      <c r="AE113" t="s">
        <v>2380</v>
      </c>
      <c r="AF113" t="s">
        <v>74</v>
      </c>
      <c r="AG113">
        <v>117</v>
      </c>
      <c r="AH113">
        <v>70</v>
      </c>
      <c r="AI113">
        <v>73</v>
      </c>
      <c r="AJ113">
        <v>0</v>
      </c>
      <c r="AK113">
        <v>10</v>
      </c>
      <c r="AL113" t="s">
        <v>2381</v>
      </c>
      <c r="AM113" t="s">
        <v>2382</v>
      </c>
      <c r="AN113" t="s">
        <v>2383</v>
      </c>
      <c r="AO113" t="s">
        <v>2384</v>
      </c>
      <c r="AP113" t="s">
        <v>2385</v>
      </c>
      <c r="AQ113" t="s">
        <v>74</v>
      </c>
      <c r="AR113" t="s">
        <v>2386</v>
      </c>
      <c r="AS113" t="s">
        <v>2387</v>
      </c>
      <c r="AT113" t="s">
        <v>2388</v>
      </c>
      <c r="AU113">
        <v>2013</v>
      </c>
      <c r="AV113">
        <v>772</v>
      </c>
      <c r="AW113">
        <v>1</v>
      </c>
      <c r="AX113" t="s">
        <v>74</v>
      </c>
      <c r="AY113" t="s">
        <v>74</v>
      </c>
      <c r="AZ113" t="s">
        <v>74</v>
      </c>
      <c r="BA113" t="s">
        <v>74</v>
      </c>
      <c r="BB113" t="s">
        <v>74</v>
      </c>
      <c r="BC113" t="s">
        <v>74</v>
      </c>
      <c r="BD113">
        <v>43</v>
      </c>
      <c r="BE113" t="s">
        <v>2389</v>
      </c>
      <c r="BF113" t="str">
        <f>HYPERLINK("http://dx.doi.org/10.1088/0004-637X/772/1/43","http://dx.doi.org/10.1088/0004-637X/772/1/43")</f>
        <v>http://dx.doi.org/10.1088/0004-637X/772/1/43</v>
      </c>
      <c r="BG113" t="s">
        <v>74</v>
      </c>
      <c r="BH113" t="s">
        <v>74</v>
      </c>
      <c r="BI113">
        <v>11</v>
      </c>
      <c r="BJ113" t="s">
        <v>101</v>
      </c>
      <c r="BK113" t="s">
        <v>102</v>
      </c>
      <c r="BL113" t="s">
        <v>101</v>
      </c>
      <c r="BM113" t="s">
        <v>2390</v>
      </c>
      <c r="BN113" t="s">
        <v>74</v>
      </c>
      <c r="BO113" t="s">
        <v>577</v>
      </c>
      <c r="BP113" t="s">
        <v>74</v>
      </c>
      <c r="BQ113" t="s">
        <v>74</v>
      </c>
      <c r="BR113" t="s">
        <v>105</v>
      </c>
      <c r="BS113" t="s">
        <v>2391</v>
      </c>
      <c r="BT113" t="str">
        <f>HYPERLINK("https%3A%2F%2Fwww.webofscience.com%2Fwos%2Fwoscc%2Ffull-record%2FWOS:000321673700043","View Full Record in Web of Science")</f>
        <v>View Full Record in Web of Science</v>
      </c>
    </row>
    <row r="114" spans="1:72" x14ac:dyDescent="0.15">
      <c r="A114" t="s">
        <v>72</v>
      </c>
      <c r="B114" t="s">
        <v>2392</v>
      </c>
      <c r="C114" t="s">
        <v>74</v>
      </c>
      <c r="D114" t="s">
        <v>74</v>
      </c>
      <c r="E114" t="s">
        <v>74</v>
      </c>
      <c r="F114" t="s">
        <v>2393</v>
      </c>
      <c r="G114" t="s">
        <v>74</v>
      </c>
      <c r="H114" t="s">
        <v>74</v>
      </c>
      <c r="I114" t="s">
        <v>2394</v>
      </c>
      <c r="J114" t="s">
        <v>2395</v>
      </c>
      <c r="K114" t="s">
        <v>74</v>
      </c>
      <c r="L114" t="s">
        <v>74</v>
      </c>
      <c r="M114" t="s">
        <v>78</v>
      </c>
      <c r="N114" t="s">
        <v>79</v>
      </c>
      <c r="O114" t="s">
        <v>74</v>
      </c>
      <c r="P114" t="s">
        <v>74</v>
      </c>
      <c r="Q114" t="s">
        <v>74</v>
      </c>
      <c r="R114" t="s">
        <v>74</v>
      </c>
      <c r="S114" t="s">
        <v>74</v>
      </c>
      <c r="T114" t="s">
        <v>2396</v>
      </c>
      <c r="U114" t="s">
        <v>2397</v>
      </c>
      <c r="V114" t="s">
        <v>2398</v>
      </c>
      <c r="W114" t="s">
        <v>2399</v>
      </c>
      <c r="X114" t="s">
        <v>2400</v>
      </c>
      <c r="Y114" t="s">
        <v>2401</v>
      </c>
      <c r="Z114" t="s">
        <v>2402</v>
      </c>
      <c r="AA114" t="s">
        <v>2403</v>
      </c>
      <c r="AB114" t="s">
        <v>2404</v>
      </c>
      <c r="AC114" t="s">
        <v>2405</v>
      </c>
      <c r="AD114" t="s">
        <v>2406</v>
      </c>
      <c r="AE114" t="s">
        <v>2407</v>
      </c>
      <c r="AF114" t="s">
        <v>74</v>
      </c>
      <c r="AG114">
        <v>92</v>
      </c>
      <c r="AH114">
        <v>49</v>
      </c>
      <c r="AI114">
        <v>54</v>
      </c>
      <c r="AJ114">
        <v>1</v>
      </c>
      <c r="AK114">
        <v>79</v>
      </c>
      <c r="AL114" t="s">
        <v>195</v>
      </c>
      <c r="AM114" t="s">
        <v>155</v>
      </c>
      <c r="AN114" t="s">
        <v>196</v>
      </c>
      <c r="AO114" t="s">
        <v>2408</v>
      </c>
      <c r="AP114" t="s">
        <v>2409</v>
      </c>
      <c r="AQ114" t="s">
        <v>74</v>
      </c>
      <c r="AR114" t="s">
        <v>2410</v>
      </c>
      <c r="AS114" t="s">
        <v>2411</v>
      </c>
      <c r="AT114" t="s">
        <v>2388</v>
      </c>
      <c r="AU114">
        <v>2013</v>
      </c>
      <c r="AV114">
        <v>153</v>
      </c>
      <c r="AW114" t="s">
        <v>74</v>
      </c>
      <c r="AX114" t="s">
        <v>74</v>
      </c>
      <c r="AY114" t="s">
        <v>74</v>
      </c>
      <c r="AZ114" t="s">
        <v>74</v>
      </c>
      <c r="BA114" t="s">
        <v>74</v>
      </c>
      <c r="BB114">
        <v>15</v>
      </c>
      <c r="BC114">
        <v>30</v>
      </c>
      <c r="BD114" t="s">
        <v>74</v>
      </c>
      <c r="BE114" t="s">
        <v>2412</v>
      </c>
      <c r="BF114" t="str">
        <f>HYPERLINK("http://dx.doi.org/10.1016/j.marchem.2013.04.006","http://dx.doi.org/10.1016/j.marchem.2013.04.006")</f>
        <v>http://dx.doi.org/10.1016/j.marchem.2013.04.006</v>
      </c>
      <c r="BG114" t="s">
        <v>74</v>
      </c>
      <c r="BH114" t="s">
        <v>74</v>
      </c>
      <c r="BI114">
        <v>16</v>
      </c>
      <c r="BJ114" t="s">
        <v>2413</v>
      </c>
      <c r="BK114" t="s">
        <v>102</v>
      </c>
      <c r="BL114" t="s">
        <v>2414</v>
      </c>
      <c r="BM114" t="s">
        <v>2415</v>
      </c>
      <c r="BN114" t="s">
        <v>74</v>
      </c>
      <c r="BO114" t="s">
        <v>74</v>
      </c>
      <c r="BP114" t="s">
        <v>74</v>
      </c>
      <c r="BQ114" t="s">
        <v>74</v>
      </c>
      <c r="BR114" t="s">
        <v>105</v>
      </c>
      <c r="BS114" t="s">
        <v>2416</v>
      </c>
      <c r="BT114" t="str">
        <f>HYPERLINK("https%3A%2F%2Fwww.webofscience.com%2Fwos%2Fwoscc%2Ffull-record%2FWOS:000320688200002","View Full Record in Web of Science")</f>
        <v>View Full Record in Web of Science</v>
      </c>
    </row>
    <row r="115" spans="1:72" x14ac:dyDescent="0.15">
      <c r="A115" t="s">
        <v>72</v>
      </c>
      <c r="B115" t="s">
        <v>2417</v>
      </c>
      <c r="C115" t="s">
        <v>74</v>
      </c>
      <c r="D115" t="s">
        <v>74</v>
      </c>
      <c r="E115" t="s">
        <v>74</v>
      </c>
      <c r="F115" t="s">
        <v>2418</v>
      </c>
      <c r="G115" t="s">
        <v>74</v>
      </c>
      <c r="H115" t="s">
        <v>74</v>
      </c>
      <c r="I115" t="s">
        <v>2419</v>
      </c>
      <c r="J115" t="s">
        <v>2343</v>
      </c>
      <c r="K115" t="s">
        <v>74</v>
      </c>
      <c r="L115" t="s">
        <v>74</v>
      </c>
      <c r="M115" t="s">
        <v>78</v>
      </c>
      <c r="N115" t="s">
        <v>79</v>
      </c>
      <c r="O115" t="s">
        <v>74</v>
      </c>
      <c r="P115" t="s">
        <v>74</v>
      </c>
      <c r="Q115" t="s">
        <v>74</v>
      </c>
      <c r="R115" t="s">
        <v>74</v>
      </c>
      <c r="S115" t="s">
        <v>74</v>
      </c>
      <c r="T115" t="s">
        <v>74</v>
      </c>
      <c r="U115" t="s">
        <v>2420</v>
      </c>
      <c r="V115" t="s">
        <v>2421</v>
      </c>
      <c r="W115" t="s">
        <v>2422</v>
      </c>
      <c r="X115" t="s">
        <v>2423</v>
      </c>
      <c r="Y115" t="s">
        <v>2424</v>
      </c>
      <c r="Z115" t="s">
        <v>2425</v>
      </c>
      <c r="AA115" t="s">
        <v>74</v>
      </c>
      <c r="AB115" t="s">
        <v>2426</v>
      </c>
      <c r="AC115" t="s">
        <v>2427</v>
      </c>
      <c r="AD115" t="s">
        <v>2428</v>
      </c>
      <c r="AE115" t="s">
        <v>2429</v>
      </c>
      <c r="AF115" t="s">
        <v>74</v>
      </c>
      <c r="AG115">
        <v>79</v>
      </c>
      <c r="AH115">
        <v>22</v>
      </c>
      <c r="AI115">
        <v>26</v>
      </c>
      <c r="AJ115">
        <v>0</v>
      </c>
      <c r="AK115">
        <v>27</v>
      </c>
      <c r="AL115" t="s">
        <v>2355</v>
      </c>
      <c r="AM115" t="s">
        <v>2356</v>
      </c>
      <c r="AN115" t="s">
        <v>2357</v>
      </c>
      <c r="AO115" t="s">
        <v>2358</v>
      </c>
      <c r="AP115" t="s">
        <v>74</v>
      </c>
      <c r="AQ115" t="s">
        <v>74</v>
      </c>
      <c r="AR115" t="s">
        <v>2343</v>
      </c>
      <c r="AS115" t="s">
        <v>2359</v>
      </c>
      <c r="AT115" t="s">
        <v>2430</v>
      </c>
      <c r="AU115">
        <v>2013</v>
      </c>
      <c r="AV115">
        <v>8</v>
      </c>
      <c r="AW115">
        <v>7</v>
      </c>
      <c r="AX115" t="s">
        <v>74</v>
      </c>
      <c r="AY115" t="s">
        <v>74</v>
      </c>
      <c r="AZ115" t="s">
        <v>74</v>
      </c>
      <c r="BA115" t="s">
        <v>74</v>
      </c>
      <c r="BB115" t="s">
        <v>74</v>
      </c>
      <c r="BC115" t="s">
        <v>74</v>
      </c>
      <c r="BD115" t="s">
        <v>2431</v>
      </c>
      <c r="BE115" t="s">
        <v>2432</v>
      </c>
      <c r="BF115" t="str">
        <f>HYPERLINK("http://dx.doi.org/10.1371/journal.pone.0069281","http://dx.doi.org/10.1371/journal.pone.0069281")</f>
        <v>http://dx.doi.org/10.1371/journal.pone.0069281</v>
      </c>
      <c r="BG115" t="s">
        <v>74</v>
      </c>
      <c r="BH115" t="s">
        <v>74</v>
      </c>
      <c r="BI115">
        <v>8</v>
      </c>
      <c r="BJ115" t="s">
        <v>1880</v>
      </c>
      <c r="BK115" t="s">
        <v>102</v>
      </c>
      <c r="BL115" t="s">
        <v>1881</v>
      </c>
      <c r="BM115" t="s">
        <v>2433</v>
      </c>
      <c r="BN115">
        <v>23894439</v>
      </c>
      <c r="BO115" t="s">
        <v>2248</v>
      </c>
      <c r="BP115" t="s">
        <v>74</v>
      </c>
      <c r="BQ115" t="s">
        <v>74</v>
      </c>
      <c r="BR115" t="s">
        <v>105</v>
      </c>
      <c r="BS115" t="s">
        <v>2434</v>
      </c>
      <c r="BT115" t="str">
        <f>HYPERLINK("https%3A%2F%2Fwww.webofscience.com%2Fwos%2Fwoscc%2Ffull-record%2FWOS:000322391400044","View Full Record in Web of Science")</f>
        <v>View Full Record in Web of Science</v>
      </c>
    </row>
    <row r="116" spans="1:72" x14ac:dyDescent="0.15">
      <c r="A116" t="s">
        <v>72</v>
      </c>
      <c r="B116" t="s">
        <v>2435</v>
      </c>
      <c r="C116" t="s">
        <v>74</v>
      </c>
      <c r="D116" t="s">
        <v>74</v>
      </c>
      <c r="E116" t="s">
        <v>74</v>
      </c>
      <c r="F116" t="s">
        <v>2436</v>
      </c>
      <c r="G116" t="s">
        <v>74</v>
      </c>
      <c r="H116" t="s">
        <v>74</v>
      </c>
      <c r="I116" t="s">
        <v>2437</v>
      </c>
      <c r="J116" t="s">
        <v>2090</v>
      </c>
      <c r="K116" t="s">
        <v>74</v>
      </c>
      <c r="L116" t="s">
        <v>74</v>
      </c>
      <c r="M116" t="s">
        <v>78</v>
      </c>
      <c r="N116" t="s">
        <v>79</v>
      </c>
      <c r="O116" t="s">
        <v>74</v>
      </c>
      <c r="P116" t="s">
        <v>74</v>
      </c>
      <c r="Q116" t="s">
        <v>74</v>
      </c>
      <c r="R116" t="s">
        <v>74</v>
      </c>
      <c r="S116" t="s">
        <v>74</v>
      </c>
      <c r="T116" t="s">
        <v>74</v>
      </c>
      <c r="U116" t="s">
        <v>2438</v>
      </c>
      <c r="V116" t="s">
        <v>2439</v>
      </c>
      <c r="W116" t="s">
        <v>2440</v>
      </c>
      <c r="X116" t="s">
        <v>2441</v>
      </c>
      <c r="Y116" t="s">
        <v>2442</v>
      </c>
      <c r="Z116" t="s">
        <v>2443</v>
      </c>
      <c r="AA116" t="s">
        <v>2444</v>
      </c>
      <c r="AB116" t="s">
        <v>2445</v>
      </c>
      <c r="AC116" t="s">
        <v>2446</v>
      </c>
      <c r="AD116" t="s">
        <v>2447</v>
      </c>
      <c r="AE116" t="s">
        <v>2448</v>
      </c>
      <c r="AF116" t="s">
        <v>74</v>
      </c>
      <c r="AG116">
        <v>35</v>
      </c>
      <c r="AH116">
        <v>886</v>
      </c>
      <c r="AI116">
        <v>988</v>
      </c>
      <c r="AJ116">
        <v>13</v>
      </c>
      <c r="AK116">
        <v>304</v>
      </c>
      <c r="AL116" t="s">
        <v>2091</v>
      </c>
      <c r="AM116" t="s">
        <v>93</v>
      </c>
      <c r="AN116" t="s">
        <v>2092</v>
      </c>
      <c r="AO116" t="s">
        <v>2093</v>
      </c>
      <c r="AP116" t="s">
        <v>74</v>
      </c>
      <c r="AQ116" t="s">
        <v>74</v>
      </c>
      <c r="AR116" t="s">
        <v>2090</v>
      </c>
      <c r="AS116" t="s">
        <v>2094</v>
      </c>
      <c r="AT116" t="s">
        <v>2430</v>
      </c>
      <c r="AU116">
        <v>2013</v>
      </c>
      <c r="AV116">
        <v>341</v>
      </c>
      <c r="AW116">
        <v>6143</v>
      </c>
      <c r="AX116" t="s">
        <v>74</v>
      </c>
      <c r="AY116" t="s">
        <v>74</v>
      </c>
      <c r="AZ116" t="s">
        <v>74</v>
      </c>
      <c r="BA116" t="s">
        <v>74</v>
      </c>
      <c r="BB116">
        <v>266</v>
      </c>
      <c r="BC116">
        <v>270</v>
      </c>
      <c r="BD116" t="s">
        <v>74</v>
      </c>
      <c r="BE116" t="s">
        <v>2449</v>
      </c>
      <c r="BF116" t="str">
        <f>HYPERLINK("http://dx.doi.org/10.1126/science.1235798","http://dx.doi.org/10.1126/science.1235798")</f>
        <v>http://dx.doi.org/10.1126/science.1235798</v>
      </c>
      <c r="BG116" t="s">
        <v>74</v>
      </c>
      <c r="BH116" t="s">
        <v>74</v>
      </c>
      <c r="BI116">
        <v>5</v>
      </c>
      <c r="BJ116" t="s">
        <v>1880</v>
      </c>
      <c r="BK116" t="s">
        <v>102</v>
      </c>
      <c r="BL116" t="s">
        <v>1881</v>
      </c>
      <c r="BM116" t="s">
        <v>2450</v>
      </c>
      <c r="BN116">
        <v>23765278</v>
      </c>
      <c r="BO116" t="s">
        <v>997</v>
      </c>
      <c r="BP116" t="s">
        <v>2451</v>
      </c>
      <c r="BQ116" t="s">
        <v>2452</v>
      </c>
      <c r="BR116" t="s">
        <v>105</v>
      </c>
      <c r="BS116" t="s">
        <v>2453</v>
      </c>
      <c r="BT116" t="str">
        <f>HYPERLINK("https%3A%2F%2Fwww.webofscience.com%2Fwos%2Fwoscc%2Ffull-record%2FWOS:000321959300040","View Full Record in Web of Science")</f>
        <v>View Full Record in Web of Science</v>
      </c>
    </row>
    <row r="117" spans="1:72" x14ac:dyDescent="0.15">
      <c r="A117" t="s">
        <v>72</v>
      </c>
      <c r="B117" t="s">
        <v>2454</v>
      </c>
      <c r="C117" t="s">
        <v>74</v>
      </c>
      <c r="D117" t="s">
        <v>74</v>
      </c>
      <c r="E117" t="s">
        <v>74</v>
      </c>
      <c r="F117" t="s">
        <v>2455</v>
      </c>
      <c r="G117" t="s">
        <v>74</v>
      </c>
      <c r="H117" t="s">
        <v>74</v>
      </c>
      <c r="I117" t="s">
        <v>2456</v>
      </c>
      <c r="J117" t="s">
        <v>2343</v>
      </c>
      <c r="K117" t="s">
        <v>74</v>
      </c>
      <c r="L117" t="s">
        <v>74</v>
      </c>
      <c r="M117" t="s">
        <v>78</v>
      </c>
      <c r="N117" t="s">
        <v>79</v>
      </c>
      <c r="O117" t="s">
        <v>74</v>
      </c>
      <c r="P117" t="s">
        <v>74</v>
      </c>
      <c r="Q117" t="s">
        <v>74</v>
      </c>
      <c r="R117" t="s">
        <v>74</v>
      </c>
      <c r="S117" t="s">
        <v>74</v>
      </c>
      <c r="T117" t="s">
        <v>74</v>
      </c>
      <c r="U117" t="s">
        <v>2457</v>
      </c>
      <c r="V117" t="s">
        <v>2458</v>
      </c>
      <c r="W117" t="s">
        <v>2459</v>
      </c>
      <c r="X117" t="s">
        <v>2460</v>
      </c>
      <c r="Y117" t="s">
        <v>2461</v>
      </c>
      <c r="Z117" t="s">
        <v>2462</v>
      </c>
      <c r="AA117" t="s">
        <v>2463</v>
      </c>
      <c r="AB117" t="s">
        <v>2464</v>
      </c>
      <c r="AC117" t="s">
        <v>2465</v>
      </c>
      <c r="AD117" t="s">
        <v>2466</v>
      </c>
      <c r="AE117" t="s">
        <v>2467</v>
      </c>
      <c r="AF117" t="s">
        <v>74</v>
      </c>
      <c r="AG117">
        <v>69</v>
      </c>
      <c r="AH117">
        <v>29</v>
      </c>
      <c r="AI117">
        <v>30</v>
      </c>
      <c r="AJ117">
        <v>0</v>
      </c>
      <c r="AK117">
        <v>32</v>
      </c>
      <c r="AL117" t="s">
        <v>2355</v>
      </c>
      <c r="AM117" t="s">
        <v>2356</v>
      </c>
      <c r="AN117" t="s">
        <v>2357</v>
      </c>
      <c r="AO117" t="s">
        <v>2358</v>
      </c>
      <c r="AP117" t="s">
        <v>74</v>
      </c>
      <c r="AQ117" t="s">
        <v>74</v>
      </c>
      <c r="AR117" t="s">
        <v>2343</v>
      </c>
      <c r="AS117" t="s">
        <v>2359</v>
      </c>
      <c r="AT117" t="s">
        <v>2468</v>
      </c>
      <c r="AU117">
        <v>2013</v>
      </c>
      <c r="AV117">
        <v>8</v>
      </c>
      <c r="AW117">
        <v>7</v>
      </c>
      <c r="AX117" t="s">
        <v>74</v>
      </c>
      <c r="AY117" t="s">
        <v>74</v>
      </c>
      <c r="AZ117" t="s">
        <v>74</v>
      </c>
      <c r="BA117" t="s">
        <v>74</v>
      </c>
      <c r="BB117" t="s">
        <v>74</v>
      </c>
      <c r="BC117" t="s">
        <v>74</v>
      </c>
      <c r="BD117" t="s">
        <v>2469</v>
      </c>
      <c r="BE117" t="s">
        <v>2470</v>
      </c>
      <c r="BF117" t="str">
        <f>HYPERLINK("http://dx.doi.org/10.1371/journal.pone.0068652","http://dx.doi.org/10.1371/journal.pone.0068652")</f>
        <v>http://dx.doi.org/10.1371/journal.pone.0068652</v>
      </c>
      <c r="BG117" t="s">
        <v>74</v>
      </c>
      <c r="BH117" t="s">
        <v>74</v>
      </c>
      <c r="BI117">
        <v>11</v>
      </c>
      <c r="BJ117" t="s">
        <v>1880</v>
      </c>
      <c r="BK117" t="s">
        <v>102</v>
      </c>
      <c r="BL117" t="s">
        <v>1881</v>
      </c>
      <c r="BM117" t="s">
        <v>2471</v>
      </c>
      <c r="BN117">
        <v>23874706</v>
      </c>
      <c r="BO117" t="s">
        <v>2248</v>
      </c>
      <c r="BP117" t="s">
        <v>74</v>
      </c>
      <c r="BQ117" t="s">
        <v>74</v>
      </c>
      <c r="BR117" t="s">
        <v>105</v>
      </c>
      <c r="BS117" t="s">
        <v>2472</v>
      </c>
      <c r="BT117" t="str">
        <f>HYPERLINK("https%3A%2F%2Fwww.webofscience.com%2Fwos%2Fwoscc%2Ffull-record%2FWOS:000322000600013","View Full Record in Web of Science")</f>
        <v>View Full Record in Web of Science</v>
      </c>
    </row>
    <row r="118" spans="1:72" x14ac:dyDescent="0.15">
      <c r="A118" t="s">
        <v>72</v>
      </c>
      <c r="B118" t="s">
        <v>2473</v>
      </c>
      <c r="C118" t="s">
        <v>74</v>
      </c>
      <c r="D118" t="s">
        <v>74</v>
      </c>
      <c r="E118" t="s">
        <v>74</v>
      </c>
      <c r="F118" t="s">
        <v>2474</v>
      </c>
      <c r="G118" t="s">
        <v>74</v>
      </c>
      <c r="H118" t="s">
        <v>74</v>
      </c>
      <c r="I118" t="s">
        <v>2475</v>
      </c>
      <c r="J118" t="s">
        <v>1957</v>
      </c>
      <c r="K118" t="s">
        <v>74</v>
      </c>
      <c r="L118" t="s">
        <v>74</v>
      </c>
      <c r="M118" t="s">
        <v>78</v>
      </c>
      <c r="N118" t="s">
        <v>79</v>
      </c>
      <c r="O118" t="s">
        <v>74</v>
      </c>
      <c r="P118" t="s">
        <v>74</v>
      </c>
      <c r="Q118" t="s">
        <v>74</v>
      </c>
      <c r="R118" t="s">
        <v>74</v>
      </c>
      <c r="S118" t="s">
        <v>74</v>
      </c>
      <c r="T118" t="s">
        <v>2476</v>
      </c>
      <c r="U118" t="s">
        <v>2477</v>
      </c>
      <c r="V118" t="s">
        <v>2478</v>
      </c>
      <c r="W118" t="s">
        <v>2479</v>
      </c>
      <c r="X118" t="s">
        <v>2480</v>
      </c>
      <c r="Y118" t="s">
        <v>2481</v>
      </c>
      <c r="Z118" t="s">
        <v>2482</v>
      </c>
      <c r="AA118" t="s">
        <v>2483</v>
      </c>
      <c r="AB118" t="s">
        <v>2484</v>
      </c>
      <c r="AC118" t="s">
        <v>2485</v>
      </c>
      <c r="AD118" t="s">
        <v>2486</v>
      </c>
      <c r="AE118" t="s">
        <v>2487</v>
      </c>
      <c r="AF118" t="s">
        <v>74</v>
      </c>
      <c r="AG118">
        <v>32</v>
      </c>
      <c r="AH118">
        <v>30</v>
      </c>
      <c r="AI118">
        <v>34</v>
      </c>
      <c r="AJ118">
        <v>2</v>
      </c>
      <c r="AK118">
        <v>24</v>
      </c>
      <c r="AL118" t="s">
        <v>92</v>
      </c>
      <c r="AM118" t="s">
        <v>93</v>
      </c>
      <c r="AN118" t="s">
        <v>94</v>
      </c>
      <c r="AO118" t="s">
        <v>1970</v>
      </c>
      <c r="AP118" t="s">
        <v>1971</v>
      </c>
      <c r="AQ118" t="s">
        <v>74</v>
      </c>
      <c r="AR118" t="s">
        <v>1972</v>
      </c>
      <c r="AS118" t="s">
        <v>1973</v>
      </c>
      <c r="AT118" t="s">
        <v>2488</v>
      </c>
      <c r="AU118">
        <v>2013</v>
      </c>
      <c r="AV118">
        <v>40</v>
      </c>
      <c r="AW118">
        <v>13</v>
      </c>
      <c r="AX118" t="s">
        <v>74</v>
      </c>
      <c r="AY118" t="s">
        <v>74</v>
      </c>
      <c r="AZ118" t="s">
        <v>74</v>
      </c>
      <c r="BA118" t="s">
        <v>74</v>
      </c>
      <c r="BB118">
        <v>3419</v>
      </c>
      <c r="BC118">
        <v>3423</v>
      </c>
      <c r="BD118" t="s">
        <v>74</v>
      </c>
      <c r="BE118" t="s">
        <v>2489</v>
      </c>
      <c r="BF118" t="str">
        <f>HYPERLINK("http://dx.doi.org/10.1002/grl.50638","http://dx.doi.org/10.1002/grl.50638")</f>
        <v>http://dx.doi.org/10.1002/grl.50638</v>
      </c>
      <c r="BG118" t="s">
        <v>74</v>
      </c>
      <c r="BH118" t="s">
        <v>74</v>
      </c>
      <c r="BI118">
        <v>5</v>
      </c>
      <c r="BJ118" t="s">
        <v>1426</v>
      </c>
      <c r="BK118" t="s">
        <v>102</v>
      </c>
      <c r="BL118" t="s">
        <v>219</v>
      </c>
      <c r="BM118" t="s">
        <v>2490</v>
      </c>
      <c r="BN118" t="s">
        <v>74</v>
      </c>
      <c r="BO118" t="s">
        <v>104</v>
      </c>
      <c r="BP118" t="s">
        <v>74</v>
      </c>
      <c r="BQ118" t="s">
        <v>74</v>
      </c>
      <c r="BR118" t="s">
        <v>105</v>
      </c>
      <c r="BS118" t="s">
        <v>2491</v>
      </c>
      <c r="BT118" t="str">
        <f>HYPERLINK("https%3A%2F%2Fwww.webofscience.com%2Fwos%2Fwoscc%2Ffull-record%2FWOS:000326396600029","View Full Record in Web of Science")</f>
        <v>View Full Record in Web of Science</v>
      </c>
    </row>
    <row r="119" spans="1:72" x14ac:dyDescent="0.15">
      <c r="A119" t="s">
        <v>72</v>
      </c>
      <c r="B119" t="s">
        <v>2492</v>
      </c>
      <c r="C119" t="s">
        <v>74</v>
      </c>
      <c r="D119" t="s">
        <v>74</v>
      </c>
      <c r="E119" t="s">
        <v>74</v>
      </c>
      <c r="F119" t="s">
        <v>2493</v>
      </c>
      <c r="G119" t="s">
        <v>74</v>
      </c>
      <c r="H119" t="s">
        <v>74</v>
      </c>
      <c r="I119" t="s">
        <v>2494</v>
      </c>
      <c r="J119" t="s">
        <v>2016</v>
      </c>
      <c r="K119" t="s">
        <v>74</v>
      </c>
      <c r="L119" t="s">
        <v>74</v>
      </c>
      <c r="M119" t="s">
        <v>78</v>
      </c>
      <c r="N119" t="s">
        <v>79</v>
      </c>
      <c r="O119" t="s">
        <v>74</v>
      </c>
      <c r="P119" t="s">
        <v>74</v>
      </c>
      <c r="Q119" t="s">
        <v>74</v>
      </c>
      <c r="R119" t="s">
        <v>74</v>
      </c>
      <c r="S119" t="s">
        <v>74</v>
      </c>
      <c r="T119" t="s">
        <v>2495</v>
      </c>
      <c r="U119" t="s">
        <v>2496</v>
      </c>
      <c r="V119" t="s">
        <v>2497</v>
      </c>
      <c r="W119" t="s">
        <v>2498</v>
      </c>
      <c r="X119" t="s">
        <v>2499</v>
      </c>
      <c r="Y119" t="s">
        <v>2500</v>
      </c>
      <c r="Z119" t="s">
        <v>2501</v>
      </c>
      <c r="AA119" t="s">
        <v>2502</v>
      </c>
      <c r="AB119" t="s">
        <v>74</v>
      </c>
      <c r="AC119" t="s">
        <v>2503</v>
      </c>
      <c r="AD119" t="s">
        <v>2504</v>
      </c>
      <c r="AE119" t="s">
        <v>2505</v>
      </c>
      <c r="AF119" t="s">
        <v>74</v>
      </c>
      <c r="AG119">
        <v>35</v>
      </c>
      <c r="AH119">
        <v>24</v>
      </c>
      <c r="AI119">
        <v>25</v>
      </c>
      <c r="AJ119">
        <v>0</v>
      </c>
      <c r="AK119">
        <v>17</v>
      </c>
      <c r="AL119" t="s">
        <v>92</v>
      </c>
      <c r="AM119" t="s">
        <v>93</v>
      </c>
      <c r="AN119" t="s">
        <v>94</v>
      </c>
      <c r="AO119" t="s">
        <v>2029</v>
      </c>
      <c r="AP119" t="s">
        <v>2030</v>
      </c>
      <c r="AQ119" t="s">
        <v>74</v>
      </c>
      <c r="AR119" t="s">
        <v>2031</v>
      </c>
      <c r="AS119" t="s">
        <v>2032</v>
      </c>
      <c r="AT119" t="s">
        <v>2488</v>
      </c>
      <c r="AU119">
        <v>2013</v>
      </c>
      <c r="AV119">
        <v>118</v>
      </c>
      <c r="AW119">
        <v>13</v>
      </c>
      <c r="AX119" t="s">
        <v>74</v>
      </c>
      <c r="AY119" t="s">
        <v>74</v>
      </c>
      <c r="AZ119" t="s">
        <v>74</v>
      </c>
      <c r="BA119" t="s">
        <v>74</v>
      </c>
      <c r="BB119">
        <v>6916</v>
      </c>
      <c r="BC119">
        <v>6928</v>
      </c>
      <c r="BD119" t="s">
        <v>74</v>
      </c>
      <c r="BE119" t="s">
        <v>2506</v>
      </c>
      <c r="BF119" t="str">
        <f>HYPERLINK("http://dx.doi.org/10.1002/jgrd.50532","http://dx.doi.org/10.1002/jgrd.50532")</f>
        <v>http://dx.doi.org/10.1002/jgrd.50532</v>
      </c>
      <c r="BG119" t="s">
        <v>74</v>
      </c>
      <c r="BH119" t="s">
        <v>74</v>
      </c>
      <c r="BI119">
        <v>13</v>
      </c>
      <c r="BJ119" t="s">
        <v>305</v>
      </c>
      <c r="BK119" t="s">
        <v>102</v>
      </c>
      <c r="BL119" t="s">
        <v>305</v>
      </c>
      <c r="BM119" t="s">
        <v>2507</v>
      </c>
      <c r="BN119" t="s">
        <v>74</v>
      </c>
      <c r="BO119" t="s">
        <v>104</v>
      </c>
      <c r="BP119" t="s">
        <v>74</v>
      </c>
      <c r="BQ119" t="s">
        <v>74</v>
      </c>
      <c r="BR119" t="s">
        <v>105</v>
      </c>
      <c r="BS119" t="s">
        <v>2508</v>
      </c>
      <c r="BT119" t="str">
        <f>HYPERLINK("https%3A%2F%2Fwww.webofscience.com%2Fwos%2Fwoscc%2Ffull-record%2FWOS:000322192200004","View Full Record in Web of Science")</f>
        <v>View Full Record in Web of Science</v>
      </c>
    </row>
    <row r="120" spans="1:72" x14ac:dyDescent="0.15">
      <c r="A120" t="s">
        <v>72</v>
      </c>
      <c r="B120" t="s">
        <v>2509</v>
      </c>
      <c r="C120" t="s">
        <v>74</v>
      </c>
      <c r="D120" t="s">
        <v>74</v>
      </c>
      <c r="E120" t="s">
        <v>74</v>
      </c>
      <c r="F120" t="s">
        <v>2510</v>
      </c>
      <c r="G120" t="s">
        <v>74</v>
      </c>
      <c r="H120" t="s">
        <v>74</v>
      </c>
      <c r="I120" t="s">
        <v>2511</v>
      </c>
      <c r="J120" t="s">
        <v>2016</v>
      </c>
      <c r="K120" t="s">
        <v>74</v>
      </c>
      <c r="L120" t="s">
        <v>74</v>
      </c>
      <c r="M120" t="s">
        <v>78</v>
      </c>
      <c r="N120" t="s">
        <v>79</v>
      </c>
      <c r="O120" t="s">
        <v>74</v>
      </c>
      <c r="P120" t="s">
        <v>74</v>
      </c>
      <c r="Q120" t="s">
        <v>74</v>
      </c>
      <c r="R120" t="s">
        <v>74</v>
      </c>
      <c r="S120" t="s">
        <v>74</v>
      </c>
      <c r="T120" t="s">
        <v>2512</v>
      </c>
      <c r="U120" t="s">
        <v>2513</v>
      </c>
      <c r="V120" t="s">
        <v>2514</v>
      </c>
      <c r="W120" t="s">
        <v>2515</v>
      </c>
      <c r="X120" t="s">
        <v>2516</v>
      </c>
      <c r="Y120" t="s">
        <v>2517</v>
      </c>
      <c r="Z120" t="s">
        <v>2518</v>
      </c>
      <c r="AA120" t="s">
        <v>2519</v>
      </c>
      <c r="AB120" t="s">
        <v>2520</v>
      </c>
      <c r="AC120" t="s">
        <v>2521</v>
      </c>
      <c r="AD120" t="s">
        <v>2522</v>
      </c>
      <c r="AE120" t="s">
        <v>2523</v>
      </c>
      <c r="AF120" t="s">
        <v>74</v>
      </c>
      <c r="AG120">
        <v>42</v>
      </c>
      <c r="AH120">
        <v>19</v>
      </c>
      <c r="AI120">
        <v>22</v>
      </c>
      <c r="AJ120">
        <v>0</v>
      </c>
      <c r="AK120">
        <v>15</v>
      </c>
      <c r="AL120" t="s">
        <v>92</v>
      </c>
      <c r="AM120" t="s">
        <v>93</v>
      </c>
      <c r="AN120" t="s">
        <v>94</v>
      </c>
      <c r="AO120" t="s">
        <v>2029</v>
      </c>
      <c r="AP120" t="s">
        <v>2030</v>
      </c>
      <c r="AQ120" t="s">
        <v>74</v>
      </c>
      <c r="AR120" t="s">
        <v>2031</v>
      </c>
      <c r="AS120" t="s">
        <v>2032</v>
      </c>
      <c r="AT120" t="s">
        <v>2488</v>
      </c>
      <c r="AU120">
        <v>2013</v>
      </c>
      <c r="AV120">
        <v>118</v>
      </c>
      <c r="AW120">
        <v>13</v>
      </c>
      <c r="AX120" t="s">
        <v>74</v>
      </c>
      <c r="AY120" t="s">
        <v>74</v>
      </c>
      <c r="AZ120" t="s">
        <v>74</v>
      </c>
      <c r="BA120" t="s">
        <v>74</v>
      </c>
      <c r="BB120">
        <v>7414</v>
      </c>
      <c r="BC120">
        <v>7425</v>
      </c>
      <c r="BD120" t="s">
        <v>74</v>
      </c>
      <c r="BE120" t="s">
        <v>2524</v>
      </c>
      <c r="BF120" t="str">
        <f>HYPERLINK("http://dx.doi.org/10.1002/jgrd.50563","http://dx.doi.org/10.1002/jgrd.50563")</f>
        <v>http://dx.doi.org/10.1002/jgrd.50563</v>
      </c>
      <c r="BG120" t="s">
        <v>74</v>
      </c>
      <c r="BH120" t="s">
        <v>74</v>
      </c>
      <c r="BI120">
        <v>12</v>
      </c>
      <c r="BJ120" t="s">
        <v>305</v>
      </c>
      <c r="BK120" t="s">
        <v>102</v>
      </c>
      <c r="BL120" t="s">
        <v>305</v>
      </c>
      <c r="BM120" t="s">
        <v>2507</v>
      </c>
      <c r="BN120" t="s">
        <v>74</v>
      </c>
      <c r="BO120" t="s">
        <v>426</v>
      </c>
      <c r="BP120" t="s">
        <v>74</v>
      </c>
      <c r="BQ120" t="s">
        <v>74</v>
      </c>
      <c r="BR120" t="s">
        <v>105</v>
      </c>
      <c r="BS120" t="s">
        <v>2525</v>
      </c>
      <c r="BT120" t="str">
        <f>HYPERLINK("https%3A%2F%2Fwww.webofscience.com%2Fwos%2Fwoscc%2Ffull-record%2FWOS:000322192200037","View Full Record in Web of Science")</f>
        <v>View Full Record in Web of Science</v>
      </c>
    </row>
    <row r="121" spans="1:72" x14ac:dyDescent="0.15">
      <c r="A121" t="s">
        <v>72</v>
      </c>
      <c r="B121" t="s">
        <v>2526</v>
      </c>
      <c r="C121" t="s">
        <v>74</v>
      </c>
      <c r="D121" t="s">
        <v>74</v>
      </c>
      <c r="E121" t="s">
        <v>74</v>
      </c>
      <c r="F121" t="s">
        <v>2527</v>
      </c>
      <c r="G121" t="s">
        <v>74</v>
      </c>
      <c r="H121" t="s">
        <v>74</v>
      </c>
      <c r="I121" t="s">
        <v>2528</v>
      </c>
      <c r="J121" t="s">
        <v>2016</v>
      </c>
      <c r="K121" t="s">
        <v>74</v>
      </c>
      <c r="L121" t="s">
        <v>74</v>
      </c>
      <c r="M121" t="s">
        <v>78</v>
      </c>
      <c r="N121" t="s">
        <v>79</v>
      </c>
      <c r="O121" t="s">
        <v>74</v>
      </c>
      <c r="P121" t="s">
        <v>74</v>
      </c>
      <c r="Q121" t="s">
        <v>74</v>
      </c>
      <c r="R121" t="s">
        <v>74</v>
      </c>
      <c r="S121" t="s">
        <v>74</v>
      </c>
      <c r="T121" t="s">
        <v>2529</v>
      </c>
      <c r="U121" t="s">
        <v>2530</v>
      </c>
      <c r="V121" t="s">
        <v>2531</v>
      </c>
      <c r="W121" t="s">
        <v>2532</v>
      </c>
      <c r="X121" t="s">
        <v>2533</v>
      </c>
      <c r="Y121" t="s">
        <v>2534</v>
      </c>
      <c r="Z121" t="s">
        <v>2535</v>
      </c>
      <c r="AA121" t="s">
        <v>2536</v>
      </c>
      <c r="AB121" t="s">
        <v>2537</v>
      </c>
      <c r="AC121" t="s">
        <v>2538</v>
      </c>
      <c r="AD121" t="s">
        <v>2538</v>
      </c>
      <c r="AE121" t="s">
        <v>2539</v>
      </c>
      <c r="AF121" t="s">
        <v>74</v>
      </c>
      <c r="AG121">
        <v>41</v>
      </c>
      <c r="AH121">
        <v>102</v>
      </c>
      <c r="AI121">
        <v>105</v>
      </c>
      <c r="AJ121">
        <v>0</v>
      </c>
      <c r="AK121">
        <v>14</v>
      </c>
      <c r="AL121" t="s">
        <v>92</v>
      </c>
      <c r="AM121" t="s">
        <v>93</v>
      </c>
      <c r="AN121" t="s">
        <v>94</v>
      </c>
      <c r="AO121" t="s">
        <v>2029</v>
      </c>
      <c r="AP121" t="s">
        <v>2030</v>
      </c>
      <c r="AQ121" t="s">
        <v>74</v>
      </c>
      <c r="AR121" t="s">
        <v>2031</v>
      </c>
      <c r="AS121" t="s">
        <v>2032</v>
      </c>
      <c r="AT121" t="s">
        <v>2488</v>
      </c>
      <c r="AU121">
        <v>2013</v>
      </c>
      <c r="AV121">
        <v>118</v>
      </c>
      <c r="AW121">
        <v>13</v>
      </c>
      <c r="AX121" t="s">
        <v>74</v>
      </c>
      <c r="AY121" t="s">
        <v>74</v>
      </c>
      <c r="AZ121" t="s">
        <v>74</v>
      </c>
      <c r="BA121" t="s">
        <v>74</v>
      </c>
      <c r="BB121">
        <v>7321</v>
      </c>
      <c r="BC121">
        <v>7331</v>
      </c>
      <c r="BD121" t="s">
        <v>74</v>
      </c>
      <c r="BE121" t="s">
        <v>2540</v>
      </c>
      <c r="BF121" t="str">
        <f>HYPERLINK("http://dx.doi.org/10.1002/jgrd.50541","http://dx.doi.org/10.1002/jgrd.50541")</f>
        <v>http://dx.doi.org/10.1002/jgrd.50541</v>
      </c>
      <c r="BG121" t="s">
        <v>74</v>
      </c>
      <c r="BH121" t="s">
        <v>74</v>
      </c>
      <c r="BI121">
        <v>11</v>
      </c>
      <c r="BJ121" t="s">
        <v>305</v>
      </c>
      <c r="BK121" t="s">
        <v>102</v>
      </c>
      <c r="BL121" t="s">
        <v>305</v>
      </c>
      <c r="BM121" t="s">
        <v>2507</v>
      </c>
      <c r="BN121" t="s">
        <v>74</v>
      </c>
      <c r="BO121" t="s">
        <v>74</v>
      </c>
      <c r="BP121" t="s">
        <v>74</v>
      </c>
      <c r="BQ121" t="s">
        <v>74</v>
      </c>
      <c r="BR121" t="s">
        <v>105</v>
      </c>
      <c r="BS121" t="s">
        <v>2541</v>
      </c>
      <c r="BT121" t="str">
        <f>HYPERLINK("https%3A%2F%2Fwww.webofscience.com%2Fwos%2Fwoscc%2Ffull-record%2FWOS:000322192200028","View Full Record in Web of Science")</f>
        <v>View Full Record in Web of Science</v>
      </c>
    </row>
    <row r="122" spans="1:72" x14ac:dyDescent="0.15">
      <c r="A122" t="s">
        <v>72</v>
      </c>
      <c r="B122" t="s">
        <v>2542</v>
      </c>
      <c r="C122" t="s">
        <v>74</v>
      </c>
      <c r="D122" t="s">
        <v>74</v>
      </c>
      <c r="E122" t="s">
        <v>74</v>
      </c>
      <c r="F122" t="s">
        <v>2543</v>
      </c>
      <c r="G122" t="s">
        <v>74</v>
      </c>
      <c r="H122" t="s">
        <v>74</v>
      </c>
      <c r="I122" t="s">
        <v>2544</v>
      </c>
      <c r="J122" t="s">
        <v>2343</v>
      </c>
      <c r="K122" t="s">
        <v>74</v>
      </c>
      <c r="L122" t="s">
        <v>74</v>
      </c>
      <c r="M122" t="s">
        <v>78</v>
      </c>
      <c r="N122" t="s">
        <v>79</v>
      </c>
      <c r="O122" t="s">
        <v>74</v>
      </c>
      <c r="P122" t="s">
        <v>74</v>
      </c>
      <c r="Q122" t="s">
        <v>74</v>
      </c>
      <c r="R122" t="s">
        <v>74</v>
      </c>
      <c r="S122" t="s">
        <v>74</v>
      </c>
      <c r="T122" t="s">
        <v>74</v>
      </c>
      <c r="U122" t="s">
        <v>2545</v>
      </c>
      <c r="V122" t="s">
        <v>2546</v>
      </c>
      <c r="W122" t="s">
        <v>2547</v>
      </c>
      <c r="X122" t="s">
        <v>2548</v>
      </c>
      <c r="Y122" t="s">
        <v>2549</v>
      </c>
      <c r="Z122" t="s">
        <v>2550</v>
      </c>
      <c r="AA122" t="s">
        <v>2551</v>
      </c>
      <c r="AB122" t="s">
        <v>2552</v>
      </c>
      <c r="AC122" t="s">
        <v>2553</v>
      </c>
      <c r="AD122" t="s">
        <v>2554</v>
      </c>
      <c r="AE122" t="s">
        <v>2555</v>
      </c>
      <c r="AF122" t="s">
        <v>74</v>
      </c>
      <c r="AG122">
        <v>53</v>
      </c>
      <c r="AH122">
        <v>17</v>
      </c>
      <c r="AI122">
        <v>18</v>
      </c>
      <c r="AJ122">
        <v>0</v>
      </c>
      <c r="AK122">
        <v>12</v>
      </c>
      <c r="AL122" t="s">
        <v>2355</v>
      </c>
      <c r="AM122" t="s">
        <v>2356</v>
      </c>
      <c r="AN122" t="s">
        <v>2357</v>
      </c>
      <c r="AO122" t="s">
        <v>2358</v>
      </c>
      <c r="AP122" t="s">
        <v>74</v>
      </c>
      <c r="AQ122" t="s">
        <v>74</v>
      </c>
      <c r="AR122" t="s">
        <v>2343</v>
      </c>
      <c r="AS122" t="s">
        <v>2359</v>
      </c>
      <c r="AT122" t="s">
        <v>2488</v>
      </c>
      <c r="AU122">
        <v>2013</v>
      </c>
      <c r="AV122">
        <v>8</v>
      </c>
      <c r="AW122">
        <v>7</v>
      </c>
      <c r="AX122" t="s">
        <v>74</v>
      </c>
      <c r="AY122" t="s">
        <v>74</v>
      </c>
      <c r="AZ122" t="s">
        <v>74</v>
      </c>
      <c r="BA122" t="s">
        <v>74</v>
      </c>
      <c r="BB122" t="s">
        <v>74</v>
      </c>
      <c r="BC122" t="s">
        <v>74</v>
      </c>
      <c r="BD122" t="s">
        <v>2556</v>
      </c>
      <c r="BE122" t="s">
        <v>2557</v>
      </c>
      <c r="BF122" t="str">
        <f>HYPERLINK("http://dx.doi.org/10.1371/journal.pone.0068365","http://dx.doi.org/10.1371/journal.pone.0068365")</f>
        <v>http://dx.doi.org/10.1371/journal.pone.0068365</v>
      </c>
      <c r="BG122" t="s">
        <v>74</v>
      </c>
      <c r="BH122" t="s">
        <v>74</v>
      </c>
      <c r="BI122">
        <v>10</v>
      </c>
      <c r="BJ122" t="s">
        <v>1880</v>
      </c>
      <c r="BK122" t="s">
        <v>102</v>
      </c>
      <c r="BL122" t="s">
        <v>1881</v>
      </c>
      <c r="BM122" t="s">
        <v>2558</v>
      </c>
      <c r="BN122">
        <v>23874599</v>
      </c>
      <c r="BO122" t="s">
        <v>2559</v>
      </c>
      <c r="BP122" t="s">
        <v>74</v>
      </c>
      <c r="BQ122" t="s">
        <v>74</v>
      </c>
      <c r="BR122" t="s">
        <v>105</v>
      </c>
      <c r="BS122" t="s">
        <v>2560</v>
      </c>
      <c r="BT122" t="str">
        <f>HYPERLINK("https%3A%2F%2Fwww.webofscience.com%2Fwos%2Fwoscc%2Ffull-record%2FWOS:000322064300026","View Full Record in Web of Science")</f>
        <v>View Full Record in Web of Science</v>
      </c>
    </row>
    <row r="123" spans="1:72" x14ac:dyDescent="0.15">
      <c r="A123" t="s">
        <v>72</v>
      </c>
      <c r="B123" t="s">
        <v>2561</v>
      </c>
      <c r="C123" t="s">
        <v>74</v>
      </c>
      <c r="D123" t="s">
        <v>74</v>
      </c>
      <c r="E123" t="s">
        <v>74</v>
      </c>
      <c r="F123" t="s">
        <v>2562</v>
      </c>
      <c r="G123" t="s">
        <v>74</v>
      </c>
      <c r="H123" t="s">
        <v>74</v>
      </c>
      <c r="I123" t="s">
        <v>2563</v>
      </c>
      <c r="J123" t="s">
        <v>2564</v>
      </c>
      <c r="K123" t="s">
        <v>74</v>
      </c>
      <c r="L123" t="s">
        <v>74</v>
      </c>
      <c r="M123" t="s">
        <v>78</v>
      </c>
      <c r="N123" t="s">
        <v>79</v>
      </c>
      <c r="O123" t="s">
        <v>74</v>
      </c>
      <c r="P123" t="s">
        <v>74</v>
      </c>
      <c r="Q123" t="s">
        <v>74</v>
      </c>
      <c r="R123" t="s">
        <v>74</v>
      </c>
      <c r="S123" t="s">
        <v>74</v>
      </c>
      <c r="T123" t="s">
        <v>2565</v>
      </c>
      <c r="U123" t="s">
        <v>2566</v>
      </c>
      <c r="V123" t="s">
        <v>2567</v>
      </c>
      <c r="W123" t="s">
        <v>2568</v>
      </c>
      <c r="X123" t="s">
        <v>2569</v>
      </c>
      <c r="Y123" t="s">
        <v>2570</v>
      </c>
      <c r="Z123" t="s">
        <v>2571</v>
      </c>
      <c r="AA123" t="s">
        <v>74</v>
      </c>
      <c r="AB123" t="s">
        <v>74</v>
      </c>
      <c r="AC123" t="s">
        <v>2572</v>
      </c>
      <c r="AD123" t="s">
        <v>2573</v>
      </c>
      <c r="AE123" t="s">
        <v>2574</v>
      </c>
      <c r="AF123" t="s">
        <v>74</v>
      </c>
      <c r="AG123">
        <v>20</v>
      </c>
      <c r="AH123">
        <v>5</v>
      </c>
      <c r="AI123">
        <v>5</v>
      </c>
      <c r="AJ123">
        <v>3</v>
      </c>
      <c r="AK123">
        <v>14</v>
      </c>
      <c r="AL123" t="s">
        <v>2575</v>
      </c>
      <c r="AM123" t="s">
        <v>2576</v>
      </c>
      <c r="AN123" t="s">
        <v>2577</v>
      </c>
      <c r="AO123" t="s">
        <v>2578</v>
      </c>
      <c r="AP123" t="s">
        <v>74</v>
      </c>
      <c r="AQ123" t="s">
        <v>74</v>
      </c>
      <c r="AR123" t="s">
        <v>2579</v>
      </c>
      <c r="AS123" t="s">
        <v>2580</v>
      </c>
      <c r="AT123" t="s">
        <v>2581</v>
      </c>
      <c r="AU123">
        <v>2013</v>
      </c>
      <c r="AV123">
        <v>16</v>
      </c>
      <c r="AW123">
        <v>4</v>
      </c>
      <c r="AX123" t="s">
        <v>74</v>
      </c>
      <c r="AY123" t="s">
        <v>74</v>
      </c>
      <c r="AZ123" t="s">
        <v>74</v>
      </c>
      <c r="BA123" t="s">
        <v>74</v>
      </c>
      <c r="BB123" t="s">
        <v>74</v>
      </c>
      <c r="BC123" t="s">
        <v>74</v>
      </c>
      <c r="BD123">
        <v>12</v>
      </c>
      <c r="BE123" t="s">
        <v>2582</v>
      </c>
      <c r="BF123" t="str">
        <f>HYPERLINK("http://dx.doi.org/10.2225/vol16-issue4-fulltext-12","http://dx.doi.org/10.2225/vol16-issue4-fulltext-12")</f>
        <v>http://dx.doi.org/10.2225/vol16-issue4-fulltext-12</v>
      </c>
      <c r="BG123" t="s">
        <v>74</v>
      </c>
      <c r="BH123" t="s">
        <v>74</v>
      </c>
      <c r="BI123">
        <v>11</v>
      </c>
      <c r="BJ123" t="s">
        <v>2583</v>
      </c>
      <c r="BK123" t="s">
        <v>102</v>
      </c>
      <c r="BL123" t="s">
        <v>2583</v>
      </c>
      <c r="BM123" t="s">
        <v>2584</v>
      </c>
      <c r="BN123" t="s">
        <v>74</v>
      </c>
      <c r="BO123" t="s">
        <v>2585</v>
      </c>
      <c r="BP123" t="s">
        <v>74</v>
      </c>
      <c r="BQ123" t="s">
        <v>74</v>
      </c>
      <c r="BR123" t="s">
        <v>105</v>
      </c>
      <c r="BS123" t="s">
        <v>2586</v>
      </c>
      <c r="BT123" t="str">
        <f>HYPERLINK("https%3A%2F%2Fwww.webofscience.com%2Fwos%2Fwoscc%2Ffull-record%2FWOS:000328339600009","View Full Record in Web of Science")</f>
        <v>View Full Record in Web of Science</v>
      </c>
    </row>
    <row r="124" spans="1:72" x14ac:dyDescent="0.15">
      <c r="A124" t="s">
        <v>72</v>
      </c>
      <c r="B124" t="s">
        <v>2587</v>
      </c>
      <c r="C124" t="s">
        <v>74</v>
      </c>
      <c r="D124" t="s">
        <v>74</v>
      </c>
      <c r="E124" t="s">
        <v>74</v>
      </c>
      <c r="F124" t="s">
        <v>2588</v>
      </c>
      <c r="G124" t="s">
        <v>74</v>
      </c>
      <c r="H124" t="s">
        <v>74</v>
      </c>
      <c r="I124" t="s">
        <v>2589</v>
      </c>
      <c r="J124" t="s">
        <v>2590</v>
      </c>
      <c r="K124" t="s">
        <v>74</v>
      </c>
      <c r="L124" t="s">
        <v>74</v>
      </c>
      <c r="M124" t="s">
        <v>78</v>
      </c>
      <c r="N124" t="s">
        <v>79</v>
      </c>
      <c r="O124" t="s">
        <v>74</v>
      </c>
      <c r="P124" t="s">
        <v>74</v>
      </c>
      <c r="Q124" t="s">
        <v>74</v>
      </c>
      <c r="R124" t="s">
        <v>74</v>
      </c>
      <c r="S124" t="s">
        <v>74</v>
      </c>
      <c r="T124" t="s">
        <v>2591</v>
      </c>
      <c r="U124" t="s">
        <v>2592</v>
      </c>
      <c r="V124" t="s">
        <v>2593</v>
      </c>
      <c r="W124" t="s">
        <v>2594</v>
      </c>
      <c r="X124" t="s">
        <v>2595</v>
      </c>
      <c r="Y124" t="s">
        <v>2596</v>
      </c>
      <c r="Z124" t="s">
        <v>2597</v>
      </c>
      <c r="AA124" t="s">
        <v>2598</v>
      </c>
      <c r="AB124" t="s">
        <v>2599</v>
      </c>
      <c r="AC124" t="s">
        <v>2600</v>
      </c>
      <c r="AD124" t="s">
        <v>2601</v>
      </c>
      <c r="AE124" t="s">
        <v>2602</v>
      </c>
      <c r="AF124" t="s">
        <v>74</v>
      </c>
      <c r="AG124">
        <v>43</v>
      </c>
      <c r="AH124">
        <v>8</v>
      </c>
      <c r="AI124">
        <v>8</v>
      </c>
      <c r="AJ124">
        <v>0</v>
      </c>
      <c r="AK124">
        <v>18</v>
      </c>
      <c r="AL124" t="s">
        <v>506</v>
      </c>
      <c r="AM124" t="s">
        <v>442</v>
      </c>
      <c r="AN124" t="s">
        <v>507</v>
      </c>
      <c r="AO124" t="s">
        <v>2603</v>
      </c>
      <c r="AP124" t="s">
        <v>2604</v>
      </c>
      <c r="AQ124" t="s">
        <v>74</v>
      </c>
      <c r="AR124" t="s">
        <v>2605</v>
      </c>
      <c r="AS124" t="s">
        <v>2606</v>
      </c>
      <c r="AT124" t="s">
        <v>2581</v>
      </c>
      <c r="AU124">
        <v>2013</v>
      </c>
      <c r="AV124">
        <v>63</v>
      </c>
      <c r="AW124" t="s">
        <v>74</v>
      </c>
      <c r="AX124" t="s">
        <v>74</v>
      </c>
      <c r="AY124" t="s">
        <v>74</v>
      </c>
      <c r="AZ124" t="s">
        <v>74</v>
      </c>
      <c r="BA124" t="s">
        <v>74</v>
      </c>
      <c r="BB124">
        <v>34</v>
      </c>
      <c r="BC124">
        <v>42</v>
      </c>
      <c r="BD124" t="s">
        <v>74</v>
      </c>
      <c r="BE124" t="s">
        <v>2607</v>
      </c>
      <c r="BF124" t="str">
        <f>HYPERLINK("http://dx.doi.org/10.1016/j.csr.2013.04.040","http://dx.doi.org/10.1016/j.csr.2013.04.040")</f>
        <v>http://dx.doi.org/10.1016/j.csr.2013.04.040</v>
      </c>
      <c r="BG124" t="s">
        <v>74</v>
      </c>
      <c r="BH124" t="s">
        <v>74</v>
      </c>
      <c r="BI124">
        <v>9</v>
      </c>
      <c r="BJ124" t="s">
        <v>327</v>
      </c>
      <c r="BK124" t="s">
        <v>102</v>
      </c>
      <c r="BL124" t="s">
        <v>327</v>
      </c>
      <c r="BM124" t="s">
        <v>2608</v>
      </c>
      <c r="BN124" t="s">
        <v>74</v>
      </c>
      <c r="BO124" t="s">
        <v>2609</v>
      </c>
      <c r="BP124" t="s">
        <v>74</v>
      </c>
      <c r="BQ124" t="s">
        <v>74</v>
      </c>
      <c r="BR124" t="s">
        <v>105</v>
      </c>
      <c r="BS124" t="s">
        <v>2610</v>
      </c>
      <c r="BT124" t="str">
        <f>HYPERLINK("https%3A%2F%2Fwww.webofscience.com%2Fwos%2Fwoscc%2Ffull-record%2FWOS:000321420500004","View Full Record in Web of Science")</f>
        <v>View Full Record in Web of Science</v>
      </c>
    </row>
    <row r="125" spans="1:72" x14ac:dyDescent="0.15">
      <c r="A125" t="s">
        <v>72</v>
      </c>
      <c r="B125" t="s">
        <v>2611</v>
      </c>
      <c r="C125" t="s">
        <v>74</v>
      </c>
      <c r="D125" t="s">
        <v>74</v>
      </c>
      <c r="E125" t="s">
        <v>74</v>
      </c>
      <c r="F125" t="s">
        <v>2612</v>
      </c>
      <c r="G125" t="s">
        <v>74</v>
      </c>
      <c r="H125" t="s">
        <v>74</v>
      </c>
      <c r="I125" t="s">
        <v>2613</v>
      </c>
      <c r="J125" t="s">
        <v>1366</v>
      </c>
      <c r="K125" t="s">
        <v>74</v>
      </c>
      <c r="L125" t="s">
        <v>74</v>
      </c>
      <c r="M125" t="s">
        <v>78</v>
      </c>
      <c r="N125" t="s">
        <v>2614</v>
      </c>
      <c r="O125" t="s">
        <v>74</v>
      </c>
      <c r="P125" t="s">
        <v>74</v>
      </c>
      <c r="Q125" t="s">
        <v>74</v>
      </c>
      <c r="R125" t="s">
        <v>74</v>
      </c>
      <c r="S125" t="s">
        <v>74</v>
      </c>
      <c r="T125" t="s">
        <v>74</v>
      </c>
      <c r="U125" t="s">
        <v>74</v>
      </c>
      <c r="V125" t="s">
        <v>74</v>
      </c>
      <c r="W125" t="s">
        <v>2615</v>
      </c>
      <c r="X125" t="s">
        <v>2616</v>
      </c>
      <c r="Y125" t="s">
        <v>2617</v>
      </c>
      <c r="Z125" t="s">
        <v>2618</v>
      </c>
      <c r="AA125" t="s">
        <v>2619</v>
      </c>
      <c r="AB125" t="s">
        <v>2620</v>
      </c>
      <c r="AC125" t="s">
        <v>2621</v>
      </c>
      <c r="AD125" t="s">
        <v>1304</v>
      </c>
      <c r="AE125" t="s">
        <v>74</v>
      </c>
      <c r="AF125" t="s">
        <v>74</v>
      </c>
      <c r="AG125">
        <v>1</v>
      </c>
      <c r="AH125">
        <v>0</v>
      </c>
      <c r="AI125">
        <v>0</v>
      </c>
      <c r="AJ125">
        <v>0</v>
      </c>
      <c r="AK125">
        <v>7</v>
      </c>
      <c r="AL125" t="s">
        <v>154</v>
      </c>
      <c r="AM125" t="s">
        <v>155</v>
      </c>
      <c r="AN125" t="s">
        <v>156</v>
      </c>
      <c r="AO125" t="s">
        <v>1379</v>
      </c>
      <c r="AP125" t="s">
        <v>74</v>
      </c>
      <c r="AQ125" t="s">
        <v>74</v>
      </c>
      <c r="AR125" t="s">
        <v>1381</v>
      </c>
      <c r="AS125" t="s">
        <v>1382</v>
      </c>
      <c r="AT125" t="s">
        <v>2581</v>
      </c>
      <c r="AU125">
        <v>2013</v>
      </c>
      <c r="AV125">
        <v>374</v>
      </c>
      <c r="AW125" t="s">
        <v>74</v>
      </c>
      <c r="AX125" t="s">
        <v>74</v>
      </c>
      <c r="AY125" t="s">
        <v>74</v>
      </c>
      <c r="AZ125" t="s">
        <v>74</v>
      </c>
      <c r="BA125" t="s">
        <v>74</v>
      </c>
      <c r="BB125">
        <v>260</v>
      </c>
      <c r="BC125">
        <v>260</v>
      </c>
      <c r="BD125" t="s">
        <v>74</v>
      </c>
      <c r="BE125" t="s">
        <v>2622</v>
      </c>
      <c r="BF125" t="str">
        <f>HYPERLINK("http://dx.doi.org/10.1016/j.epsl.2013.07.005","http://dx.doi.org/10.1016/j.epsl.2013.07.005")</f>
        <v>http://dx.doi.org/10.1016/j.epsl.2013.07.005</v>
      </c>
      <c r="BG125" t="s">
        <v>74</v>
      </c>
      <c r="BH125" t="s">
        <v>74</v>
      </c>
      <c r="BI125">
        <v>1</v>
      </c>
      <c r="BJ125" t="s">
        <v>766</v>
      </c>
      <c r="BK125" t="s">
        <v>102</v>
      </c>
      <c r="BL125" t="s">
        <v>766</v>
      </c>
      <c r="BM125" t="s">
        <v>2623</v>
      </c>
      <c r="BN125" t="s">
        <v>74</v>
      </c>
      <c r="BO125" t="s">
        <v>74</v>
      </c>
      <c r="BP125" t="s">
        <v>74</v>
      </c>
      <c r="BQ125" t="s">
        <v>74</v>
      </c>
      <c r="BR125" t="s">
        <v>105</v>
      </c>
      <c r="BS125" t="s">
        <v>2624</v>
      </c>
      <c r="BT125" t="str">
        <f>HYPERLINK("https%3A%2F%2Fwww.webofscience.com%2Fwos%2Fwoscc%2Ffull-record%2FWOS:000324663700028","View Full Record in Web of Science")</f>
        <v>View Full Record in Web of Science</v>
      </c>
    </row>
    <row r="126" spans="1:72" x14ac:dyDescent="0.15">
      <c r="A126" t="s">
        <v>72</v>
      </c>
      <c r="B126" t="s">
        <v>2625</v>
      </c>
      <c r="C126" t="s">
        <v>74</v>
      </c>
      <c r="D126" t="s">
        <v>74</v>
      </c>
      <c r="E126" t="s">
        <v>74</v>
      </c>
      <c r="F126" t="s">
        <v>2626</v>
      </c>
      <c r="G126" t="s">
        <v>74</v>
      </c>
      <c r="H126" t="s">
        <v>74</v>
      </c>
      <c r="I126" t="s">
        <v>2627</v>
      </c>
      <c r="J126" t="s">
        <v>2368</v>
      </c>
      <c r="K126" t="s">
        <v>74</v>
      </c>
      <c r="L126" t="s">
        <v>74</v>
      </c>
      <c r="M126" t="s">
        <v>78</v>
      </c>
      <c r="N126" t="s">
        <v>79</v>
      </c>
      <c r="O126" t="s">
        <v>74</v>
      </c>
      <c r="P126" t="s">
        <v>74</v>
      </c>
      <c r="Q126" t="s">
        <v>74</v>
      </c>
      <c r="R126" t="s">
        <v>74</v>
      </c>
      <c r="S126" t="s">
        <v>74</v>
      </c>
      <c r="T126" t="s">
        <v>2628</v>
      </c>
      <c r="U126" t="s">
        <v>2629</v>
      </c>
      <c r="V126" t="s">
        <v>2630</v>
      </c>
      <c r="W126" t="s">
        <v>2631</v>
      </c>
      <c r="X126" t="s">
        <v>2632</v>
      </c>
      <c r="Y126" t="s">
        <v>2633</v>
      </c>
      <c r="Z126" t="s">
        <v>2634</v>
      </c>
      <c r="AA126" t="s">
        <v>2635</v>
      </c>
      <c r="AB126" t="s">
        <v>2636</v>
      </c>
      <c r="AC126" t="s">
        <v>2637</v>
      </c>
      <c r="AD126" t="s">
        <v>2638</v>
      </c>
      <c r="AE126" t="s">
        <v>2639</v>
      </c>
      <c r="AF126" t="s">
        <v>74</v>
      </c>
      <c r="AG126">
        <v>49</v>
      </c>
      <c r="AH126">
        <v>40</v>
      </c>
      <c r="AI126">
        <v>42</v>
      </c>
      <c r="AJ126">
        <v>0</v>
      </c>
      <c r="AK126">
        <v>12</v>
      </c>
      <c r="AL126" t="s">
        <v>2381</v>
      </c>
      <c r="AM126" t="s">
        <v>2382</v>
      </c>
      <c r="AN126" t="s">
        <v>2383</v>
      </c>
      <c r="AO126" t="s">
        <v>2384</v>
      </c>
      <c r="AP126" t="s">
        <v>2385</v>
      </c>
      <c r="AQ126" t="s">
        <v>74</v>
      </c>
      <c r="AR126" t="s">
        <v>2386</v>
      </c>
      <c r="AS126" t="s">
        <v>2387</v>
      </c>
      <c r="AT126" t="s">
        <v>2640</v>
      </c>
      <c r="AU126">
        <v>2013</v>
      </c>
      <c r="AV126">
        <v>771</v>
      </c>
      <c r="AW126">
        <v>2</v>
      </c>
      <c r="AX126" t="s">
        <v>74</v>
      </c>
      <c r="AY126" t="s">
        <v>74</v>
      </c>
      <c r="AZ126" t="s">
        <v>74</v>
      </c>
      <c r="BA126" t="s">
        <v>74</v>
      </c>
      <c r="BB126" t="s">
        <v>74</v>
      </c>
      <c r="BC126" t="s">
        <v>74</v>
      </c>
      <c r="BD126">
        <v>92</v>
      </c>
      <c r="BE126" t="s">
        <v>2641</v>
      </c>
      <c r="BF126" t="str">
        <f>HYPERLINK("http://dx.doi.org/10.1088/0004-637X/771/2/92","http://dx.doi.org/10.1088/0004-637X/771/2/92")</f>
        <v>http://dx.doi.org/10.1088/0004-637X/771/2/92</v>
      </c>
      <c r="BG126" t="s">
        <v>74</v>
      </c>
      <c r="BH126" t="s">
        <v>74</v>
      </c>
      <c r="BI126">
        <v>13</v>
      </c>
      <c r="BJ126" t="s">
        <v>101</v>
      </c>
      <c r="BK126" t="s">
        <v>102</v>
      </c>
      <c r="BL126" t="s">
        <v>101</v>
      </c>
      <c r="BM126" t="s">
        <v>2642</v>
      </c>
      <c r="BN126" t="s">
        <v>74</v>
      </c>
      <c r="BO126" t="s">
        <v>104</v>
      </c>
      <c r="BP126" t="s">
        <v>74</v>
      </c>
      <c r="BQ126" t="s">
        <v>74</v>
      </c>
      <c r="BR126" t="s">
        <v>105</v>
      </c>
      <c r="BS126" t="s">
        <v>2643</v>
      </c>
      <c r="BT126" t="str">
        <f>HYPERLINK("https%3A%2F%2Fwww.webofscience.com%2Fwos%2Fwoscc%2Ffull-record%2FWOS:000321340700017","View Full Record in Web of Science")</f>
        <v>View Full Record in Web of Science</v>
      </c>
    </row>
    <row r="127" spans="1:72" x14ac:dyDescent="0.15">
      <c r="A127" t="s">
        <v>72</v>
      </c>
      <c r="B127" t="s">
        <v>2644</v>
      </c>
      <c r="C127" t="s">
        <v>74</v>
      </c>
      <c r="D127" t="s">
        <v>74</v>
      </c>
      <c r="E127" t="s">
        <v>74</v>
      </c>
      <c r="F127" t="s">
        <v>2645</v>
      </c>
      <c r="G127" t="s">
        <v>74</v>
      </c>
      <c r="H127" t="s">
        <v>74</v>
      </c>
      <c r="I127" t="s">
        <v>2646</v>
      </c>
      <c r="J127" t="s">
        <v>2368</v>
      </c>
      <c r="K127" t="s">
        <v>74</v>
      </c>
      <c r="L127" t="s">
        <v>74</v>
      </c>
      <c r="M127" t="s">
        <v>78</v>
      </c>
      <c r="N127" t="s">
        <v>79</v>
      </c>
      <c r="O127" t="s">
        <v>74</v>
      </c>
      <c r="P127" t="s">
        <v>74</v>
      </c>
      <c r="Q127" t="s">
        <v>74</v>
      </c>
      <c r="R127" t="s">
        <v>74</v>
      </c>
      <c r="S127" t="s">
        <v>74</v>
      </c>
      <c r="T127" t="s">
        <v>2647</v>
      </c>
      <c r="U127" t="s">
        <v>2648</v>
      </c>
      <c r="V127" t="s">
        <v>2649</v>
      </c>
      <c r="W127" t="s">
        <v>2650</v>
      </c>
      <c r="X127" t="s">
        <v>2651</v>
      </c>
      <c r="Y127" t="s">
        <v>2652</v>
      </c>
      <c r="Z127" t="s">
        <v>2653</v>
      </c>
      <c r="AA127" t="s">
        <v>2654</v>
      </c>
      <c r="AB127" t="s">
        <v>2655</v>
      </c>
      <c r="AC127" t="s">
        <v>2656</v>
      </c>
      <c r="AD127" t="s">
        <v>2657</v>
      </c>
      <c r="AE127" t="s">
        <v>2658</v>
      </c>
      <c r="AF127" t="s">
        <v>74</v>
      </c>
      <c r="AG127">
        <v>44</v>
      </c>
      <c r="AH127">
        <v>93</v>
      </c>
      <c r="AI127">
        <v>107</v>
      </c>
      <c r="AJ127">
        <v>0</v>
      </c>
      <c r="AK127">
        <v>5</v>
      </c>
      <c r="AL127" t="s">
        <v>2381</v>
      </c>
      <c r="AM127" t="s">
        <v>2382</v>
      </c>
      <c r="AN127" t="s">
        <v>2383</v>
      </c>
      <c r="AO127" t="s">
        <v>2384</v>
      </c>
      <c r="AP127" t="s">
        <v>74</v>
      </c>
      <c r="AQ127" t="s">
        <v>74</v>
      </c>
      <c r="AR127" t="s">
        <v>2386</v>
      </c>
      <c r="AS127" t="s">
        <v>2387</v>
      </c>
      <c r="AT127" t="s">
        <v>2640</v>
      </c>
      <c r="AU127">
        <v>2013</v>
      </c>
      <c r="AV127">
        <v>771</v>
      </c>
      <c r="AW127">
        <v>2</v>
      </c>
      <c r="AX127" t="s">
        <v>74</v>
      </c>
      <c r="AY127" t="s">
        <v>74</v>
      </c>
      <c r="AZ127" t="s">
        <v>74</v>
      </c>
      <c r="BA127" t="s">
        <v>74</v>
      </c>
      <c r="BB127" t="s">
        <v>74</v>
      </c>
      <c r="BC127" t="s">
        <v>74</v>
      </c>
      <c r="BD127">
        <v>86</v>
      </c>
      <c r="BE127" t="s">
        <v>2659</v>
      </c>
      <c r="BF127" t="str">
        <f>HYPERLINK("http://dx.doi.org/10.1088/0004-637X/771/2/86","http://dx.doi.org/10.1088/0004-637X/771/2/86")</f>
        <v>http://dx.doi.org/10.1088/0004-637X/771/2/86</v>
      </c>
      <c r="BG127" t="s">
        <v>74</v>
      </c>
      <c r="BH127" t="s">
        <v>74</v>
      </c>
      <c r="BI127">
        <v>8</v>
      </c>
      <c r="BJ127" t="s">
        <v>101</v>
      </c>
      <c r="BK127" t="s">
        <v>102</v>
      </c>
      <c r="BL127" t="s">
        <v>101</v>
      </c>
      <c r="BM127" t="s">
        <v>2642</v>
      </c>
      <c r="BN127" t="s">
        <v>74</v>
      </c>
      <c r="BO127" t="s">
        <v>577</v>
      </c>
      <c r="BP127" t="s">
        <v>74</v>
      </c>
      <c r="BQ127" t="s">
        <v>74</v>
      </c>
      <c r="BR127" t="s">
        <v>105</v>
      </c>
      <c r="BS127" t="s">
        <v>2660</v>
      </c>
      <c r="BT127" t="str">
        <f>HYPERLINK("https%3A%2F%2Fwww.webofscience.com%2Fwos%2Fwoscc%2Ffull-record%2FWOS:000321340700011","View Full Record in Web of Science")</f>
        <v>View Full Record in Web of Science</v>
      </c>
    </row>
    <row r="128" spans="1:72" x14ac:dyDescent="0.15">
      <c r="A128" t="s">
        <v>72</v>
      </c>
      <c r="B128" t="s">
        <v>2661</v>
      </c>
      <c r="C128" t="s">
        <v>74</v>
      </c>
      <c r="D128" t="s">
        <v>74</v>
      </c>
      <c r="E128" t="s">
        <v>74</v>
      </c>
      <c r="F128" t="s">
        <v>2662</v>
      </c>
      <c r="G128" t="s">
        <v>74</v>
      </c>
      <c r="H128" t="s">
        <v>74</v>
      </c>
      <c r="I128" t="s">
        <v>2663</v>
      </c>
      <c r="J128" t="s">
        <v>2664</v>
      </c>
      <c r="K128" t="s">
        <v>74</v>
      </c>
      <c r="L128" t="s">
        <v>74</v>
      </c>
      <c r="M128" t="s">
        <v>78</v>
      </c>
      <c r="N128" t="s">
        <v>79</v>
      </c>
      <c r="O128" t="s">
        <v>74</v>
      </c>
      <c r="P128" t="s">
        <v>74</v>
      </c>
      <c r="Q128" t="s">
        <v>74</v>
      </c>
      <c r="R128" t="s">
        <v>74</v>
      </c>
      <c r="S128" t="s">
        <v>74</v>
      </c>
      <c r="T128" t="s">
        <v>2665</v>
      </c>
      <c r="U128" t="s">
        <v>2666</v>
      </c>
      <c r="V128" t="s">
        <v>2667</v>
      </c>
      <c r="W128" t="s">
        <v>2668</v>
      </c>
      <c r="X128" t="s">
        <v>2669</v>
      </c>
      <c r="Y128" t="s">
        <v>2670</v>
      </c>
      <c r="Z128" t="s">
        <v>74</v>
      </c>
      <c r="AA128" t="s">
        <v>74</v>
      </c>
      <c r="AB128" t="s">
        <v>74</v>
      </c>
      <c r="AC128" t="s">
        <v>2671</v>
      </c>
      <c r="AD128" t="s">
        <v>2672</v>
      </c>
      <c r="AE128" t="s">
        <v>2673</v>
      </c>
      <c r="AF128" t="s">
        <v>74</v>
      </c>
      <c r="AG128">
        <v>98</v>
      </c>
      <c r="AH128">
        <v>23</v>
      </c>
      <c r="AI128">
        <v>23</v>
      </c>
      <c r="AJ128">
        <v>2</v>
      </c>
      <c r="AK128">
        <v>141</v>
      </c>
      <c r="AL128" t="s">
        <v>2674</v>
      </c>
      <c r="AM128" t="s">
        <v>2675</v>
      </c>
      <c r="AN128" t="s">
        <v>2676</v>
      </c>
      <c r="AO128" t="s">
        <v>2677</v>
      </c>
      <c r="AP128" t="s">
        <v>2678</v>
      </c>
      <c r="AQ128" t="s">
        <v>74</v>
      </c>
      <c r="AR128" t="s">
        <v>2679</v>
      </c>
      <c r="AS128" t="s">
        <v>2680</v>
      </c>
      <c r="AT128" t="s">
        <v>2640</v>
      </c>
      <c r="AU128">
        <v>2013</v>
      </c>
      <c r="AV128">
        <v>27</v>
      </c>
      <c r="AW128">
        <v>17</v>
      </c>
      <c r="AX128" t="s">
        <v>74</v>
      </c>
      <c r="AY128" t="s">
        <v>74</v>
      </c>
      <c r="AZ128" t="s">
        <v>74</v>
      </c>
      <c r="BA128" t="s">
        <v>74</v>
      </c>
      <c r="BB128" t="s">
        <v>74</v>
      </c>
      <c r="BC128" t="s">
        <v>74</v>
      </c>
      <c r="BD128">
        <v>1350073</v>
      </c>
      <c r="BE128" t="s">
        <v>2681</v>
      </c>
      <c r="BF128" t="str">
        <f>HYPERLINK("http://dx.doi.org/10.1142/S0217979213500732","http://dx.doi.org/10.1142/S0217979213500732")</f>
        <v>http://dx.doi.org/10.1142/S0217979213500732</v>
      </c>
      <c r="BG128" t="s">
        <v>74</v>
      </c>
      <c r="BH128" t="s">
        <v>74</v>
      </c>
      <c r="BI128">
        <v>38</v>
      </c>
      <c r="BJ128" t="s">
        <v>2682</v>
      </c>
      <c r="BK128" t="s">
        <v>102</v>
      </c>
      <c r="BL128" t="s">
        <v>2683</v>
      </c>
      <c r="BM128" t="s">
        <v>2684</v>
      </c>
      <c r="BN128" t="s">
        <v>74</v>
      </c>
      <c r="BO128" t="s">
        <v>1014</v>
      </c>
      <c r="BP128" t="s">
        <v>74</v>
      </c>
      <c r="BQ128" t="s">
        <v>74</v>
      </c>
      <c r="BR128" t="s">
        <v>105</v>
      </c>
      <c r="BS128" t="s">
        <v>2685</v>
      </c>
      <c r="BT128" t="str">
        <f>HYPERLINK("https%3A%2F%2Fwww.webofscience.com%2Fwos%2Fwoscc%2Ffull-record%2FWOS:000321429400003","View Full Record in Web of Science")</f>
        <v>View Full Record in Web of Science</v>
      </c>
    </row>
    <row r="129" spans="1:72" x14ac:dyDescent="0.15">
      <c r="A129" t="s">
        <v>72</v>
      </c>
      <c r="B129" t="s">
        <v>2686</v>
      </c>
      <c r="C129" t="s">
        <v>74</v>
      </c>
      <c r="D129" t="s">
        <v>74</v>
      </c>
      <c r="E129" t="s">
        <v>74</v>
      </c>
      <c r="F129" t="s">
        <v>2687</v>
      </c>
      <c r="G129" t="s">
        <v>74</v>
      </c>
      <c r="H129" t="s">
        <v>74</v>
      </c>
      <c r="I129" t="s">
        <v>2688</v>
      </c>
      <c r="J129" t="s">
        <v>2343</v>
      </c>
      <c r="K129" t="s">
        <v>74</v>
      </c>
      <c r="L129" t="s">
        <v>74</v>
      </c>
      <c r="M129" t="s">
        <v>78</v>
      </c>
      <c r="N129" t="s">
        <v>79</v>
      </c>
      <c r="O129" t="s">
        <v>74</v>
      </c>
      <c r="P129" t="s">
        <v>74</v>
      </c>
      <c r="Q129" t="s">
        <v>74</v>
      </c>
      <c r="R129" t="s">
        <v>74</v>
      </c>
      <c r="S129" t="s">
        <v>74</v>
      </c>
      <c r="T129" t="s">
        <v>74</v>
      </c>
      <c r="U129" t="s">
        <v>2689</v>
      </c>
      <c r="V129" t="s">
        <v>2690</v>
      </c>
      <c r="W129" t="s">
        <v>2691</v>
      </c>
      <c r="X129" t="s">
        <v>2692</v>
      </c>
      <c r="Y129" t="s">
        <v>2693</v>
      </c>
      <c r="Z129" t="s">
        <v>2694</v>
      </c>
      <c r="AA129" t="s">
        <v>2695</v>
      </c>
      <c r="AB129" t="s">
        <v>2696</v>
      </c>
      <c r="AC129" t="s">
        <v>2697</v>
      </c>
      <c r="AD129" t="s">
        <v>2698</v>
      </c>
      <c r="AE129" t="s">
        <v>2699</v>
      </c>
      <c r="AF129" t="s">
        <v>74</v>
      </c>
      <c r="AG129">
        <v>72</v>
      </c>
      <c r="AH129">
        <v>65</v>
      </c>
      <c r="AI129">
        <v>75</v>
      </c>
      <c r="AJ129">
        <v>2</v>
      </c>
      <c r="AK129">
        <v>70</v>
      </c>
      <c r="AL129" t="s">
        <v>2355</v>
      </c>
      <c r="AM129" t="s">
        <v>2356</v>
      </c>
      <c r="AN129" t="s">
        <v>2357</v>
      </c>
      <c r="AO129" t="s">
        <v>2358</v>
      </c>
      <c r="AP129" t="s">
        <v>74</v>
      </c>
      <c r="AQ129" t="s">
        <v>74</v>
      </c>
      <c r="AR129" t="s">
        <v>2343</v>
      </c>
      <c r="AS129" t="s">
        <v>2359</v>
      </c>
      <c r="AT129" t="s">
        <v>2640</v>
      </c>
      <c r="AU129">
        <v>2013</v>
      </c>
      <c r="AV129">
        <v>8</v>
      </c>
      <c r="AW129">
        <v>7</v>
      </c>
      <c r="AX129" t="s">
        <v>74</v>
      </c>
      <c r="AY129" t="s">
        <v>74</v>
      </c>
      <c r="AZ129" t="s">
        <v>74</v>
      </c>
      <c r="BA129" t="s">
        <v>74</v>
      </c>
      <c r="BB129" t="s">
        <v>74</v>
      </c>
      <c r="BC129" t="s">
        <v>74</v>
      </c>
      <c r="BD129" t="s">
        <v>2700</v>
      </c>
      <c r="BE129" t="s">
        <v>2701</v>
      </c>
      <c r="BF129" t="str">
        <f>HYPERLINK("http://dx.doi.org/10.1371/journal.pone.0068865","http://dx.doi.org/10.1371/journal.pone.0068865")</f>
        <v>http://dx.doi.org/10.1371/journal.pone.0068865</v>
      </c>
      <c r="BG129" t="s">
        <v>74</v>
      </c>
      <c r="BH129" t="s">
        <v>74</v>
      </c>
      <c r="BI129">
        <v>11</v>
      </c>
      <c r="BJ129" t="s">
        <v>1880</v>
      </c>
      <c r="BK129" t="s">
        <v>102</v>
      </c>
      <c r="BL129" t="s">
        <v>1881</v>
      </c>
      <c r="BM129" t="s">
        <v>2702</v>
      </c>
      <c r="BN129">
        <v>23874794</v>
      </c>
      <c r="BO129" t="s">
        <v>2703</v>
      </c>
      <c r="BP129" t="s">
        <v>74</v>
      </c>
      <c r="BQ129" t="s">
        <v>74</v>
      </c>
      <c r="BR129" t="s">
        <v>105</v>
      </c>
      <c r="BS129" t="s">
        <v>2704</v>
      </c>
      <c r="BT129" t="str">
        <f>HYPERLINK("https%3A%2F%2Fwww.webofscience.com%2Fwos%2Fwoscc%2Ffull-record%2FWOS:000321765300070","View Full Record in Web of Science")</f>
        <v>View Full Record in Web of Science</v>
      </c>
    </row>
    <row r="130" spans="1:72" x14ac:dyDescent="0.15">
      <c r="A130" t="s">
        <v>72</v>
      </c>
      <c r="B130" t="s">
        <v>2705</v>
      </c>
      <c r="C130" t="s">
        <v>74</v>
      </c>
      <c r="D130" t="s">
        <v>74</v>
      </c>
      <c r="E130" t="s">
        <v>74</v>
      </c>
      <c r="F130" t="s">
        <v>2706</v>
      </c>
      <c r="G130" t="s">
        <v>74</v>
      </c>
      <c r="H130" t="s">
        <v>74</v>
      </c>
      <c r="I130" t="s">
        <v>2707</v>
      </c>
      <c r="J130" t="s">
        <v>2253</v>
      </c>
      <c r="K130" t="s">
        <v>74</v>
      </c>
      <c r="L130" t="s">
        <v>74</v>
      </c>
      <c r="M130" t="s">
        <v>78</v>
      </c>
      <c r="N130" t="s">
        <v>79</v>
      </c>
      <c r="O130" t="s">
        <v>74</v>
      </c>
      <c r="P130" t="s">
        <v>74</v>
      </c>
      <c r="Q130" t="s">
        <v>74</v>
      </c>
      <c r="R130" t="s">
        <v>74</v>
      </c>
      <c r="S130" t="s">
        <v>74</v>
      </c>
      <c r="T130" t="s">
        <v>2708</v>
      </c>
      <c r="U130" t="s">
        <v>2709</v>
      </c>
      <c r="V130" t="s">
        <v>2710</v>
      </c>
      <c r="W130" t="s">
        <v>2711</v>
      </c>
      <c r="X130" t="s">
        <v>2712</v>
      </c>
      <c r="Y130" t="s">
        <v>2713</v>
      </c>
      <c r="Z130" t="s">
        <v>2714</v>
      </c>
      <c r="AA130" t="s">
        <v>2715</v>
      </c>
      <c r="AB130" t="s">
        <v>2716</v>
      </c>
      <c r="AC130" t="s">
        <v>2717</v>
      </c>
      <c r="AD130" t="s">
        <v>2718</v>
      </c>
      <c r="AE130" t="s">
        <v>2719</v>
      </c>
      <c r="AF130" t="s">
        <v>74</v>
      </c>
      <c r="AG130">
        <v>50</v>
      </c>
      <c r="AH130">
        <v>245</v>
      </c>
      <c r="AI130">
        <v>272</v>
      </c>
      <c r="AJ130">
        <v>6</v>
      </c>
      <c r="AK130">
        <v>197</v>
      </c>
      <c r="AL130" t="s">
        <v>2266</v>
      </c>
      <c r="AM130" t="s">
        <v>93</v>
      </c>
      <c r="AN130" t="s">
        <v>2267</v>
      </c>
      <c r="AO130" t="s">
        <v>2268</v>
      </c>
      <c r="AP130" t="s">
        <v>74</v>
      </c>
      <c r="AQ130" t="s">
        <v>74</v>
      </c>
      <c r="AR130" t="s">
        <v>2269</v>
      </c>
      <c r="AS130" t="s">
        <v>2270</v>
      </c>
      <c r="AT130" t="s">
        <v>2720</v>
      </c>
      <c r="AU130">
        <v>2013</v>
      </c>
      <c r="AV130">
        <v>110</v>
      </c>
      <c r="AW130">
        <v>28</v>
      </c>
      <c r="AX130" t="s">
        <v>74</v>
      </c>
      <c r="AY130" t="s">
        <v>74</v>
      </c>
      <c r="AZ130" t="s">
        <v>74</v>
      </c>
      <c r="BA130" t="s">
        <v>74</v>
      </c>
      <c r="BB130">
        <v>11463</v>
      </c>
      <c r="BC130">
        <v>11468</v>
      </c>
      <c r="BD130" t="s">
        <v>74</v>
      </c>
      <c r="BE130" t="s">
        <v>2721</v>
      </c>
      <c r="BF130" t="str">
        <f>HYPERLINK("http://dx.doi.org/10.1073/pnas.1304246110","http://dx.doi.org/10.1073/pnas.1304246110")</f>
        <v>http://dx.doi.org/10.1073/pnas.1304246110</v>
      </c>
      <c r="BG130" t="s">
        <v>74</v>
      </c>
      <c r="BH130" t="s">
        <v>74</v>
      </c>
      <c r="BI130">
        <v>6</v>
      </c>
      <c r="BJ130" t="s">
        <v>1880</v>
      </c>
      <c r="BK130" t="s">
        <v>102</v>
      </c>
      <c r="BL130" t="s">
        <v>1881</v>
      </c>
      <c r="BM130" t="s">
        <v>2722</v>
      </c>
      <c r="BN130">
        <v>23801761</v>
      </c>
      <c r="BO130" t="s">
        <v>2723</v>
      </c>
      <c r="BP130" t="s">
        <v>74</v>
      </c>
      <c r="BQ130" t="s">
        <v>74</v>
      </c>
      <c r="BR130" t="s">
        <v>105</v>
      </c>
      <c r="BS130" t="s">
        <v>2724</v>
      </c>
      <c r="BT130" t="str">
        <f>HYPERLINK("https%3A%2F%2Fwww.webofscience.com%2Fwos%2Fwoscc%2Ffull-record%2FWOS:000321827000063","View Full Record in Web of Science")</f>
        <v>View Full Record in Web of Science</v>
      </c>
    </row>
    <row r="131" spans="1:72" x14ac:dyDescent="0.15">
      <c r="A131" t="s">
        <v>72</v>
      </c>
      <c r="B131" t="s">
        <v>2725</v>
      </c>
      <c r="C131" t="s">
        <v>74</v>
      </c>
      <c r="D131" t="s">
        <v>74</v>
      </c>
      <c r="E131" t="s">
        <v>74</v>
      </c>
      <c r="F131" t="s">
        <v>2726</v>
      </c>
      <c r="G131" t="s">
        <v>74</v>
      </c>
      <c r="H131" t="s">
        <v>74</v>
      </c>
      <c r="I131" t="s">
        <v>2727</v>
      </c>
      <c r="J131" t="s">
        <v>2728</v>
      </c>
      <c r="K131" t="s">
        <v>74</v>
      </c>
      <c r="L131" t="s">
        <v>74</v>
      </c>
      <c r="M131" t="s">
        <v>78</v>
      </c>
      <c r="N131" t="s">
        <v>79</v>
      </c>
      <c r="O131" t="s">
        <v>74</v>
      </c>
      <c r="P131" t="s">
        <v>74</v>
      </c>
      <c r="Q131" t="s">
        <v>74</v>
      </c>
      <c r="R131" t="s">
        <v>74</v>
      </c>
      <c r="S131" t="s">
        <v>74</v>
      </c>
      <c r="T131" t="s">
        <v>2729</v>
      </c>
      <c r="U131" t="s">
        <v>2730</v>
      </c>
      <c r="V131" t="s">
        <v>2731</v>
      </c>
      <c r="W131" t="s">
        <v>2732</v>
      </c>
      <c r="X131" t="s">
        <v>2733</v>
      </c>
      <c r="Y131" t="s">
        <v>2734</v>
      </c>
      <c r="Z131" t="s">
        <v>2735</v>
      </c>
      <c r="AA131" t="s">
        <v>2736</v>
      </c>
      <c r="AB131" t="s">
        <v>2737</v>
      </c>
      <c r="AC131" t="s">
        <v>2738</v>
      </c>
      <c r="AD131" t="s">
        <v>2739</v>
      </c>
      <c r="AE131" t="s">
        <v>2740</v>
      </c>
      <c r="AF131" t="s">
        <v>74</v>
      </c>
      <c r="AG131">
        <v>16</v>
      </c>
      <c r="AH131">
        <v>10</v>
      </c>
      <c r="AI131">
        <v>10</v>
      </c>
      <c r="AJ131">
        <v>0</v>
      </c>
      <c r="AK131">
        <v>75</v>
      </c>
      <c r="AL131" t="s">
        <v>2741</v>
      </c>
      <c r="AM131" t="s">
        <v>643</v>
      </c>
      <c r="AN131" t="s">
        <v>2742</v>
      </c>
      <c r="AO131" t="s">
        <v>2743</v>
      </c>
      <c r="AP131" t="s">
        <v>74</v>
      </c>
      <c r="AQ131" t="s">
        <v>74</v>
      </c>
      <c r="AR131" t="s">
        <v>2744</v>
      </c>
      <c r="AS131" t="s">
        <v>2745</v>
      </c>
      <c r="AT131" t="s">
        <v>2746</v>
      </c>
      <c r="AU131">
        <v>2013</v>
      </c>
      <c r="AV131">
        <v>10</v>
      </c>
      <c r="AW131">
        <v>84</v>
      </c>
      <c r="AX131" t="s">
        <v>74</v>
      </c>
      <c r="AY131" t="s">
        <v>74</v>
      </c>
      <c r="AZ131" t="s">
        <v>74</v>
      </c>
      <c r="BA131" t="s">
        <v>74</v>
      </c>
      <c r="BB131" t="s">
        <v>74</v>
      </c>
      <c r="BC131" t="s">
        <v>74</v>
      </c>
      <c r="BD131">
        <v>20130279</v>
      </c>
      <c r="BE131" t="s">
        <v>2747</v>
      </c>
      <c r="BF131" t="str">
        <f>HYPERLINK("http://dx.doi.org/10.1098/rsif.2013.0279","http://dx.doi.org/10.1098/rsif.2013.0279")</f>
        <v>http://dx.doi.org/10.1098/rsif.2013.0279</v>
      </c>
      <c r="BG131" t="s">
        <v>74</v>
      </c>
      <c r="BH131" t="s">
        <v>74</v>
      </c>
      <c r="BI131">
        <v>8</v>
      </c>
      <c r="BJ131" t="s">
        <v>1880</v>
      </c>
      <c r="BK131" t="s">
        <v>102</v>
      </c>
      <c r="BL131" t="s">
        <v>1881</v>
      </c>
      <c r="BM131" t="s">
        <v>2748</v>
      </c>
      <c r="BN131" t="s">
        <v>74</v>
      </c>
      <c r="BO131" t="s">
        <v>1386</v>
      </c>
      <c r="BP131" t="s">
        <v>74</v>
      </c>
      <c r="BQ131" t="s">
        <v>74</v>
      </c>
      <c r="BR131" t="s">
        <v>105</v>
      </c>
      <c r="BS131" t="s">
        <v>2749</v>
      </c>
      <c r="BT131" t="str">
        <f>HYPERLINK("https%3A%2F%2Fwww.webofscience.com%2Fwos%2Fwoscc%2Ffull-record%2FWOS:000319404300021","View Full Record in Web of Science")</f>
        <v>View Full Record in Web of Science</v>
      </c>
    </row>
    <row r="132" spans="1:72" x14ac:dyDescent="0.15">
      <c r="A132" t="s">
        <v>72</v>
      </c>
      <c r="B132" t="s">
        <v>2750</v>
      </c>
      <c r="C132" t="s">
        <v>74</v>
      </c>
      <c r="D132" t="s">
        <v>74</v>
      </c>
      <c r="E132" t="s">
        <v>74</v>
      </c>
      <c r="F132" t="s">
        <v>2751</v>
      </c>
      <c r="G132" t="s">
        <v>74</v>
      </c>
      <c r="H132" t="s">
        <v>74</v>
      </c>
      <c r="I132" t="s">
        <v>2752</v>
      </c>
      <c r="J132" t="s">
        <v>2753</v>
      </c>
      <c r="K132" t="s">
        <v>74</v>
      </c>
      <c r="L132" t="s">
        <v>74</v>
      </c>
      <c r="M132" t="s">
        <v>78</v>
      </c>
      <c r="N132" t="s">
        <v>1459</v>
      </c>
      <c r="O132" t="s">
        <v>74</v>
      </c>
      <c r="P132" t="s">
        <v>74</v>
      </c>
      <c r="Q132" t="s">
        <v>74</v>
      </c>
      <c r="R132" t="s">
        <v>74</v>
      </c>
      <c r="S132" t="s">
        <v>74</v>
      </c>
      <c r="T132" t="s">
        <v>2754</v>
      </c>
      <c r="U132" t="s">
        <v>2755</v>
      </c>
      <c r="V132" t="s">
        <v>2756</v>
      </c>
      <c r="W132" t="s">
        <v>2757</v>
      </c>
      <c r="X132" t="s">
        <v>1300</v>
      </c>
      <c r="Y132" t="s">
        <v>2758</v>
      </c>
      <c r="Z132" t="s">
        <v>2759</v>
      </c>
      <c r="AA132" t="s">
        <v>2760</v>
      </c>
      <c r="AB132" t="s">
        <v>2761</v>
      </c>
      <c r="AC132" t="s">
        <v>2762</v>
      </c>
      <c r="AD132" t="s">
        <v>2050</v>
      </c>
      <c r="AE132" t="s">
        <v>2763</v>
      </c>
      <c r="AF132" t="s">
        <v>74</v>
      </c>
      <c r="AG132">
        <v>60</v>
      </c>
      <c r="AH132">
        <v>37</v>
      </c>
      <c r="AI132">
        <v>37</v>
      </c>
      <c r="AJ132">
        <v>6</v>
      </c>
      <c r="AK132">
        <v>59</v>
      </c>
      <c r="AL132" t="s">
        <v>2741</v>
      </c>
      <c r="AM132" t="s">
        <v>643</v>
      </c>
      <c r="AN132" t="s">
        <v>2742</v>
      </c>
      <c r="AO132" t="s">
        <v>2764</v>
      </c>
      <c r="AP132" t="s">
        <v>2765</v>
      </c>
      <c r="AQ132" t="s">
        <v>74</v>
      </c>
      <c r="AR132" t="s">
        <v>2766</v>
      </c>
      <c r="AS132" t="s">
        <v>2767</v>
      </c>
      <c r="AT132" t="s">
        <v>2768</v>
      </c>
      <c r="AU132">
        <v>2013</v>
      </c>
      <c r="AV132">
        <v>368</v>
      </c>
      <c r="AW132">
        <v>1621</v>
      </c>
      <c r="AX132" t="s">
        <v>74</v>
      </c>
      <c r="AY132" t="s">
        <v>74</v>
      </c>
      <c r="AZ132" t="s">
        <v>74</v>
      </c>
      <c r="BA132" t="s">
        <v>74</v>
      </c>
      <c r="BB132" t="s">
        <v>74</v>
      </c>
      <c r="BC132" t="s">
        <v>74</v>
      </c>
      <c r="BD132">
        <v>20130127</v>
      </c>
      <c r="BE132" t="s">
        <v>2769</v>
      </c>
      <c r="BF132" t="str">
        <f>HYPERLINK("http://dx.doi.org/10.1098/rstb.2013.0127","http://dx.doi.org/10.1098/rstb.2013.0127")</f>
        <v>http://dx.doi.org/10.1098/rstb.2013.0127</v>
      </c>
      <c r="BG132" t="s">
        <v>74</v>
      </c>
      <c r="BH132" t="s">
        <v>74</v>
      </c>
      <c r="BI132">
        <v>9</v>
      </c>
      <c r="BJ132" t="s">
        <v>1685</v>
      </c>
      <c r="BK132" t="s">
        <v>102</v>
      </c>
      <c r="BL132" t="s">
        <v>1686</v>
      </c>
      <c r="BM132" t="s">
        <v>2770</v>
      </c>
      <c r="BN132">
        <v>23713125</v>
      </c>
      <c r="BO132" t="s">
        <v>2771</v>
      </c>
      <c r="BP132" t="s">
        <v>74</v>
      </c>
      <c r="BQ132" t="s">
        <v>74</v>
      </c>
      <c r="BR132" t="s">
        <v>105</v>
      </c>
      <c r="BS132" t="s">
        <v>2772</v>
      </c>
      <c r="BT132" t="str">
        <f>HYPERLINK("https%3A%2F%2Fwww.webofscience.com%2Fwos%2Fwoscc%2Ffull-record%2FWOS:000319502100012","View Full Record in Web of Science")</f>
        <v>View Full Record in Web of Science</v>
      </c>
    </row>
    <row r="133" spans="1:72" x14ac:dyDescent="0.15">
      <c r="A133" t="s">
        <v>72</v>
      </c>
      <c r="B133" t="s">
        <v>2773</v>
      </c>
      <c r="C133" t="s">
        <v>74</v>
      </c>
      <c r="D133" t="s">
        <v>74</v>
      </c>
      <c r="E133" t="s">
        <v>74</v>
      </c>
      <c r="F133" t="s">
        <v>2774</v>
      </c>
      <c r="G133" t="s">
        <v>74</v>
      </c>
      <c r="H133" t="s">
        <v>74</v>
      </c>
      <c r="I133" t="s">
        <v>2775</v>
      </c>
      <c r="J133" t="s">
        <v>2776</v>
      </c>
      <c r="K133" t="s">
        <v>74</v>
      </c>
      <c r="L133" t="s">
        <v>74</v>
      </c>
      <c r="M133" t="s">
        <v>78</v>
      </c>
      <c r="N133" t="s">
        <v>79</v>
      </c>
      <c r="O133" t="s">
        <v>74</v>
      </c>
      <c r="P133" t="s">
        <v>74</v>
      </c>
      <c r="Q133" t="s">
        <v>74</v>
      </c>
      <c r="R133" t="s">
        <v>74</v>
      </c>
      <c r="S133" t="s">
        <v>74</v>
      </c>
      <c r="T133" t="s">
        <v>2777</v>
      </c>
      <c r="U133" t="s">
        <v>2778</v>
      </c>
      <c r="V133" t="s">
        <v>2779</v>
      </c>
      <c r="W133" t="s">
        <v>2780</v>
      </c>
      <c r="X133" t="s">
        <v>2781</v>
      </c>
      <c r="Y133" t="s">
        <v>2782</v>
      </c>
      <c r="Z133" t="s">
        <v>2783</v>
      </c>
      <c r="AA133" t="s">
        <v>2784</v>
      </c>
      <c r="AB133" t="s">
        <v>74</v>
      </c>
      <c r="AC133" t="s">
        <v>2785</v>
      </c>
      <c r="AD133" t="s">
        <v>2786</v>
      </c>
      <c r="AE133" t="s">
        <v>2787</v>
      </c>
      <c r="AF133" t="s">
        <v>74</v>
      </c>
      <c r="AG133">
        <v>26</v>
      </c>
      <c r="AH133">
        <v>9</v>
      </c>
      <c r="AI133">
        <v>10</v>
      </c>
      <c r="AJ133">
        <v>0</v>
      </c>
      <c r="AK133">
        <v>49</v>
      </c>
      <c r="AL133" t="s">
        <v>2788</v>
      </c>
      <c r="AM133" t="s">
        <v>2789</v>
      </c>
      <c r="AN133" t="s">
        <v>2790</v>
      </c>
      <c r="AO133" t="s">
        <v>2791</v>
      </c>
      <c r="AP133" t="s">
        <v>2792</v>
      </c>
      <c r="AQ133" t="s">
        <v>74</v>
      </c>
      <c r="AR133" t="s">
        <v>2793</v>
      </c>
      <c r="AS133" t="s">
        <v>2794</v>
      </c>
      <c r="AT133" t="s">
        <v>2768</v>
      </c>
      <c r="AU133">
        <v>2013</v>
      </c>
      <c r="AV133">
        <v>564</v>
      </c>
      <c r="AW133" t="s">
        <v>74</v>
      </c>
      <c r="AX133" t="s">
        <v>74</v>
      </c>
      <c r="AY133" t="s">
        <v>74</v>
      </c>
      <c r="AZ133" t="s">
        <v>74</v>
      </c>
      <c r="BA133" t="s">
        <v>74</v>
      </c>
      <c r="BB133">
        <v>125</v>
      </c>
      <c r="BC133">
        <v>129</v>
      </c>
      <c r="BD133" t="s">
        <v>74</v>
      </c>
      <c r="BE133" t="s">
        <v>2795</v>
      </c>
      <c r="BF133" t="str">
        <f>HYPERLINK("http://dx.doi.org/10.1016/j.jallcom.2013.02.124","http://dx.doi.org/10.1016/j.jallcom.2013.02.124")</f>
        <v>http://dx.doi.org/10.1016/j.jallcom.2013.02.124</v>
      </c>
      <c r="BG133" t="s">
        <v>74</v>
      </c>
      <c r="BH133" t="s">
        <v>74</v>
      </c>
      <c r="BI133">
        <v>5</v>
      </c>
      <c r="BJ133" t="s">
        <v>2796</v>
      </c>
      <c r="BK133" t="s">
        <v>102</v>
      </c>
      <c r="BL133" t="s">
        <v>2797</v>
      </c>
      <c r="BM133" t="s">
        <v>2798</v>
      </c>
      <c r="BN133" t="s">
        <v>74</v>
      </c>
      <c r="BO133" t="s">
        <v>74</v>
      </c>
      <c r="BP133" t="s">
        <v>74</v>
      </c>
      <c r="BQ133" t="s">
        <v>74</v>
      </c>
      <c r="BR133" t="s">
        <v>105</v>
      </c>
      <c r="BS133" t="s">
        <v>2799</v>
      </c>
      <c r="BT133" t="str">
        <f>HYPERLINK("https%3A%2F%2Fwww.webofscience.com%2Fwos%2Fwoscc%2Ffull-record%2FWOS:000317269900020","View Full Record in Web of Science")</f>
        <v>View Full Record in Web of Science</v>
      </c>
    </row>
    <row r="134" spans="1:72" x14ac:dyDescent="0.15">
      <c r="A134" t="s">
        <v>72</v>
      </c>
      <c r="B134" t="s">
        <v>2800</v>
      </c>
      <c r="C134" t="s">
        <v>74</v>
      </c>
      <c r="D134" t="s">
        <v>74</v>
      </c>
      <c r="E134" t="s">
        <v>74</v>
      </c>
      <c r="F134" t="s">
        <v>2801</v>
      </c>
      <c r="G134" t="s">
        <v>74</v>
      </c>
      <c r="H134" t="s">
        <v>74</v>
      </c>
      <c r="I134" t="s">
        <v>2802</v>
      </c>
      <c r="J134" t="s">
        <v>2343</v>
      </c>
      <c r="K134" t="s">
        <v>74</v>
      </c>
      <c r="L134" t="s">
        <v>74</v>
      </c>
      <c r="M134" t="s">
        <v>78</v>
      </c>
      <c r="N134" t="s">
        <v>79</v>
      </c>
      <c r="O134" t="s">
        <v>74</v>
      </c>
      <c r="P134" t="s">
        <v>74</v>
      </c>
      <c r="Q134" t="s">
        <v>74</v>
      </c>
      <c r="R134" t="s">
        <v>74</v>
      </c>
      <c r="S134" t="s">
        <v>74</v>
      </c>
      <c r="T134" t="s">
        <v>74</v>
      </c>
      <c r="U134" t="s">
        <v>2803</v>
      </c>
      <c r="V134" t="s">
        <v>2804</v>
      </c>
      <c r="W134" t="s">
        <v>2805</v>
      </c>
      <c r="X134" t="s">
        <v>1300</v>
      </c>
      <c r="Y134" t="s">
        <v>2806</v>
      </c>
      <c r="Z134" t="s">
        <v>2807</v>
      </c>
      <c r="AA134" t="s">
        <v>2808</v>
      </c>
      <c r="AB134" t="s">
        <v>2809</v>
      </c>
      <c r="AC134" t="s">
        <v>2810</v>
      </c>
      <c r="AD134" t="s">
        <v>2811</v>
      </c>
      <c r="AE134" t="s">
        <v>2812</v>
      </c>
      <c r="AF134" t="s">
        <v>74</v>
      </c>
      <c r="AG134">
        <v>115</v>
      </c>
      <c r="AH134">
        <v>46</v>
      </c>
      <c r="AI134">
        <v>50</v>
      </c>
      <c r="AJ134">
        <v>1</v>
      </c>
      <c r="AK134">
        <v>75</v>
      </c>
      <c r="AL134" t="s">
        <v>2355</v>
      </c>
      <c r="AM134" t="s">
        <v>2356</v>
      </c>
      <c r="AN134" t="s">
        <v>2357</v>
      </c>
      <c r="AO134" t="s">
        <v>2358</v>
      </c>
      <c r="AP134" t="s">
        <v>74</v>
      </c>
      <c r="AQ134" t="s">
        <v>74</v>
      </c>
      <c r="AR134" t="s">
        <v>2343</v>
      </c>
      <c r="AS134" t="s">
        <v>2359</v>
      </c>
      <c r="AT134" t="s">
        <v>2813</v>
      </c>
      <c r="AU134">
        <v>2013</v>
      </c>
      <c r="AV134">
        <v>8</v>
      </c>
      <c r="AW134">
        <v>7</v>
      </c>
      <c r="AX134" t="s">
        <v>74</v>
      </c>
      <c r="AY134" t="s">
        <v>74</v>
      </c>
      <c r="AZ134" t="s">
        <v>74</v>
      </c>
      <c r="BA134" t="s">
        <v>74</v>
      </c>
      <c r="BB134" t="s">
        <v>74</v>
      </c>
      <c r="BC134" t="s">
        <v>74</v>
      </c>
      <c r="BD134" t="s">
        <v>2814</v>
      </c>
      <c r="BE134" t="s">
        <v>2815</v>
      </c>
      <c r="BF134" t="str">
        <f>HYPERLINK("http://dx.doi.org/10.1371/journal.pone.0066981","http://dx.doi.org/10.1371/journal.pone.0066981")</f>
        <v>http://dx.doi.org/10.1371/journal.pone.0066981</v>
      </c>
      <c r="BG134" t="s">
        <v>74</v>
      </c>
      <c r="BH134" t="s">
        <v>74</v>
      </c>
      <c r="BI134">
        <v>17</v>
      </c>
      <c r="BJ134" t="s">
        <v>1880</v>
      </c>
      <c r="BK134" t="s">
        <v>102</v>
      </c>
      <c r="BL134" t="s">
        <v>1881</v>
      </c>
      <c r="BM134" t="s">
        <v>2816</v>
      </c>
      <c r="BN134">
        <v>23843974</v>
      </c>
      <c r="BO134" t="s">
        <v>2817</v>
      </c>
      <c r="BP134" t="s">
        <v>74</v>
      </c>
      <c r="BQ134" t="s">
        <v>74</v>
      </c>
      <c r="BR134" t="s">
        <v>105</v>
      </c>
      <c r="BS134" t="s">
        <v>2818</v>
      </c>
      <c r="BT134" t="str">
        <f>HYPERLINK("https%3A%2F%2Fwww.webofscience.com%2Fwos%2Fwoscc%2Ffull-record%2FWOS:000321733000057","View Full Record in Web of Science")</f>
        <v>View Full Record in Web of Science</v>
      </c>
    </row>
    <row r="135" spans="1:72" x14ac:dyDescent="0.15">
      <c r="A135" t="s">
        <v>72</v>
      </c>
      <c r="B135" t="s">
        <v>2819</v>
      </c>
      <c r="C135" t="s">
        <v>74</v>
      </c>
      <c r="D135" t="s">
        <v>74</v>
      </c>
      <c r="E135" t="s">
        <v>74</v>
      </c>
      <c r="F135" t="s">
        <v>2820</v>
      </c>
      <c r="G135" t="s">
        <v>74</v>
      </c>
      <c r="H135" t="s">
        <v>74</v>
      </c>
      <c r="I135" t="s">
        <v>2821</v>
      </c>
      <c r="J135" t="s">
        <v>698</v>
      </c>
      <c r="K135" t="s">
        <v>74</v>
      </c>
      <c r="L135" t="s">
        <v>74</v>
      </c>
      <c r="M135" t="s">
        <v>78</v>
      </c>
      <c r="N135" t="s">
        <v>79</v>
      </c>
      <c r="O135" t="s">
        <v>74</v>
      </c>
      <c r="P135" t="s">
        <v>74</v>
      </c>
      <c r="Q135" t="s">
        <v>74</v>
      </c>
      <c r="R135" t="s">
        <v>74</v>
      </c>
      <c r="S135" t="s">
        <v>74</v>
      </c>
      <c r="T135" t="s">
        <v>74</v>
      </c>
      <c r="U135" t="s">
        <v>2822</v>
      </c>
      <c r="V135" t="s">
        <v>2823</v>
      </c>
      <c r="W135" t="s">
        <v>2824</v>
      </c>
      <c r="X135" t="s">
        <v>523</v>
      </c>
      <c r="Y135" t="s">
        <v>2825</v>
      </c>
      <c r="Z135" t="s">
        <v>2826</v>
      </c>
      <c r="AA135" t="s">
        <v>74</v>
      </c>
      <c r="AB135" t="s">
        <v>2827</v>
      </c>
      <c r="AC135" t="s">
        <v>2828</v>
      </c>
      <c r="AD135" t="s">
        <v>2828</v>
      </c>
      <c r="AE135" t="s">
        <v>2829</v>
      </c>
      <c r="AF135" t="s">
        <v>74</v>
      </c>
      <c r="AG135">
        <v>69</v>
      </c>
      <c r="AH135">
        <v>54</v>
      </c>
      <c r="AI135">
        <v>54</v>
      </c>
      <c r="AJ135">
        <v>0</v>
      </c>
      <c r="AK135">
        <v>13</v>
      </c>
      <c r="AL135" t="s">
        <v>237</v>
      </c>
      <c r="AM135" t="s">
        <v>238</v>
      </c>
      <c r="AN135" t="s">
        <v>239</v>
      </c>
      <c r="AO135" t="s">
        <v>709</v>
      </c>
      <c r="AP135" t="s">
        <v>2830</v>
      </c>
      <c r="AQ135" t="s">
        <v>74</v>
      </c>
      <c r="AR135" t="s">
        <v>710</v>
      </c>
      <c r="AS135" t="s">
        <v>711</v>
      </c>
      <c r="AT135" t="s">
        <v>2831</v>
      </c>
      <c r="AU135">
        <v>2013</v>
      </c>
      <c r="AV135">
        <v>141</v>
      </c>
      <c r="AW135">
        <v>7</v>
      </c>
      <c r="AX135" t="s">
        <v>74</v>
      </c>
      <c r="AY135" t="s">
        <v>74</v>
      </c>
      <c r="AZ135" t="s">
        <v>74</v>
      </c>
      <c r="BA135" t="s">
        <v>74</v>
      </c>
      <c r="BB135">
        <v>2416</v>
      </c>
      <c r="BC135">
        <v>2431</v>
      </c>
      <c r="BD135" t="s">
        <v>74</v>
      </c>
      <c r="BE135" t="s">
        <v>2832</v>
      </c>
      <c r="BF135" t="str">
        <f>HYPERLINK("http://dx.doi.org/10.1175/MWR-D-12-00312.1","http://dx.doi.org/10.1175/MWR-D-12-00312.1")</f>
        <v>http://dx.doi.org/10.1175/MWR-D-12-00312.1</v>
      </c>
      <c r="BG135" t="s">
        <v>74</v>
      </c>
      <c r="BH135" t="s">
        <v>74</v>
      </c>
      <c r="BI135">
        <v>16</v>
      </c>
      <c r="BJ135" t="s">
        <v>305</v>
      </c>
      <c r="BK135" t="s">
        <v>102</v>
      </c>
      <c r="BL135" t="s">
        <v>305</v>
      </c>
      <c r="BM135" t="s">
        <v>2833</v>
      </c>
      <c r="BN135" t="s">
        <v>74</v>
      </c>
      <c r="BO135" t="s">
        <v>248</v>
      </c>
      <c r="BP135" t="s">
        <v>74</v>
      </c>
      <c r="BQ135" t="s">
        <v>74</v>
      </c>
      <c r="BR135" t="s">
        <v>105</v>
      </c>
      <c r="BS135" t="s">
        <v>2834</v>
      </c>
      <c r="BT135" t="str">
        <f>HYPERLINK("https%3A%2F%2Fwww.webofscience.com%2Fwos%2Fwoscc%2Ffull-record%2FWOS:000330516300016","View Full Record in Web of Science")</f>
        <v>View Full Record in Web of Science</v>
      </c>
    </row>
    <row r="136" spans="1:72" x14ac:dyDescent="0.15">
      <c r="A136" t="s">
        <v>72</v>
      </c>
      <c r="B136" t="s">
        <v>2835</v>
      </c>
      <c r="C136" t="s">
        <v>74</v>
      </c>
      <c r="D136" t="s">
        <v>74</v>
      </c>
      <c r="E136" t="s">
        <v>74</v>
      </c>
      <c r="F136" t="s">
        <v>2836</v>
      </c>
      <c r="G136" t="s">
        <v>74</v>
      </c>
      <c r="H136" t="s">
        <v>74</v>
      </c>
      <c r="I136" t="s">
        <v>2837</v>
      </c>
      <c r="J136" t="s">
        <v>542</v>
      </c>
      <c r="K136" t="s">
        <v>74</v>
      </c>
      <c r="L136" t="s">
        <v>74</v>
      </c>
      <c r="M136" t="s">
        <v>78</v>
      </c>
      <c r="N136" t="s">
        <v>79</v>
      </c>
      <c r="O136" t="s">
        <v>74</v>
      </c>
      <c r="P136" t="s">
        <v>74</v>
      </c>
      <c r="Q136" t="s">
        <v>74</v>
      </c>
      <c r="R136" t="s">
        <v>74</v>
      </c>
      <c r="S136" t="s">
        <v>74</v>
      </c>
      <c r="T136" t="s">
        <v>74</v>
      </c>
      <c r="U136" t="s">
        <v>2838</v>
      </c>
      <c r="V136" t="s">
        <v>2839</v>
      </c>
      <c r="W136" t="s">
        <v>2840</v>
      </c>
      <c r="X136" t="s">
        <v>2841</v>
      </c>
      <c r="Y136" t="s">
        <v>2842</v>
      </c>
      <c r="Z136" t="s">
        <v>2843</v>
      </c>
      <c r="AA136" t="s">
        <v>2844</v>
      </c>
      <c r="AB136" t="s">
        <v>74</v>
      </c>
      <c r="AC136" t="s">
        <v>2845</v>
      </c>
      <c r="AD136" t="s">
        <v>2846</v>
      </c>
      <c r="AE136" t="s">
        <v>2847</v>
      </c>
      <c r="AF136" t="s">
        <v>74</v>
      </c>
      <c r="AG136">
        <v>39</v>
      </c>
      <c r="AH136">
        <v>26</v>
      </c>
      <c r="AI136">
        <v>28</v>
      </c>
      <c r="AJ136">
        <v>1</v>
      </c>
      <c r="AK136">
        <v>14</v>
      </c>
      <c r="AL136" t="s">
        <v>237</v>
      </c>
      <c r="AM136" t="s">
        <v>238</v>
      </c>
      <c r="AN136" t="s">
        <v>239</v>
      </c>
      <c r="AO136" t="s">
        <v>555</v>
      </c>
      <c r="AP136" t="s">
        <v>575</v>
      </c>
      <c r="AQ136" t="s">
        <v>74</v>
      </c>
      <c r="AR136" t="s">
        <v>556</v>
      </c>
      <c r="AS136" t="s">
        <v>557</v>
      </c>
      <c r="AT136" t="s">
        <v>2831</v>
      </c>
      <c r="AU136">
        <v>2013</v>
      </c>
      <c r="AV136">
        <v>26</v>
      </c>
      <c r="AW136">
        <v>14</v>
      </c>
      <c r="AX136" t="s">
        <v>74</v>
      </c>
      <c r="AY136" t="s">
        <v>74</v>
      </c>
      <c r="AZ136" t="s">
        <v>74</v>
      </c>
      <c r="BA136" t="s">
        <v>74</v>
      </c>
      <c r="BB136">
        <v>5205</v>
      </c>
      <c r="BC136">
        <v>5219</v>
      </c>
      <c r="BD136" t="s">
        <v>74</v>
      </c>
      <c r="BE136" t="s">
        <v>2848</v>
      </c>
      <c r="BF136" t="str">
        <f>HYPERLINK("http://dx.doi.org/10.1175/JCLI-D-12-00446.1","http://dx.doi.org/10.1175/JCLI-D-12-00446.1")</f>
        <v>http://dx.doi.org/10.1175/JCLI-D-12-00446.1</v>
      </c>
      <c r="BG136" t="s">
        <v>74</v>
      </c>
      <c r="BH136" t="s">
        <v>74</v>
      </c>
      <c r="BI136">
        <v>15</v>
      </c>
      <c r="BJ136" t="s">
        <v>305</v>
      </c>
      <c r="BK136" t="s">
        <v>102</v>
      </c>
      <c r="BL136" t="s">
        <v>305</v>
      </c>
      <c r="BM136" t="s">
        <v>2849</v>
      </c>
      <c r="BN136" t="s">
        <v>74</v>
      </c>
      <c r="BO136" t="s">
        <v>248</v>
      </c>
      <c r="BP136" t="s">
        <v>74</v>
      </c>
      <c r="BQ136" t="s">
        <v>74</v>
      </c>
      <c r="BR136" t="s">
        <v>105</v>
      </c>
      <c r="BS136" t="s">
        <v>2850</v>
      </c>
      <c r="BT136" t="str">
        <f>HYPERLINK("https%3A%2F%2Fwww.webofscience.com%2Fwos%2Fwoscc%2Ffull-record%2FWOS:000330515400021","View Full Record in Web of Science")</f>
        <v>View Full Record in Web of Science</v>
      </c>
    </row>
    <row r="137" spans="1:72" x14ac:dyDescent="0.15">
      <c r="A137" t="s">
        <v>72</v>
      </c>
      <c r="B137" t="s">
        <v>2851</v>
      </c>
      <c r="C137" t="s">
        <v>74</v>
      </c>
      <c r="D137" t="s">
        <v>74</v>
      </c>
      <c r="E137" t="s">
        <v>74</v>
      </c>
      <c r="F137" t="s">
        <v>2852</v>
      </c>
      <c r="G137" t="s">
        <v>74</v>
      </c>
      <c r="H137" t="s">
        <v>74</v>
      </c>
      <c r="I137" t="s">
        <v>2853</v>
      </c>
      <c r="J137" t="s">
        <v>2854</v>
      </c>
      <c r="K137" t="s">
        <v>74</v>
      </c>
      <c r="L137" t="s">
        <v>74</v>
      </c>
      <c r="M137" t="s">
        <v>78</v>
      </c>
      <c r="N137" t="s">
        <v>79</v>
      </c>
      <c r="O137" t="s">
        <v>74</v>
      </c>
      <c r="P137" t="s">
        <v>74</v>
      </c>
      <c r="Q137" t="s">
        <v>74</v>
      </c>
      <c r="R137" t="s">
        <v>74</v>
      </c>
      <c r="S137" t="s">
        <v>74</v>
      </c>
      <c r="T137" t="s">
        <v>2855</v>
      </c>
      <c r="U137" t="s">
        <v>2856</v>
      </c>
      <c r="V137" t="s">
        <v>2857</v>
      </c>
      <c r="W137" t="s">
        <v>2858</v>
      </c>
      <c r="X137" t="s">
        <v>2859</v>
      </c>
      <c r="Y137" t="s">
        <v>2860</v>
      </c>
      <c r="Z137" t="s">
        <v>2861</v>
      </c>
      <c r="AA137" t="s">
        <v>74</v>
      </c>
      <c r="AB137" t="s">
        <v>2862</v>
      </c>
      <c r="AC137" t="s">
        <v>74</v>
      </c>
      <c r="AD137" t="s">
        <v>74</v>
      </c>
      <c r="AE137" t="s">
        <v>74</v>
      </c>
      <c r="AF137" t="s">
        <v>74</v>
      </c>
      <c r="AG137">
        <v>64</v>
      </c>
      <c r="AH137">
        <v>15</v>
      </c>
      <c r="AI137">
        <v>15</v>
      </c>
      <c r="AJ137">
        <v>0</v>
      </c>
      <c r="AK137">
        <v>3</v>
      </c>
      <c r="AL137" t="s">
        <v>368</v>
      </c>
      <c r="AM137" t="s">
        <v>369</v>
      </c>
      <c r="AN137" t="s">
        <v>370</v>
      </c>
      <c r="AO137" t="s">
        <v>2863</v>
      </c>
      <c r="AP137" t="s">
        <v>2864</v>
      </c>
      <c r="AQ137" t="s">
        <v>74</v>
      </c>
      <c r="AR137" t="s">
        <v>2865</v>
      </c>
      <c r="AS137" t="s">
        <v>2866</v>
      </c>
      <c r="AT137" t="s">
        <v>2831</v>
      </c>
      <c r="AU137">
        <v>2013</v>
      </c>
      <c r="AV137">
        <v>48</v>
      </c>
      <c r="AW137">
        <v>4</v>
      </c>
      <c r="AX137" t="s">
        <v>74</v>
      </c>
      <c r="AY137" t="s">
        <v>74</v>
      </c>
      <c r="AZ137" t="s">
        <v>74</v>
      </c>
      <c r="BA137" t="s">
        <v>74</v>
      </c>
      <c r="BB137">
        <v>293</v>
      </c>
      <c r="BC137">
        <v>309</v>
      </c>
      <c r="BD137" t="s">
        <v>74</v>
      </c>
      <c r="BE137" t="s">
        <v>2867</v>
      </c>
      <c r="BF137" t="str">
        <f>HYPERLINK("http://dx.doi.org/10.1002/gj.2441","http://dx.doi.org/10.1002/gj.2441")</f>
        <v>http://dx.doi.org/10.1002/gj.2441</v>
      </c>
      <c r="BG137" t="s">
        <v>74</v>
      </c>
      <c r="BH137" t="s">
        <v>74</v>
      </c>
      <c r="BI137">
        <v>17</v>
      </c>
      <c r="BJ137" t="s">
        <v>1426</v>
      </c>
      <c r="BK137" t="s">
        <v>102</v>
      </c>
      <c r="BL137" t="s">
        <v>219</v>
      </c>
      <c r="BM137" t="s">
        <v>2868</v>
      </c>
      <c r="BN137" t="s">
        <v>74</v>
      </c>
      <c r="BO137" t="s">
        <v>74</v>
      </c>
      <c r="BP137" t="s">
        <v>74</v>
      </c>
      <c r="BQ137" t="s">
        <v>74</v>
      </c>
      <c r="BR137" t="s">
        <v>105</v>
      </c>
      <c r="BS137" t="s">
        <v>2869</v>
      </c>
      <c r="BT137" t="str">
        <f>HYPERLINK("https%3A%2F%2Fwww.webofscience.com%2Fwos%2Fwoscc%2Ffull-record%2FWOS:000329248700001","View Full Record in Web of Science")</f>
        <v>View Full Record in Web of Science</v>
      </c>
    </row>
    <row r="138" spans="1:72" x14ac:dyDescent="0.15">
      <c r="A138" t="s">
        <v>72</v>
      </c>
      <c r="B138" t="s">
        <v>2870</v>
      </c>
      <c r="C138" t="s">
        <v>74</v>
      </c>
      <c r="D138" t="s">
        <v>74</v>
      </c>
      <c r="E138" t="s">
        <v>74</v>
      </c>
      <c r="F138" t="s">
        <v>2871</v>
      </c>
      <c r="G138" t="s">
        <v>74</v>
      </c>
      <c r="H138" t="s">
        <v>74</v>
      </c>
      <c r="I138" t="s">
        <v>2872</v>
      </c>
      <c r="J138" t="s">
        <v>2873</v>
      </c>
      <c r="K138" t="s">
        <v>74</v>
      </c>
      <c r="L138" t="s">
        <v>74</v>
      </c>
      <c r="M138" t="s">
        <v>78</v>
      </c>
      <c r="N138" t="s">
        <v>79</v>
      </c>
      <c r="O138" t="s">
        <v>74</v>
      </c>
      <c r="P138" t="s">
        <v>74</v>
      </c>
      <c r="Q138" t="s">
        <v>74</v>
      </c>
      <c r="R138" t="s">
        <v>74</v>
      </c>
      <c r="S138" t="s">
        <v>74</v>
      </c>
      <c r="T138" t="s">
        <v>74</v>
      </c>
      <c r="U138" t="s">
        <v>2874</v>
      </c>
      <c r="V138" t="s">
        <v>2875</v>
      </c>
      <c r="W138" t="s">
        <v>2876</v>
      </c>
      <c r="X138" t="s">
        <v>2877</v>
      </c>
      <c r="Y138" t="s">
        <v>2878</v>
      </c>
      <c r="Z138" t="s">
        <v>2879</v>
      </c>
      <c r="AA138" t="s">
        <v>2880</v>
      </c>
      <c r="AB138" t="s">
        <v>2881</v>
      </c>
      <c r="AC138" t="s">
        <v>2882</v>
      </c>
      <c r="AD138" t="s">
        <v>2883</v>
      </c>
      <c r="AE138" t="s">
        <v>2884</v>
      </c>
      <c r="AF138" t="s">
        <v>74</v>
      </c>
      <c r="AG138">
        <v>35</v>
      </c>
      <c r="AH138">
        <v>6</v>
      </c>
      <c r="AI138">
        <v>7</v>
      </c>
      <c r="AJ138">
        <v>0</v>
      </c>
      <c r="AK138">
        <v>24</v>
      </c>
      <c r="AL138" t="s">
        <v>368</v>
      </c>
      <c r="AM138" t="s">
        <v>369</v>
      </c>
      <c r="AN138" t="s">
        <v>370</v>
      </c>
      <c r="AO138" t="s">
        <v>2885</v>
      </c>
      <c r="AP138" t="s">
        <v>2886</v>
      </c>
      <c r="AQ138" t="s">
        <v>74</v>
      </c>
      <c r="AR138" t="s">
        <v>2887</v>
      </c>
      <c r="AS138" t="s">
        <v>2888</v>
      </c>
      <c r="AT138" t="s">
        <v>2831</v>
      </c>
      <c r="AU138">
        <v>2013</v>
      </c>
      <c r="AV138">
        <v>89</v>
      </c>
      <c r="AW138">
        <v>4</v>
      </c>
      <c r="AX138" t="s">
        <v>74</v>
      </c>
      <c r="AY138" t="s">
        <v>74</v>
      </c>
      <c r="AZ138" t="s">
        <v>935</v>
      </c>
      <c r="BA138" t="s">
        <v>74</v>
      </c>
      <c r="BB138">
        <v>984</v>
      </c>
      <c r="BC138">
        <v>994</v>
      </c>
      <c r="BD138" t="s">
        <v>74</v>
      </c>
      <c r="BE138" t="s">
        <v>2889</v>
      </c>
      <c r="BF138" t="str">
        <f>HYPERLINK("http://dx.doi.org/10.1111/php.12076","http://dx.doi.org/10.1111/php.12076")</f>
        <v>http://dx.doi.org/10.1111/php.12076</v>
      </c>
      <c r="BG138" t="s">
        <v>74</v>
      </c>
      <c r="BH138" t="s">
        <v>74</v>
      </c>
      <c r="BI138">
        <v>11</v>
      </c>
      <c r="BJ138" t="s">
        <v>2890</v>
      </c>
      <c r="BK138" t="s">
        <v>102</v>
      </c>
      <c r="BL138" t="s">
        <v>2890</v>
      </c>
      <c r="BM138" t="s">
        <v>2891</v>
      </c>
      <c r="BN138">
        <v>23550943</v>
      </c>
      <c r="BO138" t="s">
        <v>74</v>
      </c>
      <c r="BP138" t="s">
        <v>74</v>
      </c>
      <c r="BQ138" t="s">
        <v>74</v>
      </c>
      <c r="BR138" t="s">
        <v>105</v>
      </c>
      <c r="BS138" t="s">
        <v>2892</v>
      </c>
      <c r="BT138" t="str">
        <f>HYPERLINK("https%3A%2F%2Fwww.webofscience.com%2Fwos%2Fwoscc%2Ffull-record%2FWOS:000329304200032","View Full Record in Web of Science")</f>
        <v>View Full Record in Web of Science</v>
      </c>
    </row>
    <row r="139" spans="1:72" x14ac:dyDescent="0.15">
      <c r="A139" t="s">
        <v>72</v>
      </c>
      <c r="B139" t="s">
        <v>2893</v>
      </c>
      <c r="C139" t="s">
        <v>74</v>
      </c>
      <c r="D139" t="s">
        <v>74</v>
      </c>
      <c r="E139" t="s">
        <v>74</v>
      </c>
      <c r="F139" t="s">
        <v>2894</v>
      </c>
      <c r="G139" t="s">
        <v>74</v>
      </c>
      <c r="H139" t="s">
        <v>74</v>
      </c>
      <c r="I139" t="s">
        <v>2895</v>
      </c>
      <c r="J139" t="s">
        <v>2896</v>
      </c>
      <c r="K139" t="s">
        <v>74</v>
      </c>
      <c r="L139" t="s">
        <v>74</v>
      </c>
      <c r="M139" t="s">
        <v>78</v>
      </c>
      <c r="N139" t="s">
        <v>79</v>
      </c>
      <c r="O139" t="s">
        <v>74</v>
      </c>
      <c r="P139" t="s">
        <v>74</v>
      </c>
      <c r="Q139" t="s">
        <v>74</v>
      </c>
      <c r="R139" t="s">
        <v>74</v>
      </c>
      <c r="S139" t="s">
        <v>74</v>
      </c>
      <c r="T139" t="s">
        <v>2897</v>
      </c>
      <c r="U139" t="s">
        <v>2898</v>
      </c>
      <c r="V139" t="s">
        <v>2899</v>
      </c>
      <c r="W139" t="s">
        <v>2900</v>
      </c>
      <c r="X139" t="s">
        <v>2901</v>
      </c>
      <c r="Y139" t="s">
        <v>2902</v>
      </c>
      <c r="Z139" t="s">
        <v>2903</v>
      </c>
      <c r="AA139" t="s">
        <v>74</v>
      </c>
      <c r="AB139" t="s">
        <v>74</v>
      </c>
      <c r="AC139" t="s">
        <v>2904</v>
      </c>
      <c r="AD139" t="s">
        <v>2905</v>
      </c>
      <c r="AE139" t="s">
        <v>2906</v>
      </c>
      <c r="AF139" t="s">
        <v>74</v>
      </c>
      <c r="AG139">
        <v>33</v>
      </c>
      <c r="AH139">
        <v>2</v>
      </c>
      <c r="AI139">
        <v>2</v>
      </c>
      <c r="AJ139">
        <v>1</v>
      </c>
      <c r="AK139">
        <v>9</v>
      </c>
      <c r="AL139" t="s">
        <v>2907</v>
      </c>
      <c r="AM139" t="s">
        <v>2908</v>
      </c>
      <c r="AN139" t="s">
        <v>2909</v>
      </c>
      <c r="AO139" t="s">
        <v>2910</v>
      </c>
      <c r="AP139" t="s">
        <v>2911</v>
      </c>
      <c r="AQ139" t="s">
        <v>74</v>
      </c>
      <c r="AR139" t="s">
        <v>2912</v>
      </c>
      <c r="AS139" t="s">
        <v>2913</v>
      </c>
      <c r="AT139" t="s">
        <v>2914</v>
      </c>
      <c r="AU139">
        <v>2013</v>
      </c>
      <c r="AV139">
        <v>56</v>
      </c>
      <c r="AW139">
        <v>4</v>
      </c>
      <c r="AX139" t="s">
        <v>74</v>
      </c>
      <c r="AY139" t="s">
        <v>74</v>
      </c>
      <c r="AZ139" t="s">
        <v>74</v>
      </c>
      <c r="BA139" t="s">
        <v>74</v>
      </c>
      <c r="BB139">
        <v>599</v>
      </c>
      <c r="BC139">
        <v>606</v>
      </c>
      <c r="BD139" t="s">
        <v>74</v>
      </c>
      <c r="BE139" t="s">
        <v>2915</v>
      </c>
      <c r="BF139" t="str">
        <f>HYPERLINK("http://dx.doi.org/10.1590/S1516-89132013000400010","http://dx.doi.org/10.1590/S1516-89132013000400010")</f>
        <v>http://dx.doi.org/10.1590/S1516-89132013000400010</v>
      </c>
      <c r="BG139" t="s">
        <v>74</v>
      </c>
      <c r="BH139" t="s">
        <v>74</v>
      </c>
      <c r="BI139">
        <v>8</v>
      </c>
      <c r="BJ139" t="s">
        <v>1685</v>
      </c>
      <c r="BK139" t="s">
        <v>102</v>
      </c>
      <c r="BL139" t="s">
        <v>1686</v>
      </c>
      <c r="BM139" t="s">
        <v>2916</v>
      </c>
      <c r="BN139" t="s">
        <v>74</v>
      </c>
      <c r="BO139" t="s">
        <v>2917</v>
      </c>
      <c r="BP139" t="s">
        <v>74</v>
      </c>
      <c r="BQ139" t="s">
        <v>74</v>
      </c>
      <c r="BR139" t="s">
        <v>105</v>
      </c>
      <c r="BS139" t="s">
        <v>2918</v>
      </c>
      <c r="BT139" t="str">
        <f>HYPERLINK("https%3A%2F%2Fwww.webofscience.com%2Fwos%2Fwoscc%2Ffull-record%2FWOS:000327228200010","View Full Record in Web of Science")</f>
        <v>View Full Record in Web of Science</v>
      </c>
    </row>
    <row r="140" spans="1:72" x14ac:dyDescent="0.15">
      <c r="A140" t="s">
        <v>72</v>
      </c>
      <c r="B140" t="s">
        <v>2919</v>
      </c>
      <c r="C140" t="s">
        <v>74</v>
      </c>
      <c r="D140" t="s">
        <v>74</v>
      </c>
      <c r="E140" t="s">
        <v>74</v>
      </c>
      <c r="F140" t="s">
        <v>2920</v>
      </c>
      <c r="G140" t="s">
        <v>74</v>
      </c>
      <c r="H140" t="s">
        <v>74</v>
      </c>
      <c r="I140" t="s">
        <v>2921</v>
      </c>
      <c r="J140" t="s">
        <v>2922</v>
      </c>
      <c r="K140" t="s">
        <v>74</v>
      </c>
      <c r="L140" t="s">
        <v>74</v>
      </c>
      <c r="M140" t="s">
        <v>78</v>
      </c>
      <c r="N140" t="s">
        <v>52</v>
      </c>
      <c r="O140" t="s">
        <v>2923</v>
      </c>
      <c r="P140" t="s">
        <v>2924</v>
      </c>
      <c r="Q140" t="s">
        <v>2925</v>
      </c>
      <c r="R140" t="s">
        <v>74</v>
      </c>
      <c r="S140" t="s">
        <v>74</v>
      </c>
      <c r="T140" t="s">
        <v>74</v>
      </c>
      <c r="U140" t="s">
        <v>74</v>
      </c>
      <c r="V140" t="s">
        <v>74</v>
      </c>
      <c r="W140" t="s">
        <v>2926</v>
      </c>
      <c r="X140" t="s">
        <v>2927</v>
      </c>
      <c r="Y140" t="s">
        <v>74</v>
      </c>
      <c r="Z140" t="s">
        <v>2928</v>
      </c>
      <c r="AA140" t="s">
        <v>74</v>
      </c>
      <c r="AB140" t="s">
        <v>74</v>
      </c>
      <c r="AC140" t="s">
        <v>74</v>
      </c>
      <c r="AD140" t="s">
        <v>74</v>
      </c>
      <c r="AE140" t="s">
        <v>74</v>
      </c>
      <c r="AF140" t="s">
        <v>74</v>
      </c>
      <c r="AG140">
        <v>11</v>
      </c>
      <c r="AH140">
        <v>0</v>
      </c>
      <c r="AI140">
        <v>0</v>
      </c>
      <c r="AJ140">
        <v>0</v>
      </c>
      <c r="AK140">
        <v>0</v>
      </c>
      <c r="AL140" t="s">
        <v>368</v>
      </c>
      <c r="AM140" t="s">
        <v>369</v>
      </c>
      <c r="AN140" t="s">
        <v>370</v>
      </c>
      <c r="AO140" t="s">
        <v>2929</v>
      </c>
      <c r="AP140" t="s">
        <v>2930</v>
      </c>
      <c r="AQ140" t="s">
        <v>74</v>
      </c>
      <c r="AR140" t="s">
        <v>2931</v>
      </c>
      <c r="AS140" t="s">
        <v>2932</v>
      </c>
      <c r="AT140" t="s">
        <v>2831</v>
      </c>
      <c r="AU140">
        <v>2013</v>
      </c>
      <c r="AV140">
        <v>48</v>
      </c>
      <c r="AW140" t="s">
        <v>74</v>
      </c>
      <c r="AX140" t="s">
        <v>74</v>
      </c>
      <c r="AY140">
        <v>1</v>
      </c>
      <c r="AZ140" t="s">
        <v>935</v>
      </c>
      <c r="BA140" t="s">
        <v>74</v>
      </c>
      <c r="BB140" t="s">
        <v>2933</v>
      </c>
      <c r="BC140" t="s">
        <v>2933</v>
      </c>
      <c r="BD140" t="s">
        <v>74</v>
      </c>
      <c r="BE140" t="s">
        <v>74</v>
      </c>
      <c r="BF140" t="s">
        <v>74</v>
      </c>
      <c r="BG140" t="s">
        <v>74</v>
      </c>
      <c r="BH140" t="s">
        <v>74</v>
      </c>
      <c r="BI140">
        <v>1</v>
      </c>
      <c r="BJ140" t="s">
        <v>766</v>
      </c>
      <c r="BK140" t="s">
        <v>2934</v>
      </c>
      <c r="BL140" t="s">
        <v>766</v>
      </c>
      <c r="BM140" t="s">
        <v>2935</v>
      </c>
      <c r="BN140" t="s">
        <v>74</v>
      </c>
      <c r="BO140" t="s">
        <v>74</v>
      </c>
      <c r="BP140" t="s">
        <v>74</v>
      </c>
      <c r="BQ140" t="s">
        <v>74</v>
      </c>
      <c r="BR140" t="s">
        <v>105</v>
      </c>
      <c r="BS140" t="s">
        <v>2936</v>
      </c>
      <c r="BT140" t="str">
        <f>HYPERLINK("https%3A%2F%2Fwww.webofscience.com%2Fwos%2Fwoscc%2Ffull-record%2FWOS:000325865800095","View Full Record in Web of Science")</f>
        <v>View Full Record in Web of Science</v>
      </c>
    </row>
    <row r="141" spans="1:72" x14ac:dyDescent="0.15">
      <c r="A141" t="s">
        <v>72</v>
      </c>
      <c r="B141" t="s">
        <v>2937</v>
      </c>
      <c r="C141" t="s">
        <v>74</v>
      </c>
      <c r="D141" t="s">
        <v>74</v>
      </c>
      <c r="E141" t="s">
        <v>74</v>
      </c>
      <c r="F141" t="s">
        <v>2938</v>
      </c>
      <c r="G141" t="s">
        <v>74</v>
      </c>
      <c r="H141" t="s">
        <v>74</v>
      </c>
      <c r="I141" t="s">
        <v>2939</v>
      </c>
      <c r="J141" t="s">
        <v>2922</v>
      </c>
      <c r="K141" t="s">
        <v>74</v>
      </c>
      <c r="L141" t="s">
        <v>74</v>
      </c>
      <c r="M141" t="s">
        <v>78</v>
      </c>
      <c r="N141" t="s">
        <v>52</v>
      </c>
      <c r="O141" t="s">
        <v>2923</v>
      </c>
      <c r="P141" t="s">
        <v>2924</v>
      </c>
      <c r="Q141" t="s">
        <v>2925</v>
      </c>
      <c r="R141" t="s">
        <v>74</v>
      </c>
      <c r="S141" t="s">
        <v>74</v>
      </c>
      <c r="T141" t="s">
        <v>74</v>
      </c>
      <c r="U141" t="s">
        <v>74</v>
      </c>
      <c r="V141" t="s">
        <v>74</v>
      </c>
      <c r="W141" t="s">
        <v>2940</v>
      </c>
      <c r="X141" t="s">
        <v>2941</v>
      </c>
      <c r="Y141" t="s">
        <v>74</v>
      </c>
      <c r="Z141" t="s">
        <v>2942</v>
      </c>
      <c r="AA141" t="s">
        <v>74</v>
      </c>
      <c r="AB141" t="s">
        <v>74</v>
      </c>
      <c r="AC141" t="s">
        <v>74</v>
      </c>
      <c r="AD141" t="s">
        <v>74</v>
      </c>
      <c r="AE141" t="s">
        <v>74</v>
      </c>
      <c r="AF141" t="s">
        <v>74</v>
      </c>
      <c r="AG141">
        <v>9</v>
      </c>
      <c r="AH141">
        <v>0</v>
      </c>
      <c r="AI141">
        <v>0</v>
      </c>
      <c r="AJ141">
        <v>0</v>
      </c>
      <c r="AK141">
        <v>1</v>
      </c>
      <c r="AL141" t="s">
        <v>368</v>
      </c>
      <c r="AM141" t="s">
        <v>369</v>
      </c>
      <c r="AN141" t="s">
        <v>370</v>
      </c>
      <c r="AO141" t="s">
        <v>2929</v>
      </c>
      <c r="AP141" t="s">
        <v>2930</v>
      </c>
      <c r="AQ141" t="s">
        <v>74</v>
      </c>
      <c r="AR141" t="s">
        <v>2931</v>
      </c>
      <c r="AS141" t="s">
        <v>2932</v>
      </c>
      <c r="AT141" t="s">
        <v>2831</v>
      </c>
      <c r="AU141">
        <v>2013</v>
      </c>
      <c r="AV141">
        <v>48</v>
      </c>
      <c r="AW141" t="s">
        <v>74</v>
      </c>
      <c r="AX141" t="s">
        <v>74</v>
      </c>
      <c r="AY141">
        <v>1</v>
      </c>
      <c r="AZ141" t="s">
        <v>935</v>
      </c>
      <c r="BA141" t="s">
        <v>74</v>
      </c>
      <c r="BB141" t="s">
        <v>2943</v>
      </c>
      <c r="BC141" t="s">
        <v>2943</v>
      </c>
      <c r="BD141" t="s">
        <v>74</v>
      </c>
      <c r="BE141" t="s">
        <v>74</v>
      </c>
      <c r="BF141" t="s">
        <v>74</v>
      </c>
      <c r="BG141" t="s">
        <v>74</v>
      </c>
      <c r="BH141" t="s">
        <v>74</v>
      </c>
      <c r="BI141">
        <v>1</v>
      </c>
      <c r="BJ141" t="s">
        <v>766</v>
      </c>
      <c r="BK141" t="s">
        <v>2934</v>
      </c>
      <c r="BL141" t="s">
        <v>766</v>
      </c>
      <c r="BM141" t="s">
        <v>2935</v>
      </c>
      <c r="BN141" t="s">
        <v>74</v>
      </c>
      <c r="BO141" t="s">
        <v>74</v>
      </c>
      <c r="BP141" t="s">
        <v>74</v>
      </c>
      <c r="BQ141" t="s">
        <v>74</v>
      </c>
      <c r="BR141" t="s">
        <v>105</v>
      </c>
      <c r="BS141" t="s">
        <v>2944</v>
      </c>
      <c r="BT141" t="str">
        <f>HYPERLINK("https%3A%2F%2Fwww.webofscience.com%2Fwos%2Fwoscc%2Ffull-record%2FWOS:000325865800121","View Full Record in Web of Science")</f>
        <v>View Full Record in Web of Science</v>
      </c>
    </row>
    <row r="142" spans="1:72" x14ac:dyDescent="0.15">
      <c r="A142" t="s">
        <v>72</v>
      </c>
      <c r="B142" t="s">
        <v>2945</v>
      </c>
      <c r="C142" t="s">
        <v>74</v>
      </c>
      <c r="D142" t="s">
        <v>74</v>
      </c>
      <c r="E142" t="s">
        <v>74</v>
      </c>
      <c r="F142" t="s">
        <v>2946</v>
      </c>
      <c r="G142" t="s">
        <v>74</v>
      </c>
      <c r="H142" t="s">
        <v>74</v>
      </c>
      <c r="I142" t="s">
        <v>2947</v>
      </c>
      <c r="J142" t="s">
        <v>2922</v>
      </c>
      <c r="K142" t="s">
        <v>74</v>
      </c>
      <c r="L142" t="s">
        <v>74</v>
      </c>
      <c r="M142" t="s">
        <v>78</v>
      </c>
      <c r="N142" t="s">
        <v>52</v>
      </c>
      <c r="O142" t="s">
        <v>2923</v>
      </c>
      <c r="P142" t="s">
        <v>2924</v>
      </c>
      <c r="Q142" t="s">
        <v>2925</v>
      </c>
      <c r="R142" t="s">
        <v>74</v>
      </c>
      <c r="S142" t="s">
        <v>74</v>
      </c>
      <c r="T142" t="s">
        <v>74</v>
      </c>
      <c r="U142" t="s">
        <v>2948</v>
      </c>
      <c r="V142" t="s">
        <v>74</v>
      </c>
      <c r="W142" t="s">
        <v>2949</v>
      </c>
      <c r="X142" t="s">
        <v>2950</v>
      </c>
      <c r="Y142" t="s">
        <v>74</v>
      </c>
      <c r="Z142" t="s">
        <v>2951</v>
      </c>
      <c r="AA142" t="s">
        <v>2952</v>
      </c>
      <c r="AB142" t="s">
        <v>74</v>
      </c>
      <c r="AC142" t="s">
        <v>74</v>
      </c>
      <c r="AD142" t="s">
        <v>74</v>
      </c>
      <c r="AE142" t="s">
        <v>74</v>
      </c>
      <c r="AF142" t="s">
        <v>74</v>
      </c>
      <c r="AG142">
        <v>6</v>
      </c>
      <c r="AH142">
        <v>0</v>
      </c>
      <c r="AI142">
        <v>0</v>
      </c>
      <c r="AJ142">
        <v>0</v>
      </c>
      <c r="AK142">
        <v>2</v>
      </c>
      <c r="AL142" t="s">
        <v>368</v>
      </c>
      <c r="AM142" t="s">
        <v>369</v>
      </c>
      <c r="AN142" t="s">
        <v>370</v>
      </c>
      <c r="AO142" t="s">
        <v>2929</v>
      </c>
      <c r="AP142" t="s">
        <v>2930</v>
      </c>
      <c r="AQ142" t="s">
        <v>74</v>
      </c>
      <c r="AR142" t="s">
        <v>2931</v>
      </c>
      <c r="AS142" t="s">
        <v>2932</v>
      </c>
      <c r="AT142" t="s">
        <v>2831</v>
      </c>
      <c r="AU142">
        <v>2013</v>
      </c>
      <c r="AV142">
        <v>48</v>
      </c>
      <c r="AW142" t="s">
        <v>74</v>
      </c>
      <c r="AX142" t="s">
        <v>74</v>
      </c>
      <c r="AY142">
        <v>1</v>
      </c>
      <c r="AZ142" t="s">
        <v>935</v>
      </c>
      <c r="BA142" t="s">
        <v>74</v>
      </c>
      <c r="BB142" t="s">
        <v>2953</v>
      </c>
      <c r="BC142" t="s">
        <v>2953</v>
      </c>
      <c r="BD142" t="s">
        <v>74</v>
      </c>
      <c r="BE142" t="s">
        <v>74</v>
      </c>
      <c r="BF142" t="s">
        <v>74</v>
      </c>
      <c r="BG142" t="s">
        <v>74</v>
      </c>
      <c r="BH142" t="s">
        <v>74</v>
      </c>
      <c r="BI142">
        <v>1</v>
      </c>
      <c r="BJ142" t="s">
        <v>766</v>
      </c>
      <c r="BK142" t="s">
        <v>2934</v>
      </c>
      <c r="BL142" t="s">
        <v>766</v>
      </c>
      <c r="BM142" t="s">
        <v>2935</v>
      </c>
      <c r="BN142" t="s">
        <v>74</v>
      </c>
      <c r="BO142" t="s">
        <v>74</v>
      </c>
      <c r="BP142" t="s">
        <v>74</v>
      </c>
      <c r="BQ142" t="s">
        <v>74</v>
      </c>
      <c r="BR142" t="s">
        <v>105</v>
      </c>
      <c r="BS142" t="s">
        <v>2954</v>
      </c>
      <c r="BT142" t="str">
        <f>HYPERLINK("https%3A%2F%2Fwww.webofscience.com%2Fwos%2Fwoscc%2Ffull-record%2FWOS:000325865800220","View Full Record in Web of Science")</f>
        <v>View Full Record in Web of Science</v>
      </c>
    </row>
    <row r="143" spans="1:72" x14ac:dyDescent="0.15">
      <c r="A143" t="s">
        <v>72</v>
      </c>
      <c r="B143" t="s">
        <v>2955</v>
      </c>
      <c r="C143" t="s">
        <v>74</v>
      </c>
      <c r="D143" t="s">
        <v>74</v>
      </c>
      <c r="E143" t="s">
        <v>74</v>
      </c>
      <c r="F143" t="s">
        <v>2956</v>
      </c>
      <c r="G143" t="s">
        <v>74</v>
      </c>
      <c r="H143" t="s">
        <v>74</v>
      </c>
      <c r="I143" t="s">
        <v>2957</v>
      </c>
      <c r="J143" t="s">
        <v>2922</v>
      </c>
      <c r="K143" t="s">
        <v>74</v>
      </c>
      <c r="L143" t="s">
        <v>74</v>
      </c>
      <c r="M143" t="s">
        <v>78</v>
      </c>
      <c r="N143" t="s">
        <v>52</v>
      </c>
      <c r="O143" t="s">
        <v>2923</v>
      </c>
      <c r="P143" t="s">
        <v>2924</v>
      </c>
      <c r="Q143" t="s">
        <v>2925</v>
      </c>
      <c r="R143" t="s">
        <v>74</v>
      </c>
      <c r="S143" t="s">
        <v>74</v>
      </c>
      <c r="T143" t="s">
        <v>74</v>
      </c>
      <c r="U143" t="s">
        <v>74</v>
      </c>
      <c r="V143" t="s">
        <v>74</v>
      </c>
      <c r="W143" t="s">
        <v>2958</v>
      </c>
      <c r="X143" t="s">
        <v>2959</v>
      </c>
      <c r="Y143" t="s">
        <v>74</v>
      </c>
      <c r="Z143" t="s">
        <v>2960</v>
      </c>
      <c r="AA143" t="s">
        <v>74</v>
      </c>
      <c r="AB143" t="s">
        <v>74</v>
      </c>
      <c r="AC143" t="s">
        <v>74</v>
      </c>
      <c r="AD143" t="s">
        <v>74</v>
      </c>
      <c r="AE143" t="s">
        <v>74</v>
      </c>
      <c r="AF143" t="s">
        <v>74</v>
      </c>
      <c r="AG143">
        <v>6</v>
      </c>
      <c r="AH143">
        <v>0</v>
      </c>
      <c r="AI143">
        <v>0</v>
      </c>
      <c r="AJ143">
        <v>0</v>
      </c>
      <c r="AK143">
        <v>0</v>
      </c>
      <c r="AL143" t="s">
        <v>2961</v>
      </c>
      <c r="AM143" t="s">
        <v>369</v>
      </c>
      <c r="AN143" t="s">
        <v>370</v>
      </c>
      <c r="AO143" t="s">
        <v>2929</v>
      </c>
      <c r="AP143" t="s">
        <v>2930</v>
      </c>
      <c r="AQ143" t="s">
        <v>74</v>
      </c>
      <c r="AR143" t="s">
        <v>2931</v>
      </c>
      <c r="AS143" t="s">
        <v>2932</v>
      </c>
      <c r="AT143" t="s">
        <v>2831</v>
      </c>
      <c r="AU143">
        <v>2013</v>
      </c>
      <c r="AV143">
        <v>48</v>
      </c>
      <c r="AW143" t="s">
        <v>74</v>
      </c>
      <c r="AX143" t="s">
        <v>74</v>
      </c>
      <c r="AY143">
        <v>1</v>
      </c>
      <c r="AZ143" t="s">
        <v>935</v>
      </c>
      <c r="BA143" t="s">
        <v>74</v>
      </c>
      <c r="BB143" t="s">
        <v>2962</v>
      </c>
      <c r="BC143" t="s">
        <v>2962</v>
      </c>
      <c r="BD143" t="s">
        <v>74</v>
      </c>
      <c r="BE143" t="s">
        <v>74</v>
      </c>
      <c r="BF143" t="s">
        <v>74</v>
      </c>
      <c r="BG143" t="s">
        <v>74</v>
      </c>
      <c r="BH143" t="s">
        <v>74</v>
      </c>
      <c r="BI143">
        <v>1</v>
      </c>
      <c r="BJ143" t="s">
        <v>766</v>
      </c>
      <c r="BK143" t="s">
        <v>2934</v>
      </c>
      <c r="BL143" t="s">
        <v>766</v>
      </c>
      <c r="BM143" t="s">
        <v>2935</v>
      </c>
      <c r="BN143" t="s">
        <v>74</v>
      </c>
      <c r="BO143" t="s">
        <v>74</v>
      </c>
      <c r="BP143" t="s">
        <v>74</v>
      </c>
      <c r="BQ143" t="s">
        <v>74</v>
      </c>
      <c r="BR143" t="s">
        <v>105</v>
      </c>
      <c r="BS143" t="s">
        <v>2963</v>
      </c>
      <c r="BT143" t="str">
        <f>HYPERLINK("https%3A%2F%2Fwww.webofscience.com%2Fwos%2Fwoscc%2Ffull-record%2FWOS:000325865800283","View Full Record in Web of Science")</f>
        <v>View Full Record in Web of Science</v>
      </c>
    </row>
    <row r="144" spans="1:72" x14ac:dyDescent="0.15">
      <c r="A144" t="s">
        <v>72</v>
      </c>
      <c r="B144" t="s">
        <v>2964</v>
      </c>
      <c r="C144" t="s">
        <v>74</v>
      </c>
      <c r="D144" t="s">
        <v>74</v>
      </c>
      <c r="E144" t="s">
        <v>74</v>
      </c>
      <c r="F144" t="s">
        <v>2965</v>
      </c>
      <c r="G144" t="s">
        <v>74</v>
      </c>
      <c r="H144" t="s">
        <v>74</v>
      </c>
      <c r="I144" t="s">
        <v>2966</v>
      </c>
      <c r="J144" t="s">
        <v>2922</v>
      </c>
      <c r="K144" t="s">
        <v>74</v>
      </c>
      <c r="L144" t="s">
        <v>74</v>
      </c>
      <c r="M144" t="s">
        <v>78</v>
      </c>
      <c r="N144" t="s">
        <v>52</v>
      </c>
      <c r="O144" t="s">
        <v>2923</v>
      </c>
      <c r="P144" t="s">
        <v>2924</v>
      </c>
      <c r="Q144" t="s">
        <v>2925</v>
      </c>
      <c r="R144" t="s">
        <v>74</v>
      </c>
      <c r="S144" t="s">
        <v>74</v>
      </c>
      <c r="T144" t="s">
        <v>74</v>
      </c>
      <c r="U144" t="s">
        <v>74</v>
      </c>
      <c r="V144" t="s">
        <v>74</v>
      </c>
      <c r="W144" t="s">
        <v>2967</v>
      </c>
      <c r="X144" t="s">
        <v>2968</v>
      </c>
      <c r="Y144" t="s">
        <v>74</v>
      </c>
      <c r="Z144" t="s">
        <v>2969</v>
      </c>
      <c r="AA144" t="s">
        <v>2970</v>
      </c>
      <c r="AB144" t="s">
        <v>2971</v>
      </c>
      <c r="AC144" t="s">
        <v>74</v>
      </c>
      <c r="AD144" t="s">
        <v>74</v>
      </c>
      <c r="AE144" t="s">
        <v>74</v>
      </c>
      <c r="AF144" t="s">
        <v>74</v>
      </c>
      <c r="AG144">
        <v>3</v>
      </c>
      <c r="AH144">
        <v>0</v>
      </c>
      <c r="AI144">
        <v>0</v>
      </c>
      <c r="AJ144">
        <v>0</v>
      </c>
      <c r="AK144">
        <v>0</v>
      </c>
      <c r="AL144" t="s">
        <v>368</v>
      </c>
      <c r="AM144" t="s">
        <v>369</v>
      </c>
      <c r="AN144" t="s">
        <v>370</v>
      </c>
      <c r="AO144" t="s">
        <v>2929</v>
      </c>
      <c r="AP144" t="s">
        <v>2930</v>
      </c>
      <c r="AQ144" t="s">
        <v>74</v>
      </c>
      <c r="AR144" t="s">
        <v>2931</v>
      </c>
      <c r="AS144" t="s">
        <v>2932</v>
      </c>
      <c r="AT144" t="s">
        <v>2831</v>
      </c>
      <c r="AU144">
        <v>2013</v>
      </c>
      <c r="AV144">
        <v>48</v>
      </c>
      <c r="AW144" t="s">
        <v>74</v>
      </c>
      <c r="AX144" t="s">
        <v>74</v>
      </c>
      <c r="AY144">
        <v>1</v>
      </c>
      <c r="AZ144" t="s">
        <v>935</v>
      </c>
      <c r="BA144" t="s">
        <v>74</v>
      </c>
      <c r="BB144" t="s">
        <v>2972</v>
      </c>
      <c r="BC144" t="s">
        <v>2972</v>
      </c>
      <c r="BD144" t="s">
        <v>74</v>
      </c>
      <c r="BE144" t="s">
        <v>74</v>
      </c>
      <c r="BF144" t="s">
        <v>74</v>
      </c>
      <c r="BG144" t="s">
        <v>74</v>
      </c>
      <c r="BH144" t="s">
        <v>74</v>
      </c>
      <c r="BI144">
        <v>1</v>
      </c>
      <c r="BJ144" t="s">
        <v>766</v>
      </c>
      <c r="BK144" t="s">
        <v>2934</v>
      </c>
      <c r="BL144" t="s">
        <v>766</v>
      </c>
      <c r="BM144" t="s">
        <v>2935</v>
      </c>
      <c r="BN144" t="s">
        <v>74</v>
      </c>
      <c r="BO144" t="s">
        <v>74</v>
      </c>
      <c r="BP144" t="s">
        <v>74</v>
      </c>
      <c r="BQ144" t="s">
        <v>74</v>
      </c>
      <c r="BR144" t="s">
        <v>105</v>
      </c>
      <c r="BS144" t="s">
        <v>2973</v>
      </c>
      <c r="BT144" t="str">
        <f>HYPERLINK("https%3A%2F%2Fwww.webofscience.com%2Fwos%2Fwoscc%2Ffull-record%2FWOS:000325865800311","View Full Record in Web of Science")</f>
        <v>View Full Record in Web of Science</v>
      </c>
    </row>
    <row r="145" spans="1:72" x14ac:dyDescent="0.15">
      <c r="A145" t="s">
        <v>72</v>
      </c>
      <c r="B145" t="s">
        <v>2974</v>
      </c>
      <c r="C145" t="s">
        <v>74</v>
      </c>
      <c r="D145" t="s">
        <v>74</v>
      </c>
      <c r="E145" t="s">
        <v>74</v>
      </c>
      <c r="F145" t="s">
        <v>2975</v>
      </c>
      <c r="G145" t="s">
        <v>74</v>
      </c>
      <c r="H145" t="s">
        <v>74</v>
      </c>
      <c r="I145" t="s">
        <v>2976</v>
      </c>
      <c r="J145" t="s">
        <v>2922</v>
      </c>
      <c r="K145" t="s">
        <v>74</v>
      </c>
      <c r="L145" t="s">
        <v>74</v>
      </c>
      <c r="M145" t="s">
        <v>78</v>
      </c>
      <c r="N145" t="s">
        <v>52</v>
      </c>
      <c r="O145" t="s">
        <v>2923</v>
      </c>
      <c r="P145" t="s">
        <v>2924</v>
      </c>
      <c r="Q145" t="s">
        <v>2925</v>
      </c>
      <c r="R145" t="s">
        <v>74</v>
      </c>
      <c r="S145" t="s">
        <v>74</v>
      </c>
      <c r="T145" t="s">
        <v>74</v>
      </c>
      <c r="U145" t="s">
        <v>2977</v>
      </c>
      <c r="V145" t="s">
        <v>74</v>
      </c>
      <c r="W145" t="s">
        <v>2978</v>
      </c>
      <c r="X145" t="s">
        <v>2979</v>
      </c>
      <c r="Y145" t="s">
        <v>74</v>
      </c>
      <c r="Z145" t="s">
        <v>2980</v>
      </c>
      <c r="AA145" t="s">
        <v>2981</v>
      </c>
      <c r="AB145" t="s">
        <v>2982</v>
      </c>
      <c r="AC145" t="s">
        <v>74</v>
      </c>
      <c r="AD145" t="s">
        <v>74</v>
      </c>
      <c r="AE145" t="s">
        <v>74</v>
      </c>
      <c r="AF145" t="s">
        <v>74</v>
      </c>
      <c r="AG145">
        <v>5</v>
      </c>
      <c r="AH145">
        <v>0</v>
      </c>
      <c r="AI145">
        <v>0</v>
      </c>
      <c r="AJ145">
        <v>0</v>
      </c>
      <c r="AK145">
        <v>2</v>
      </c>
      <c r="AL145" t="s">
        <v>2961</v>
      </c>
      <c r="AM145" t="s">
        <v>369</v>
      </c>
      <c r="AN145" t="s">
        <v>370</v>
      </c>
      <c r="AO145" t="s">
        <v>2929</v>
      </c>
      <c r="AP145" t="s">
        <v>2930</v>
      </c>
      <c r="AQ145" t="s">
        <v>74</v>
      </c>
      <c r="AR145" t="s">
        <v>2931</v>
      </c>
      <c r="AS145" t="s">
        <v>2932</v>
      </c>
      <c r="AT145" t="s">
        <v>2831</v>
      </c>
      <c r="AU145">
        <v>2013</v>
      </c>
      <c r="AV145">
        <v>48</v>
      </c>
      <c r="AW145" t="s">
        <v>74</v>
      </c>
      <c r="AX145" t="s">
        <v>74</v>
      </c>
      <c r="AY145">
        <v>1</v>
      </c>
      <c r="AZ145" t="s">
        <v>935</v>
      </c>
      <c r="BA145" t="s">
        <v>74</v>
      </c>
      <c r="BB145" t="s">
        <v>2983</v>
      </c>
      <c r="BC145" t="s">
        <v>2983</v>
      </c>
      <c r="BD145" t="s">
        <v>74</v>
      </c>
      <c r="BE145" t="s">
        <v>74</v>
      </c>
      <c r="BF145" t="s">
        <v>74</v>
      </c>
      <c r="BG145" t="s">
        <v>74</v>
      </c>
      <c r="BH145" t="s">
        <v>74</v>
      </c>
      <c r="BI145">
        <v>1</v>
      </c>
      <c r="BJ145" t="s">
        <v>766</v>
      </c>
      <c r="BK145" t="s">
        <v>2934</v>
      </c>
      <c r="BL145" t="s">
        <v>766</v>
      </c>
      <c r="BM145" t="s">
        <v>2935</v>
      </c>
      <c r="BN145" t="s">
        <v>74</v>
      </c>
      <c r="BO145" t="s">
        <v>74</v>
      </c>
      <c r="BP145" t="s">
        <v>74</v>
      </c>
      <c r="BQ145" t="s">
        <v>74</v>
      </c>
      <c r="BR145" t="s">
        <v>105</v>
      </c>
      <c r="BS145" t="s">
        <v>2984</v>
      </c>
      <c r="BT145" t="str">
        <f>HYPERLINK("https%3A%2F%2Fwww.webofscience.com%2Fwos%2Fwoscc%2Ffull-record%2FWOS:000325865800318","View Full Record in Web of Science")</f>
        <v>View Full Record in Web of Science</v>
      </c>
    </row>
    <row r="146" spans="1:72" x14ac:dyDescent="0.15">
      <c r="A146" t="s">
        <v>72</v>
      </c>
      <c r="B146" t="s">
        <v>2985</v>
      </c>
      <c r="C146" t="s">
        <v>74</v>
      </c>
      <c r="D146" t="s">
        <v>74</v>
      </c>
      <c r="E146" t="s">
        <v>74</v>
      </c>
      <c r="F146" t="s">
        <v>2986</v>
      </c>
      <c r="G146" t="s">
        <v>74</v>
      </c>
      <c r="H146" t="s">
        <v>74</v>
      </c>
      <c r="I146" t="s">
        <v>2987</v>
      </c>
      <c r="J146" t="s">
        <v>2922</v>
      </c>
      <c r="K146" t="s">
        <v>74</v>
      </c>
      <c r="L146" t="s">
        <v>74</v>
      </c>
      <c r="M146" t="s">
        <v>78</v>
      </c>
      <c r="N146" t="s">
        <v>52</v>
      </c>
      <c r="O146" t="s">
        <v>2923</v>
      </c>
      <c r="P146" t="s">
        <v>2924</v>
      </c>
      <c r="Q146" t="s">
        <v>2925</v>
      </c>
      <c r="R146" t="s">
        <v>74</v>
      </c>
      <c r="S146" t="s">
        <v>74</v>
      </c>
      <c r="T146" t="s">
        <v>2988</v>
      </c>
      <c r="U146" t="s">
        <v>74</v>
      </c>
      <c r="V146" t="s">
        <v>74</v>
      </c>
      <c r="W146" t="s">
        <v>2989</v>
      </c>
      <c r="X146" t="s">
        <v>2990</v>
      </c>
      <c r="Y146" t="s">
        <v>74</v>
      </c>
      <c r="Z146" t="s">
        <v>2991</v>
      </c>
      <c r="AA146" t="s">
        <v>74</v>
      </c>
      <c r="AB146" t="s">
        <v>74</v>
      </c>
      <c r="AC146" t="s">
        <v>74</v>
      </c>
      <c r="AD146" t="s">
        <v>74</v>
      </c>
      <c r="AE146" t="s">
        <v>74</v>
      </c>
      <c r="AF146" t="s">
        <v>74</v>
      </c>
      <c r="AG146">
        <v>7</v>
      </c>
      <c r="AH146">
        <v>0</v>
      </c>
      <c r="AI146">
        <v>0</v>
      </c>
      <c r="AJ146">
        <v>0</v>
      </c>
      <c r="AK146">
        <v>4</v>
      </c>
      <c r="AL146" t="s">
        <v>368</v>
      </c>
      <c r="AM146" t="s">
        <v>369</v>
      </c>
      <c r="AN146" t="s">
        <v>370</v>
      </c>
      <c r="AO146" t="s">
        <v>2929</v>
      </c>
      <c r="AP146" t="s">
        <v>2930</v>
      </c>
      <c r="AQ146" t="s">
        <v>74</v>
      </c>
      <c r="AR146" t="s">
        <v>2931</v>
      </c>
      <c r="AS146" t="s">
        <v>2932</v>
      </c>
      <c r="AT146" t="s">
        <v>2831</v>
      </c>
      <c r="AU146">
        <v>2013</v>
      </c>
      <c r="AV146">
        <v>48</v>
      </c>
      <c r="AW146" t="s">
        <v>74</v>
      </c>
      <c r="AX146" t="s">
        <v>74</v>
      </c>
      <c r="AY146">
        <v>1</v>
      </c>
      <c r="AZ146" t="s">
        <v>935</v>
      </c>
      <c r="BA146" t="s">
        <v>74</v>
      </c>
      <c r="BB146" t="s">
        <v>2992</v>
      </c>
      <c r="BC146" t="s">
        <v>2992</v>
      </c>
      <c r="BD146" t="s">
        <v>74</v>
      </c>
      <c r="BE146" t="s">
        <v>74</v>
      </c>
      <c r="BF146" t="s">
        <v>74</v>
      </c>
      <c r="BG146" t="s">
        <v>74</v>
      </c>
      <c r="BH146" t="s">
        <v>74</v>
      </c>
      <c r="BI146">
        <v>1</v>
      </c>
      <c r="BJ146" t="s">
        <v>766</v>
      </c>
      <c r="BK146" t="s">
        <v>2934</v>
      </c>
      <c r="BL146" t="s">
        <v>766</v>
      </c>
      <c r="BM146" t="s">
        <v>2935</v>
      </c>
      <c r="BN146" t="s">
        <v>74</v>
      </c>
      <c r="BO146" t="s">
        <v>74</v>
      </c>
      <c r="BP146" t="s">
        <v>74</v>
      </c>
      <c r="BQ146" t="s">
        <v>74</v>
      </c>
      <c r="BR146" t="s">
        <v>105</v>
      </c>
      <c r="BS146" t="s">
        <v>2993</v>
      </c>
      <c r="BT146" t="str">
        <f>HYPERLINK("https%3A%2F%2Fwww.webofscience.com%2Fwos%2Fwoscc%2Ffull-record%2FWOS:000325865800348","View Full Record in Web of Science")</f>
        <v>View Full Record in Web of Science</v>
      </c>
    </row>
    <row r="147" spans="1:72" x14ac:dyDescent="0.15">
      <c r="A147" t="s">
        <v>72</v>
      </c>
      <c r="B147" t="s">
        <v>2994</v>
      </c>
      <c r="C147" t="s">
        <v>74</v>
      </c>
      <c r="D147" t="s">
        <v>74</v>
      </c>
      <c r="E147" t="s">
        <v>74</v>
      </c>
      <c r="F147" t="s">
        <v>2995</v>
      </c>
      <c r="G147" t="s">
        <v>74</v>
      </c>
      <c r="H147" t="s">
        <v>74</v>
      </c>
      <c r="I147" t="s">
        <v>2996</v>
      </c>
      <c r="J147" t="s">
        <v>2997</v>
      </c>
      <c r="K147" t="s">
        <v>74</v>
      </c>
      <c r="L147" t="s">
        <v>74</v>
      </c>
      <c r="M147" t="s">
        <v>78</v>
      </c>
      <c r="N147" t="s">
        <v>52</v>
      </c>
      <c r="O147" t="s">
        <v>74</v>
      </c>
      <c r="P147" t="s">
        <v>74</v>
      </c>
      <c r="Q147" t="s">
        <v>74</v>
      </c>
      <c r="R147" t="s">
        <v>74</v>
      </c>
      <c r="S147" t="s">
        <v>74</v>
      </c>
      <c r="T147" t="s">
        <v>74</v>
      </c>
      <c r="U147" t="s">
        <v>74</v>
      </c>
      <c r="V147" t="s">
        <v>74</v>
      </c>
      <c r="W147" t="s">
        <v>2998</v>
      </c>
      <c r="X147" t="s">
        <v>2999</v>
      </c>
      <c r="Y147" t="s">
        <v>74</v>
      </c>
      <c r="Z147" t="s">
        <v>3000</v>
      </c>
      <c r="AA147" t="s">
        <v>3001</v>
      </c>
      <c r="AB147" t="s">
        <v>74</v>
      </c>
      <c r="AC147" t="s">
        <v>74</v>
      </c>
      <c r="AD147" t="s">
        <v>74</v>
      </c>
      <c r="AE147" t="s">
        <v>74</v>
      </c>
      <c r="AF147" t="s">
        <v>74</v>
      </c>
      <c r="AG147">
        <v>0</v>
      </c>
      <c r="AH147">
        <v>0</v>
      </c>
      <c r="AI147">
        <v>0</v>
      </c>
      <c r="AJ147">
        <v>0</v>
      </c>
      <c r="AK147">
        <v>3</v>
      </c>
      <c r="AL147" t="s">
        <v>3002</v>
      </c>
      <c r="AM147" t="s">
        <v>3003</v>
      </c>
      <c r="AN147" t="s">
        <v>3004</v>
      </c>
      <c r="AO147" t="s">
        <v>3005</v>
      </c>
      <c r="AP147" t="s">
        <v>74</v>
      </c>
      <c r="AQ147" t="s">
        <v>74</v>
      </c>
      <c r="AR147" t="s">
        <v>2997</v>
      </c>
      <c r="AS147" t="s">
        <v>3006</v>
      </c>
      <c r="AT147" t="s">
        <v>2831</v>
      </c>
      <c r="AU147">
        <v>2013</v>
      </c>
      <c r="AV147">
        <v>52</v>
      </c>
      <c r="AW147">
        <v>4</v>
      </c>
      <c r="AX147" t="s">
        <v>74</v>
      </c>
      <c r="AY147" t="s">
        <v>3007</v>
      </c>
      <c r="AZ147" t="s">
        <v>74</v>
      </c>
      <c r="BA147">
        <v>6</v>
      </c>
      <c r="BB147">
        <v>3</v>
      </c>
      <c r="BC147">
        <v>3</v>
      </c>
      <c r="BD147" t="s">
        <v>74</v>
      </c>
      <c r="BE147" t="s">
        <v>74</v>
      </c>
      <c r="BF147" t="s">
        <v>74</v>
      </c>
      <c r="BG147" t="s">
        <v>74</v>
      </c>
      <c r="BH147" t="s">
        <v>74</v>
      </c>
      <c r="BI147">
        <v>1</v>
      </c>
      <c r="BJ147" t="s">
        <v>1748</v>
      </c>
      <c r="BK147" t="s">
        <v>102</v>
      </c>
      <c r="BL147" t="s">
        <v>1748</v>
      </c>
      <c r="BM147" t="s">
        <v>3008</v>
      </c>
      <c r="BN147" t="s">
        <v>74</v>
      </c>
      <c r="BO147" t="s">
        <v>74</v>
      </c>
      <c r="BP147" t="s">
        <v>74</v>
      </c>
      <c r="BQ147" t="s">
        <v>74</v>
      </c>
      <c r="BR147" t="s">
        <v>105</v>
      </c>
      <c r="BS147" t="s">
        <v>3009</v>
      </c>
      <c r="BT147" t="str">
        <f>HYPERLINK("https%3A%2F%2Fwww.webofscience.com%2Fwos%2Fwoscc%2Ffull-record%2FWOS:000325963600007","View Full Record in Web of Science")</f>
        <v>View Full Record in Web of Science</v>
      </c>
    </row>
    <row r="148" spans="1:72" x14ac:dyDescent="0.15">
      <c r="A148" t="s">
        <v>72</v>
      </c>
      <c r="B148" t="s">
        <v>3010</v>
      </c>
      <c r="C148" t="s">
        <v>74</v>
      </c>
      <c r="D148" t="s">
        <v>74</v>
      </c>
      <c r="E148" t="s">
        <v>74</v>
      </c>
      <c r="F148" t="s">
        <v>3011</v>
      </c>
      <c r="G148" t="s">
        <v>74</v>
      </c>
      <c r="H148" t="s">
        <v>74</v>
      </c>
      <c r="I148" t="s">
        <v>3012</v>
      </c>
      <c r="J148" t="s">
        <v>2997</v>
      </c>
      <c r="K148" t="s">
        <v>74</v>
      </c>
      <c r="L148" t="s">
        <v>74</v>
      </c>
      <c r="M148" t="s">
        <v>78</v>
      </c>
      <c r="N148" t="s">
        <v>52</v>
      </c>
      <c r="O148" t="s">
        <v>74</v>
      </c>
      <c r="P148" t="s">
        <v>74</v>
      </c>
      <c r="Q148" t="s">
        <v>74</v>
      </c>
      <c r="R148" t="s">
        <v>74</v>
      </c>
      <c r="S148" t="s">
        <v>74</v>
      </c>
      <c r="T148" t="s">
        <v>74</v>
      </c>
      <c r="U148" t="s">
        <v>74</v>
      </c>
      <c r="V148" t="s">
        <v>74</v>
      </c>
      <c r="W148" t="s">
        <v>3013</v>
      </c>
      <c r="X148" t="s">
        <v>3014</v>
      </c>
      <c r="Y148" t="s">
        <v>74</v>
      </c>
      <c r="Z148" t="s">
        <v>3015</v>
      </c>
      <c r="AA148" t="s">
        <v>3016</v>
      </c>
      <c r="AB148" t="s">
        <v>74</v>
      </c>
      <c r="AC148" t="s">
        <v>74</v>
      </c>
      <c r="AD148" t="s">
        <v>74</v>
      </c>
      <c r="AE148" t="s">
        <v>74</v>
      </c>
      <c r="AF148" t="s">
        <v>74</v>
      </c>
      <c r="AG148">
        <v>0</v>
      </c>
      <c r="AH148">
        <v>0</v>
      </c>
      <c r="AI148">
        <v>0</v>
      </c>
      <c r="AJ148">
        <v>0</v>
      </c>
      <c r="AK148">
        <v>8</v>
      </c>
      <c r="AL148" t="s">
        <v>3002</v>
      </c>
      <c r="AM148" t="s">
        <v>3003</v>
      </c>
      <c r="AN148" t="s">
        <v>3004</v>
      </c>
      <c r="AO148" t="s">
        <v>3005</v>
      </c>
      <c r="AP148" t="s">
        <v>74</v>
      </c>
      <c r="AQ148" t="s">
        <v>74</v>
      </c>
      <c r="AR148" t="s">
        <v>2997</v>
      </c>
      <c r="AS148" t="s">
        <v>3006</v>
      </c>
      <c r="AT148" t="s">
        <v>2831</v>
      </c>
      <c r="AU148">
        <v>2013</v>
      </c>
      <c r="AV148">
        <v>52</v>
      </c>
      <c r="AW148">
        <v>4</v>
      </c>
      <c r="AX148" t="s">
        <v>74</v>
      </c>
      <c r="AY148" t="s">
        <v>3007</v>
      </c>
      <c r="AZ148" t="s">
        <v>74</v>
      </c>
      <c r="BA148">
        <v>7</v>
      </c>
      <c r="BB148">
        <v>3</v>
      </c>
      <c r="BC148">
        <v>3</v>
      </c>
      <c r="BD148" t="s">
        <v>74</v>
      </c>
      <c r="BE148" t="s">
        <v>74</v>
      </c>
      <c r="BF148" t="s">
        <v>74</v>
      </c>
      <c r="BG148" t="s">
        <v>74</v>
      </c>
      <c r="BH148" t="s">
        <v>74</v>
      </c>
      <c r="BI148">
        <v>1</v>
      </c>
      <c r="BJ148" t="s">
        <v>1748</v>
      </c>
      <c r="BK148" t="s">
        <v>102</v>
      </c>
      <c r="BL148" t="s">
        <v>1748</v>
      </c>
      <c r="BM148" t="s">
        <v>3008</v>
      </c>
      <c r="BN148" t="s">
        <v>74</v>
      </c>
      <c r="BO148" t="s">
        <v>74</v>
      </c>
      <c r="BP148" t="s">
        <v>74</v>
      </c>
      <c r="BQ148" t="s">
        <v>74</v>
      </c>
      <c r="BR148" t="s">
        <v>105</v>
      </c>
      <c r="BS148" t="s">
        <v>3017</v>
      </c>
      <c r="BT148" t="str">
        <f>HYPERLINK("https%3A%2F%2Fwww.webofscience.com%2Fwos%2Fwoscc%2Ffull-record%2FWOS:000325963600008","View Full Record in Web of Science")</f>
        <v>View Full Record in Web of Science</v>
      </c>
    </row>
    <row r="149" spans="1:72" x14ac:dyDescent="0.15">
      <c r="A149" t="s">
        <v>72</v>
      </c>
      <c r="B149" t="s">
        <v>3018</v>
      </c>
      <c r="C149" t="s">
        <v>74</v>
      </c>
      <c r="D149" t="s">
        <v>74</v>
      </c>
      <c r="E149" t="s">
        <v>74</v>
      </c>
      <c r="F149" t="s">
        <v>3019</v>
      </c>
      <c r="G149" t="s">
        <v>74</v>
      </c>
      <c r="H149" t="s">
        <v>74</v>
      </c>
      <c r="I149" t="s">
        <v>3020</v>
      </c>
      <c r="J149" t="s">
        <v>2997</v>
      </c>
      <c r="K149" t="s">
        <v>74</v>
      </c>
      <c r="L149" t="s">
        <v>74</v>
      </c>
      <c r="M149" t="s">
        <v>78</v>
      </c>
      <c r="N149" t="s">
        <v>52</v>
      </c>
      <c r="O149" t="s">
        <v>74</v>
      </c>
      <c r="P149" t="s">
        <v>74</v>
      </c>
      <c r="Q149" t="s">
        <v>74</v>
      </c>
      <c r="R149" t="s">
        <v>74</v>
      </c>
      <c r="S149" t="s">
        <v>74</v>
      </c>
      <c r="T149" t="s">
        <v>74</v>
      </c>
      <c r="U149" t="s">
        <v>74</v>
      </c>
      <c r="V149" t="s">
        <v>74</v>
      </c>
      <c r="W149" t="s">
        <v>74</v>
      </c>
      <c r="X149" t="s">
        <v>74</v>
      </c>
      <c r="Y149" t="s">
        <v>74</v>
      </c>
      <c r="Z149" t="s">
        <v>3021</v>
      </c>
      <c r="AA149" t="s">
        <v>74</v>
      </c>
      <c r="AB149" t="s">
        <v>74</v>
      </c>
      <c r="AC149" t="s">
        <v>74</v>
      </c>
      <c r="AD149" t="s">
        <v>74</v>
      </c>
      <c r="AE149" t="s">
        <v>74</v>
      </c>
      <c r="AF149" t="s">
        <v>74</v>
      </c>
      <c r="AG149">
        <v>0</v>
      </c>
      <c r="AH149">
        <v>0</v>
      </c>
      <c r="AI149">
        <v>0</v>
      </c>
      <c r="AJ149">
        <v>0</v>
      </c>
      <c r="AK149">
        <v>0</v>
      </c>
      <c r="AL149" t="s">
        <v>3002</v>
      </c>
      <c r="AM149" t="s">
        <v>3003</v>
      </c>
      <c r="AN149" t="s">
        <v>3004</v>
      </c>
      <c r="AO149" t="s">
        <v>3005</v>
      </c>
      <c r="AP149" t="s">
        <v>74</v>
      </c>
      <c r="AQ149" t="s">
        <v>74</v>
      </c>
      <c r="AR149" t="s">
        <v>2997</v>
      </c>
      <c r="AS149" t="s">
        <v>3006</v>
      </c>
      <c r="AT149" t="s">
        <v>2831</v>
      </c>
      <c r="AU149">
        <v>2013</v>
      </c>
      <c r="AV149">
        <v>52</v>
      </c>
      <c r="AW149">
        <v>4</v>
      </c>
      <c r="AX149" t="s">
        <v>74</v>
      </c>
      <c r="AY149" t="s">
        <v>3007</v>
      </c>
      <c r="AZ149" t="s">
        <v>74</v>
      </c>
      <c r="BA149">
        <v>50</v>
      </c>
      <c r="BB149">
        <v>19</v>
      </c>
      <c r="BC149">
        <v>19</v>
      </c>
      <c r="BD149" t="s">
        <v>74</v>
      </c>
      <c r="BE149" t="s">
        <v>74</v>
      </c>
      <c r="BF149" t="s">
        <v>74</v>
      </c>
      <c r="BG149" t="s">
        <v>74</v>
      </c>
      <c r="BH149" t="s">
        <v>74</v>
      </c>
      <c r="BI149">
        <v>1</v>
      </c>
      <c r="BJ149" t="s">
        <v>1748</v>
      </c>
      <c r="BK149" t="s">
        <v>102</v>
      </c>
      <c r="BL149" t="s">
        <v>1748</v>
      </c>
      <c r="BM149" t="s">
        <v>3008</v>
      </c>
      <c r="BN149" t="s">
        <v>74</v>
      </c>
      <c r="BO149" t="s">
        <v>74</v>
      </c>
      <c r="BP149" t="s">
        <v>74</v>
      </c>
      <c r="BQ149" t="s">
        <v>74</v>
      </c>
      <c r="BR149" t="s">
        <v>105</v>
      </c>
      <c r="BS149" t="s">
        <v>3022</v>
      </c>
      <c r="BT149" t="str">
        <f>HYPERLINK("https%3A%2F%2Fwww.webofscience.com%2Fwos%2Fwoscc%2Ffull-record%2FWOS:000325963600051","View Full Record in Web of Science")</f>
        <v>View Full Record in Web of Science</v>
      </c>
    </row>
    <row r="150" spans="1:72" x14ac:dyDescent="0.15">
      <c r="A150" t="s">
        <v>72</v>
      </c>
      <c r="B150" t="s">
        <v>3023</v>
      </c>
      <c r="C150" t="s">
        <v>74</v>
      </c>
      <c r="D150" t="s">
        <v>74</v>
      </c>
      <c r="E150" t="s">
        <v>74</v>
      </c>
      <c r="F150" t="s">
        <v>3024</v>
      </c>
      <c r="G150" t="s">
        <v>74</v>
      </c>
      <c r="H150" t="s">
        <v>74</v>
      </c>
      <c r="I150" t="s">
        <v>3025</v>
      </c>
      <c r="J150" t="s">
        <v>2997</v>
      </c>
      <c r="K150" t="s">
        <v>74</v>
      </c>
      <c r="L150" t="s">
        <v>74</v>
      </c>
      <c r="M150" t="s">
        <v>78</v>
      </c>
      <c r="N150" t="s">
        <v>52</v>
      </c>
      <c r="O150" t="s">
        <v>74</v>
      </c>
      <c r="P150" t="s">
        <v>74</v>
      </c>
      <c r="Q150" t="s">
        <v>74</v>
      </c>
      <c r="R150" t="s">
        <v>74</v>
      </c>
      <c r="S150" t="s">
        <v>74</v>
      </c>
      <c r="T150" t="s">
        <v>74</v>
      </c>
      <c r="U150" t="s">
        <v>74</v>
      </c>
      <c r="V150" t="s">
        <v>74</v>
      </c>
      <c r="W150" t="s">
        <v>3026</v>
      </c>
      <c r="X150" t="s">
        <v>3027</v>
      </c>
      <c r="Y150" t="s">
        <v>74</v>
      </c>
      <c r="Z150" t="s">
        <v>3028</v>
      </c>
      <c r="AA150" t="s">
        <v>3029</v>
      </c>
      <c r="AB150" t="s">
        <v>74</v>
      </c>
      <c r="AC150" t="s">
        <v>74</v>
      </c>
      <c r="AD150" t="s">
        <v>74</v>
      </c>
      <c r="AE150" t="s">
        <v>74</v>
      </c>
      <c r="AF150" t="s">
        <v>74</v>
      </c>
      <c r="AG150">
        <v>0</v>
      </c>
      <c r="AH150">
        <v>0</v>
      </c>
      <c r="AI150">
        <v>0</v>
      </c>
      <c r="AJ150">
        <v>0</v>
      </c>
      <c r="AK150">
        <v>3</v>
      </c>
      <c r="AL150" t="s">
        <v>3002</v>
      </c>
      <c r="AM150" t="s">
        <v>3003</v>
      </c>
      <c r="AN150" t="s">
        <v>3004</v>
      </c>
      <c r="AO150" t="s">
        <v>3005</v>
      </c>
      <c r="AP150" t="s">
        <v>74</v>
      </c>
      <c r="AQ150" t="s">
        <v>74</v>
      </c>
      <c r="AR150" t="s">
        <v>2997</v>
      </c>
      <c r="AS150" t="s">
        <v>3006</v>
      </c>
      <c r="AT150" t="s">
        <v>2831</v>
      </c>
      <c r="AU150">
        <v>2013</v>
      </c>
      <c r="AV150">
        <v>52</v>
      </c>
      <c r="AW150">
        <v>4</v>
      </c>
      <c r="AX150" t="s">
        <v>74</v>
      </c>
      <c r="AY150" t="s">
        <v>3007</v>
      </c>
      <c r="AZ150" t="s">
        <v>74</v>
      </c>
      <c r="BA150">
        <v>258</v>
      </c>
      <c r="BB150">
        <v>98</v>
      </c>
      <c r="BC150">
        <v>98</v>
      </c>
      <c r="BD150" t="s">
        <v>74</v>
      </c>
      <c r="BE150" t="s">
        <v>74</v>
      </c>
      <c r="BF150" t="s">
        <v>74</v>
      </c>
      <c r="BG150" t="s">
        <v>74</v>
      </c>
      <c r="BH150" t="s">
        <v>74</v>
      </c>
      <c r="BI150">
        <v>1</v>
      </c>
      <c r="BJ150" t="s">
        <v>1748</v>
      </c>
      <c r="BK150" t="s">
        <v>102</v>
      </c>
      <c r="BL150" t="s">
        <v>1748</v>
      </c>
      <c r="BM150" t="s">
        <v>3008</v>
      </c>
      <c r="BN150" t="s">
        <v>74</v>
      </c>
      <c r="BO150" t="s">
        <v>74</v>
      </c>
      <c r="BP150" t="s">
        <v>74</v>
      </c>
      <c r="BQ150" t="s">
        <v>74</v>
      </c>
      <c r="BR150" t="s">
        <v>105</v>
      </c>
      <c r="BS150" t="s">
        <v>3030</v>
      </c>
      <c r="BT150" t="str">
        <f>HYPERLINK("https%3A%2F%2Fwww.webofscience.com%2Fwos%2Fwoscc%2Ffull-record%2FWOS:000325963600259","View Full Record in Web of Science")</f>
        <v>View Full Record in Web of Science</v>
      </c>
    </row>
    <row r="151" spans="1:72" x14ac:dyDescent="0.15">
      <c r="A151" t="s">
        <v>72</v>
      </c>
      <c r="B151" t="s">
        <v>3031</v>
      </c>
      <c r="C151" t="s">
        <v>74</v>
      </c>
      <c r="D151" t="s">
        <v>74</v>
      </c>
      <c r="E151" t="s">
        <v>74</v>
      </c>
      <c r="F151" t="s">
        <v>3032</v>
      </c>
      <c r="G151" t="s">
        <v>74</v>
      </c>
      <c r="H151" t="s">
        <v>74</v>
      </c>
      <c r="I151" t="s">
        <v>3033</v>
      </c>
      <c r="J151" t="s">
        <v>2997</v>
      </c>
      <c r="K151" t="s">
        <v>74</v>
      </c>
      <c r="L151" t="s">
        <v>74</v>
      </c>
      <c r="M151" t="s">
        <v>78</v>
      </c>
      <c r="N151" t="s">
        <v>52</v>
      </c>
      <c r="O151" t="s">
        <v>74</v>
      </c>
      <c r="P151" t="s">
        <v>74</v>
      </c>
      <c r="Q151" t="s">
        <v>74</v>
      </c>
      <c r="R151" t="s">
        <v>74</v>
      </c>
      <c r="S151" t="s">
        <v>74</v>
      </c>
      <c r="T151" t="s">
        <v>74</v>
      </c>
      <c r="U151" t="s">
        <v>74</v>
      </c>
      <c r="V151" t="s">
        <v>74</v>
      </c>
      <c r="W151" t="s">
        <v>3034</v>
      </c>
      <c r="X151" t="s">
        <v>3035</v>
      </c>
      <c r="Y151" t="s">
        <v>74</v>
      </c>
      <c r="Z151" t="s">
        <v>3036</v>
      </c>
      <c r="AA151" t="s">
        <v>74</v>
      </c>
      <c r="AB151" t="s">
        <v>74</v>
      </c>
      <c r="AC151" t="s">
        <v>74</v>
      </c>
      <c r="AD151" t="s">
        <v>74</v>
      </c>
      <c r="AE151" t="s">
        <v>74</v>
      </c>
      <c r="AF151" t="s">
        <v>74</v>
      </c>
      <c r="AG151">
        <v>0</v>
      </c>
      <c r="AH151">
        <v>0</v>
      </c>
      <c r="AI151">
        <v>0</v>
      </c>
      <c r="AJ151">
        <v>0</v>
      </c>
      <c r="AK151">
        <v>4</v>
      </c>
      <c r="AL151" t="s">
        <v>3002</v>
      </c>
      <c r="AM151" t="s">
        <v>3003</v>
      </c>
      <c r="AN151" t="s">
        <v>3004</v>
      </c>
      <c r="AO151" t="s">
        <v>3005</v>
      </c>
      <c r="AP151" t="s">
        <v>74</v>
      </c>
      <c r="AQ151" t="s">
        <v>74</v>
      </c>
      <c r="AR151" t="s">
        <v>2997</v>
      </c>
      <c r="AS151" t="s">
        <v>3006</v>
      </c>
      <c r="AT151" t="s">
        <v>2831</v>
      </c>
      <c r="AU151">
        <v>2013</v>
      </c>
      <c r="AV151">
        <v>52</v>
      </c>
      <c r="AW151">
        <v>4</v>
      </c>
      <c r="AX151" t="s">
        <v>74</v>
      </c>
      <c r="AY151" t="s">
        <v>3007</v>
      </c>
      <c r="AZ151" t="s">
        <v>74</v>
      </c>
      <c r="BA151">
        <v>296</v>
      </c>
      <c r="BB151">
        <v>112</v>
      </c>
      <c r="BC151">
        <v>112</v>
      </c>
      <c r="BD151" t="s">
        <v>74</v>
      </c>
      <c r="BE151" t="s">
        <v>74</v>
      </c>
      <c r="BF151" t="s">
        <v>74</v>
      </c>
      <c r="BG151" t="s">
        <v>74</v>
      </c>
      <c r="BH151" t="s">
        <v>74</v>
      </c>
      <c r="BI151">
        <v>1</v>
      </c>
      <c r="BJ151" t="s">
        <v>1748</v>
      </c>
      <c r="BK151" t="s">
        <v>102</v>
      </c>
      <c r="BL151" t="s">
        <v>1748</v>
      </c>
      <c r="BM151" t="s">
        <v>3008</v>
      </c>
      <c r="BN151" t="s">
        <v>74</v>
      </c>
      <c r="BO151" t="s">
        <v>74</v>
      </c>
      <c r="BP151" t="s">
        <v>74</v>
      </c>
      <c r="BQ151" t="s">
        <v>74</v>
      </c>
      <c r="BR151" t="s">
        <v>105</v>
      </c>
      <c r="BS151" t="s">
        <v>3037</v>
      </c>
      <c r="BT151" t="str">
        <f>HYPERLINK("https%3A%2F%2Fwww.webofscience.com%2Fwos%2Fwoscc%2Ffull-record%2FWOS:000325963600297","View Full Record in Web of Science")</f>
        <v>View Full Record in Web of Science</v>
      </c>
    </row>
    <row r="152" spans="1:72" x14ac:dyDescent="0.15">
      <c r="A152" t="s">
        <v>72</v>
      </c>
      <c r="B152" t="s">
        <v>3038</v>
      </c>
      <c r="C152" t="s">
        <v>74</v>
      </c>
      <c r="D152" t="s">
        <v>74</v>
      </c>
      <c r="E152" t="s">
        <v>74</v>
      </c>
      <c r="F152" t="s">
        <v>3039</v>
      </c>
      <c r="G152" t="s">
        <v>74</v>
      </c>
      <c r="H152" t="s">
        <v>74</v>
      </c>
      <c r="I152" t="s">
        <v>3040</v>
      </c>
      <c r="J152" t="s">
        <v>3041</v>
      </c>
      <c r="K152" t="s">
        <v>74</v>
      </c>
      <c r="L152" t="s">
        <v>74</v>
      </c>
      <c r="M152" t="s">
        <v>78</v>
      </c>
      <c r="N152" t="s">
        <v>3042</v>
      </c>
      <c r="O152" t="s">
        <v>3043</v>
      </c>
      <c r="P152" t="s">
        <v>3044</v>
      </c>
      <c r="Q152" t="s">
        <v>3045</v>
      </c>
      <c r="R152" t="s">
        <v>74</v>
      </c>
      <c r="S152" t="s">
        <v>74</v>
      </c>
      <c r="T152" t="s">
        <v>74</v>
      </c>
      <c r="U152" t="s">
        <v>3046</v>
      </c>
      <c r="V152" t="s">
        <v>3047</v>
      </c>
      <c r="W152" t="s">
        <v>3048</v>
      </c>
      <c r="X152" t="s">
        <v>3049</v>
      </c>
      <c r="Y152" t="s">
        <v>3050</v>
      </c>
      <c r="Z152" t="s">
        <v>3051</v>
      </c>
      <c r="AA152" t="s">
        <v>74</v>
      </c>
      <c r="AB152" t="s">
        <v>74</v>
      </c>
      <c r="AC152" t="s">
        <v>74</v>
      </c>
      <c r="AD152" t="s">
        <v>74</v>
      </c>
      <c r="AE152" t="s">
        <v>74</v>
      </c>
      <c r="AF152" t="s">
        <v>74</v>
      </c>
      <c r="AG152">
        <v>30</v>
      </c>
      <c r="AH152">
        <v>3</v>
      </c>
      <c r="AI152">
        <v>3</v>
      </c>
      <c r="AJ152">
        <v>0</v>
      </c>
      <c r="AK152">
        <v>2</v>
      </c>
      <c r="AL152" t="s">
        <v>3052</v>
      </c>
      <c r="AM152" t="s">
        <v>3053</v>
      </c>
      <c r="AN152" t="s">
        <v>3054</v>
      </c>
      <c r="AO152" t="s">
        <v>3055</v>
      </c>
      <c r="AP152" t="s">
        <v>3056</v>
      </c>
      <c r="AQ152" t="s">
        <v>74</v>
      </c>
      <c r="AR152" t="s">
        <v>3041</v>
      </c>
      <c r="AS152" t="s">
        <v>3057</v>
      </c>
      <c r="AT152" t="s">
        <v>2831</v>
      </c>
      <c r="AU152">
        <v>2013</v>
      </c>
      <c r="AV152">
        <v>86</v>
      </c>
      <c r="AW152" t="s">
        <v>3058</v>
      </c>
      <c r="AX152" t="s">
        <v>74</v>
      </c>
      <c r="AY152" t="s">
        <v>74</v>
      </c>
      <c r="AZ152" t="s">
        <v>935</v>
      </c>
      <c r="BA152" t="s">
        <v>74</v>
      </c>
      <c r="BB152">
        <v>829</v>
      </c>
      <c r="BC152">
        <v>852</v>
      </c>
      <c r="BD152" t="s">
        <v>74</v>
      </c>
      <c r="BE152" t="s">
        <v>3059</v>
      </c>
      <c r="BF152" t="str">
        <f>HYPERLINK("http://dx.doi.org/10.1163/15685403-00003216","http://dx.doi.org/10.1163/15685403-00003216")</f>
        <v>http://dx.doi.org/10.1163/15685403-00003216</v>
      </c>
      <c r="BG152" t="s">
        <v>74</v>
      </c>
      <c r="BH152" t="s">
        <v>74</v>
      </c>
      <c r="BI152">
        <v>24</v>
      </c>
      <c r="BJ152" t="s">
        <v>1809</v>
      </c>
      <c r="BK152" t="s">
        <v>2934</v>
      </c>
      <c r="BL152" t="s">
        <v>1809</v>
      </c>
      <c r="BM152" t="s">
        <v>3060</v>
      </c>
      <c r="BN152" t="s">
        <v>74</v>
      </c>
      <c r="BO152" t="s">
        <v>74</v>
      </c>
      <c r="BP152" t="s">
        <v>74</v>
      </c>
      <c r="BQ152" t="s">
        <v>74</v>
      </c>
      <c r="BR152" t="s">
        <v>105</v>
      </c>
      <c r="BS152" t="s">
        <v>3061</v>
      </c>
      <c r="BT152" t="str">
        <f>HYPERLINK("https%3A%2F%2Fwww.webofscience.com%2Fwos%2Fwoscc%2Ffull-record%2FWOS:000325058700005","View Full Record in Web of Science")</f>
        <v>View Full Record in Web of Science</v>
      </c>
    </row>
    <row r="153" spans="1:72" x14ac:dyDescent="0.15">
      <c r="A153" t="s">
        <v>72</v>
      </c>
      <c r="B153" t="s">
        <v>3062</v>
      </c>
      <c r="C153" t="s">
        <v>74</v>
      </c>
      <c r="D153" t="s">
        <v>74</v>
      </c>
      <c r="E153" t="s">
        <v>74</v>
      </c>
      <c r="F153" t="s">
        <v>3063</v>
      </c>
      <c r="G153" t="s">
        <v>74</v>
      </c>
      <c r="H153" t="s">
        <v>74</v>
      </c>
      <c r="I153" t="s">
        <v>3064</v>
      </c>
      <c r="J153" t="s">
        <v>3065</v>
      </c>
      <c r="K153" t="s">
        <v>74</v>
      </c>
      <c r="L153" t="s">
        <v>74</v>
      </c>
      <c r="M153" t="s">
        <v>3066</v>
      </c>
      <c r="N153" t="s">
        <v>79</v>
      </c>
      <c r="O153" t="s">
        <v>74</v>
      </c>
      <c r="P153" t="s">
        <v>74</v>
      </c>
      <c r="Q153" t="s">
        <v>74</v>
      </c>
      <c r="R153" t="s">
        <v>74</v>
      </c>
      <c r="S153" t="s">
        <v>74</v>
      </c>
      <c r="T153" t="s">
        <v>74</v>
      </c>
      <c r="U153" t="s">
        <v>3067</v>
      </c>
      <c r="V153" t="s">
        <v>3068</v>
      </c>
      <c r="W153" t="s">
        <v>3069</v>
      </c>
      <c r="X153" t="s">
        <v>3070</v>
      </c>
      <c r="Y153" t="s">
        <v>3071</v>
      </c>
      <c r="Z153" t="s">
        <v>3072</v>
      </c>
      <c r="AA153" t="s">
        <v>3073</v>
      </c>
      <c r="AB153" t="s">
        <v>3074</v>
      </c>
      <c r="AC153" t="s">
        <v>74</v>
      </c>
      <c r="AD153" t="s">
        <v>74</v>
      </c>
      <c r="AE153" t="s">
        <v>74</v>
      </c>
      <c r="AF153" t="s">
        <v>74</v>
      </c>
      <c r="AG153">
        <v>22</v>
      </c>
      <c r="AH153">
        <v>7</v>
      </c>
      <c r="AI153">
        <v>7</v>
      </c>
      <c r="AJ153">
        <v>1</v>
      </c>
      <c r="AK153">
        <v>5</v>
      </c>
      <c r="AL153" t="s">
        <v>3075</v>
      </c>
      <c r="AM153" t="s">
        <v>3076</v>
      </c>
      <c r="AN153" t="s">
        <v>3077</v>
      </c>
      <c r="AO153" t="s">
        <v>3078</v>
      </c>
      <c r="AP153" t="s">
        <v>3079</v>
      </c>
      <c r="AQ153" t="s">
        <v>74</v>
      </c>
      <c r="AR153" t="s">
        <v>3080</v>
      </c>
      <c r="AS153" t="s">
        <v>3081</v>
      </c>
      <c r="AT153" t="s">
        <v>2831</v>
      </c>
      <c r="AU153">
        <v>2013</v>
      </c>
      <c r="AV153">
        <v>79</v>
      </c>
      <c r="AW153">
        <v>4</v>
      </c>
      <c r="AX153" t="s">
        <v>74</v>
      </c>
      <c r="AY153" t="s">
        <v>74</v>
      </c>
      <c r="AZ153" t="s">
        <v>74</v>
      </c>
      <c r="BA153" t="s">
        <v>74</v>
      </c>
      <c r="BB153">
        <v>638</v>
      </c>
      <c r="BC153">
        <v>648</v>
      </c>
      <c r="BD153" t="s">
        <v>74</v>
      </c>
      <c r="BE153" t="s">
        <v>3082</v>
      </c>
      <c r="BF153" t="str">
        <f>HYPERLINK("http://dx.doi.org/10.2331/suisan.79.638","http://dx.doi.org/10.2331/suisan.79.638")</f>
        <v>http://dx.doi.org/10.2331/suisan.79.638</v>
      </c>
      <c r="BG153" t="s">
        <v>74</v>
      </c>
      <c r="BH153" t="s">
        <v>74</v>
      </c>
      <c r="BI153">
        <v>11</v>
      </c>
      <c r="BJ153" t="s">
        <v>3083</v>
      </c>
      <c r="BK153" t="s">
        <v>102</v>
      </c>
      <c r="BL153" t="s">
        <v>3083</v>
      </c>
      <c r="BM153" t="s">
        <v>3084</v>
      </c>
      <c r="BN153" t="s">
        <v>74</v>
      </c>
      <c r="BO153" t="s">
        <v>104</v>
      </c>
      <c r="BP153" t="s">
        <v>74</v>
      </c>
      <c r="BQ153" t="s">
        <v>74</v>
      </c>
      <c r="BR153" t="s">
        <v>105</v>
      </c>
      <c r="BS153" t="s">
        <v>3085</v>
      </c>
      <c r="BT153" t="str">
        <f>HYPERLINK("https%3A%2F%2Fwww.webofscience.com%2Fwos%2Fwoscc%2Ffull-record%2FWOS:000324664000016","View Full Record in Web of Science")</f>
        <v>View Full Record in Web of Science</v>
      </c>
    </row>
    <row r="154" spans="1:72" x14ac:dyDescent="0.15">
      <c r="A154" t="s">
        <v>72</v>
      </c>
      <c r="B154" t="s">
        <v>3086</v>
      </c>
      <c r="C154" t="s">
        <v>74</v>
      </c>
      <c r="D154" t="s">
        <v>74</v>
      </c>
      <c r="E154" t="s">
        <v>74</v>
      </c>
      <c r="F154" t="s">
        <v>3087</v>
      </c>
      <c r="G154" t="s">
        <v>74</v>
      </c>
      <c r="H154" t="s">
        <v>74</v>
      </c>
      <c r="I154" t="s">
        <v>3088</v>
      </c>
      <c r="J154" t="s">
        <v>3089</v>
      </c>
      <c r="K154" t="s">
        <v>74</v>
      </c>
      <c r="L154" t="s">
        <v>74</v>
      </c>
      <c r="M154" t="s">
        <v>78</v>
      </c>
      <c r="N154" t="s">
        <v>79</v>
      </c>
      <c r="O154" t="s">
        <v>74</v>
      </c>
      <c r="P154" t="s">
        <v>74</v>
      </c>
      <c r="Q154" t="s">
        <v>74</v>
      </c>
      <c r="R154" t="s">
        <v>74</v>
      </c>
      <c r="S154" t="s">
        <v>74</v>
      </c>
      <c r="T154" t="s">
        <v>74</v>
      </c>
      <c r="U154" t="s">
        <v>3090</v>
      </c>
      <c r="V154" t="s">
        <v>3091</v>
      </c>
      <c r="W154" t="s">
        <v>3092</v>
      </c>
      <c r="X154" t="s">
        <v>3093</v>
      </c>
      <c r="Y154" t="s">
        <v>74</v>
      </c>
      <c r="Z154" t="s">
        <v>3094</v>
      </c>
      <c r="AA154" t="s">
        <v>3095</v>
      </c>
      <c r="AB154" t="s">
        <v>3096</v>
      </c>
      <c r="AC154" t="s">
        <v>3097</v>
      </c>
      <c r="AD154" t="s">
        <v>3098</v>
      </c>
      <c r="AE154" t="s">
        <v>3099</v>
      </c>
      <c r="AF154" t="s">
        <v>74</v>
      </c>
      <c r="AG154">
        <v>41</v>
      </c>
      <c r="AH154">
        <v>16</v>
      </c>
      <c r="AI154">
        <v>20</v>
      </c>
      <c r="AJ154">
        <v>0</v>
      </c>
      <c r="AK154">
        <v>8</v>
      </c>
      <c r="AL154" t="s">
        <v>3100</v>
      </c>
      <c r="AM154" t="s">
        <v>643</v>
      </c>
      <c r="AN154" t="s">
        <v>3101</v>
      </c>
      <c r="AO154" t="s">
        <v>3102</v>
      </c>
      <c r="AP154" t="s">
        <v>3103</v>
      </c>
      <c r="AQ154" t="s">
        <v>74</v>
      </c>
      <c r="AR154" t="s">
        <v>3104</v>
      </c>
      <c r="AS154" t="s">
        <v>3105</v>
      </c>
      <c r="AT154" t="s">
        <v>2831</v>
      </c>
      <c r="AU154">
        <v>2013</v>
      </c>
      <c r="AV154">
        <v>63</v>
      </c>
      <c r="AW154" t="s">
        <v>74</v>
      </c>
      <c r="AX154">
        <v>7</v>
      </c>
      <c r="AY154" t="s">
        <v>74</v>
      </c>
      <c r="AZ154" t="s">
        <v>74</v>
      </c>
      <c r="BA154" t="s">
        <v>74</v>
      </c>
      <c r="BB154">
        <v>2666</v>
      </c>
      <c r="BC154">
        <v>2671</v>
      </c>
      <c r="BD154" t="s">
        <v>74</v>
      </c>
      <c r="BE154" t="s">
        <v>3106</v>
      </c>
      <c r="BF154" t="str">
        <f>HYPERLINK("http://dx.doi.org/10.1099/ijs.0.046904-0","http://dx.doi.org/10.1099/ijs.0.046904-0")</f>
        <v>http://dx.doi.org/10.1099/ijs.0.046904-0</v>
      </c>
      <c r="BG154" t="s">
        <v>74</v>
      </c>
      <c r="BH154" t="s">
        <v>74</v>
      </c>
      <c r="BI154">
        <v>6</v>
      </c>
      <c r="BJ154" t="s">
        <v>3107</v>
      </c>
      <c r="BK154" t="s">
        <v>102</v>
      </c>
      <c r="BL154" t="s">
        <v>3107</v>
      </c>
      <c r="BM154" t="s">
        <v>3108</v>
      </c>
      <c r="BN154">
        <v>23291884</v>
      </c>
      <c r="BO154" t="s">
        <v>74</v>
      </c>
      <c r="BP154" t="s">
        <v>74</v>
      </c>
      <c r="BQ154" t="s">
        <v>74</v>
      </c>
      <c r="BR154" t="s">
        <v>105</v>
      </c>
      <c r="BS154" t="s">
        <v>3109</v>
      </c>
      <c r="BT154" t="str">
        <f>HYPERLINK("https%3A%2F%2Fwww.webofscience.com%2Fwos%2Fwoscc%2Ffull-record%2FWOS:000323083100047","View Full Record in Web of Science")</f>
        <v>View Full Record in Web of Science</v>
      </c>
    </row>
    <row r="155" spans="1:72" x14ac:dyDescent="0.15">
      <c r="A155" t="s">
        <v>72</v>
      </c>
      <c r="B155" t="s">
        <v>3110</v>
      </c>
      <c r="C155" t="s">
        <v>74</v>
      </c>
      <c r="D155" t="s">
        <v>74</v>
      </c>
      <c r="E155" t="s">
        <v>74</v>
      </c>
      <c r="F155" t="s">
        <v>3111</v>
      </c>
      <c r="G155" t="s">
        <v>74</v>
      </c>
      <c r="H155" t="s">
        <v>74</v>
      </c>
      <c r="I155" t="s">
        <v>3112</v>
      </c>
      <c r="J155" t="s">
        <v>3113</v>
      </c>
      <c r="K155" t="s">
        <v>74</v>
      </c>
      <c r="L155" t="s">
        <v>74</v>
      </c>
      <c r="M155" t="s">
        <v>78</v>
      </c>
      <c r="N155" t="s">
        <v>79</v>
      </c>
      <c r="O155" t="s">
        <v>74</v>
      </c>
      <c r="P155" t="s">
        <v>74</v>
      </c>
      <c r="Q155" t="s">
        <v>74</v>
      </c>
      <c r="R155" t="s">
        <v>74</v>
      </c>
      <c r="S155" t="s">
        <v>74</v>
      </c>
      <c r="T155" t="s">
        <v>74</v>
      </c>
      <c r="U155" t="s">
        <v>3114</v>
      </c>
      <c r="V155" t="s">
        <v>3115</v>
      </c>
      <c r="W155" t="s">
        <v>3116</v>
      </c>
      <c r="X155" t="s">
        <v>3117</v>
      </c>
      <c r="Y155" t="s">
        <v>3118</v>
      </c>
      <c r="Z155" t="s">
        <v>3119</v>
      </c>
      <c r="AA155" t="s">
        <v>3120</v>
      </c>
      <c r="AB155" t="s">
        <v>3121</v>
      </c>
      <c r="AC155" t="s">
        <v>3122</v>
      </c>
      <c r="AD155" t="s">
        <v>3123</v>
      </c>
      <c r="AE155" t="s">
        <v>3124</v>
      </c>
      <c r="AF155" t="s">
        <v>74</v>
      </c>
      <c r="AG155">
        <v>12</v>
      </c>
      <c r="AH155">
        <v>5</v>
      </c>
      <c r="AI155">
        <v>5</v>
      </c>
      <c r="AJ155">
        <v>0</v>
      </c>
      <c r="AK155">
        <v>3</v>
      </c>
      <c r="AL155" t="s">
        <v>3125</v>
      </c>
      <c r="AM155" t="s">
        <v>391</v>
      </c>
      <c r="AN155" t="s">
        <v>3126</v>
      </c>
      <c r="AO155" t="s">
        <v>3127</v>
      </c>
      <c r="AP155" t="s">
        <v>3128</v>
      </c>
      <c r="AQ155" t="s">
        <v>74</v>
      </c>
      <c r="AR155" t="s">
        <v>3129</v>
      </c>
      <c r="AS155" t="s">
        <v>3130</v>
      </c>
      <c r="AT155" t="s">
        <v>2831</v>
      </c>
      <c r="AU155">
        <v>2013</v>
      </c>
      <c r="AV155">
        <v>53</v>
      </c>
      <c r="AW155">
        <v>4</v>
      </c>
      <c r="AX155" t="s">
        <v>74</v>
      </c>
      <c r="AY155" t="s">
        <v>74</v>
      </c>
      <c r="AZ155" t="s">
        <v>74</v>
      </c>
      <c r="BA155" t="s">
        <v>74</v>
      </c>
      <c r="BB155">
        <v>432</v>
      </c>
      <c r="BC155">
        <v>441</v>
      </c>
      <c r="BD155" t="s">
        <v>74</v>
      </c>
      <c r="BE155" t="s">
        <v>3131</v>
      </c>
      <c r="BF155" t="str">
        <f>HYPERLINK("http://dx.doi.org/10.1134/S0001437013040152","http://dx.doi.org/10.1134/S0001437013040152")</f>
        <v>http://dx.doi.org/10.1134/S0001437013040152</v>
      </c>
      <c r="BG155" t="s">
        <v>74</v>
      </c>
      <c r="BH155" t="s">
        <v>74</v>
      </c>
      <c r="BI155">
        <v>10</v>
      </c>
      <c r="BJ155" t="s">
        <v>327</v>
      </c>
      <c r="BK155" t="s">
        <v>102</v>
      </c>
      <c r="BL155" t="s">
        <v>327</v>
      </c>
      <c r="BM155" t="s">
        <v>3132</v>
      </c>
      <c r="BN155" t="s">
        <v>74</v>
      </c>
      <c r="BO155" t="s">
        <v>74</v>
      </c>
      <c r="BP155" t="s">
        <v>74</v>
      </c>
      <c r="BQ155" t="s">
        <v>74</v>
      </c>
      <c r="BR155" t="s">
        <v>105</v>
      </c>
      <c r="BS155" t="s">
        <v>3133</v>
      </c>
      <c r="BT155" t="str">
        <f>HYPERLINK("https%3A%2F%2Fwww.webofscience.com%2Fwos%2Fwoscc%2Ffull-record%2FWOS:000323669600005","View Full Record in Web of Science")</f>
        <v>View Full Record in Web of Science</v>
      </c>
    </row>
    <row r="156" spans="1:72" x14ac:dyDescent="0.15">
      <c r="A156" t="s">
        <v>72</v>
      </c>
      <c r="B156" t="s">
        <v>3134</v>
      </c>
      <c r="C156" t="s">
        <v>74</v>
      </c>
      <c r="D156" t="s">
        <v>74</v>
      </c>
      <c r="E156" t="s">
        <v>74</v>
      </c>
      <c r="F156" t="s">
        <v>3135</v>
      </c>
      <c r="G156" t="s">
        <v>74</v>
      </c>
      <c r="H156" t="s">
        <v>74</v>
      </c>
      <c r="I156" t="s">
        <v>3136</v>
      </c>
      <c r="J156" t="s">
        <v>3113</v>
      </c>
      <c r="K156" t="s">
        <v>74</v>
      </c>
      <c r="L156" t="s">
        <v>74</v>
      </c>
      <c r="M156" t="s">
        <v>78</v>
      </c>
      <c r="N156" t="s">
        <v>79</v>
      </c>
      <c r="O156" t="s">
        <v>74</v>
      </c>
      <c r="P156" t="s">
        <v>74</v>
      </c>
      <c r="Q156" t="s">
        <v>74</v>
      </c>
      <c r="R156" t="s">
        <v>74</v>
      </c>
      <c r="S156" t="s">
        <v>74</v>
      </c>
      <c r="T156" t="s">
        <v>74</v>
      </c>
      <c r="U156" t="s">
        <v>3137</v>
      </c>
      <c r="V156" t="s">
        <v>3138</v>
      </c>
      <c r="W156" t="s">
        <v>3139</v>
      </c>
      <c r="X156" t="s">
        <v>3140</v>
      </c>
      <c r="Y156" t="s">
        <v>3141</v>
      </c>
      <c r="Z156" t="s">
        <v>3142</v>
      </c>
      <c r="AA156" t="s">
        <v>3143</v>
      </c>
      <c r="AB156" t="s">
        <v>3144</v>
      </c>
      <c r="AC156" t="s">
        <v>3145</v>
      </c>
      <c r="AD156" t="s">
        <v>3146</v>
      </c>
      <c r="AE156" t="s">
        <v>3147</v>
      </c>
      <c r="AF156" t="s">
        <v>74</v>
      </c>
      <c r="AG156">
        <v>48</v>
      </c>
      <c r="AH156">
        <v>4</v>
      </c>
      <c r="AI156">
        <v>4</v>
      </c>
      <c r="AJ156">
        <v>1</v>
      </c>
      <c r="AK156">
        <v>11</v>
      </c>
      <c r="AL156" t="s">
        <v>3125</v>
      </c>
      <c r="AM156" t="s">
        <v>391</v>
      </c>
      <c r="AN156" t="s">
        <v>3126</v>
      </c>
      <c r="AO156" t="s">
        <v>3127</v>
      </c>
      <c r="AP156" t="s">
        <v>3128</v>
      </c>
      <c r="AQ156" t="s">
        <v>74</v>
      </c>
      <c r="AR156" t="s">
        <v>3129</v>
      </c>
      <c r="AS156" t="s">
        <v>3130</v>
      </c>
      <c r="AT156" t="s">
        <v>2831</v>
      </c>
      <c r="AU156">
        <v>2013</v>
      </c>
      <c r="AV156">
        <v>53</v>
      </c>
      <c r="AW156">
        <v>4</v>
      </c>
      <c r="AX156" t="s">
        <v>74</v>
      </c>
      <c r="AY156" t="s">
        <v>74</v>
      </c>
      <c r="AZ156" t="s">
        <v>74</v>
      </c>
      <c r="BA156" t="s">
        <v>74</v>
      </c>
      <c r="BB156">
        <v>451</v>
      </c>
      <c r="BC156">
        <v>459</v>
      </c>
      <c r="BD156" t="s">
        <v>74</v>
      </c>
      <c r="BE156" t="s">
        <v>3148</v>
      </c>
      <c r="BF156" t="str">
        <f>HYPERLINK("http://dx.doi.org/10.1134/S0001437013040140","http://dx.doi.org/10.1134/S0001437013040140")</f>
        <v>http://dx.doi.org/10.1134/S0001437013040140</v>
      </c>
      <c r="BG156" t="s">
        <v>74</v>
      </c>
      <c r="BH156" t="s">
        <v>74</v>
      </c>
      <c r="BI156">
        <v>9</v>
      </c>
      <c r="BJ156" t="s">
        <v>327</v>
      </c>
      <c r="BK156" t="s">
        <v>102</v>
      </c>
      <c r="BL156" t="s">
        <v>327</v>
      </c>
      <c r="BM156" t="s">
        <v>3132</v>
      </c>
      <c r="BN156" t="s">
        <v>74</v>
      </c>
      <c r="BO156" t="s">
        <v>74</v>
      </c>
      <c r="BP156" t="s">
        <v>74</v>
      </c>
      <c r="BQ156" t="s">
        <v>74</v>
      </c>
      <c r="BR156" t="s">
        <v>105</v>
      </c>
      <c r="BS156" t="s">
        <v>3149</v>
      </c>
      <c r="BT156" t="str">
        <f>HYPERLINK("https%3A%2F%2Fwww.webofscience.com%2Fwos%2Fwoscc%2Ffull-record%2FWOS:000323669600007","View Full Record in Web of Science")</f>
        <v>View Full Record in Web of Science</v>
      </c>
    </row>
    <row r="157" spans="1:72" x14ac:dyDescent="0.15">
      <c r="A157" t="s">
        <v>72</v>
      </c>
      <c r="B157" t="s">
        <v>3150</v>
      </c>
      <c r="C157" t="s">
        <v>74</v>
      </c>
      <c r="D157" t="s">
        <v>74</v>
      </c>
      <c r="E157" t="s">
        <v>74</v>
      </c>
      <c r="F157" t="s">
        <v>3151</v>
      </c>
      <c r="G157" t="s">
        <v>74</v>
      </c>
      <c r="H157" t="s">
        <v>74</v>
      </c>
      <c r="I157" t="s">
        <v>3152</v>
      </c>
      <c r="J157" t="s">
        <v>268</v>
      </c>
      <c r="K157" t="s">
        <v>74</v>
      </c>
      <c r="L157" t="s">
        <v>74</v>
      </c>
      <c r="M157" t="s">
        <v>78</v>
      </c>
      <c r="N157" t="s">
        <v>79</v>
      </c>
      <c r="O157" t="s">
        <v>74</v>
      </c>
      <c r="P157" t="s">
        <v>74</v>
      </c>
      <c r="Q157" t="s">
        <v>74</v>
      </c>
      <c r="R157" t="s">
        <v>74</v>
      </c>
      <c r="S157" t="s">
        <v>74</v>
      </c>
      <c r="T157" t="s">
        <v>74</v>
      </c>
      <c r="U157" t="s">
        <v>3153</v>
      </c>
      <c r="V157" t="s">
        <v>3154</v>
      </c>
      <c r="W157" t="s">
        <v>3155</v>
      </c>
      <c r="X157" t="s">
        <v>3156</v>
      </c>
      <c r="Y157" t="s">
        <v>3157</v>
      </c>
      <c r="Z157" t="s">
        <v>3158</v>
      </c>
      <c r="AA157" t="s">
        <v>3159</v>
      </c>
      <c r="AB157" t="s">
        <v>3160</v>
      </c>
      <c r="AC157" t="s">
        <v>3161</v>
      </c>
      <c r="AD157" t="s">
        <v>3162</v>
      </c>
      <c r="AE157" t="s">
        <v>3163</v>
      </c>
      <c r="AF157" t="s">
        <v>74</v>
      </c>
      <c r="AG157">
        <v>29</v>
      </c>
      <c r="AH157">
        <v>53</v>
      </c>
      <c r="AI157">
        <v>59</v>
      </c>
      <c r="AJ157">
        <v>2</v>
      </c>
      <c r="AK157">
        <v>81</v>
      </c>
      <c r="AL157" t="s">
        <v>279</v>
      </c>
      <c r="AM157" t="s">
        <v>280</v>
      </c>
      <c r="AN157" t="s">
        <v>281</v>
      </c>
      <c r="AO157" t="s">
        <v>282</v>
      </c>
      <c r="AP157" t="s">
        <v>283</v>
      </c>
      <c r="AQ157" t="s">
        <v>74</v>
      </c>
      <c r="AR157" t="s">
        <v>268</v>
      </c>
      <c r="AS157" t="s">
        <v>219</v>
      </c>
      <c r="AT157" t="s">
        <v>2831</v>
      </c>
      <c r="AU157">
        <v>2013</v>
      </c>
      <c r="AV157">
        <v>41</v>
      </c>
      <c r="AW157">
        <v>7</v>
      </c>
      <c r="AX157" t="s">
        <v>74</v>
      </c>
      <c r="AY157" t="s">
        <v>74</v>
      </c>
      <c r="AZ157" t="s">
        <v>74</v>
      </c>
      <c r="BA157" t="s">
        <v>74</v>
      </c>
      <c r="BB157">
        <v>723</v>
      </c>
      <c r="BC157">
        <v>726</v>
      </c>
      <c r="BD157" t="s">
        <v>74</v>
      </c>
      <c r="BE157" t="s">
        <v>3164</v>
      </c>
      <c r="BF157" t="str">
        <f>HYPERLINK("http://dx.doi.org/10.1130/G34204.1","http://dx.doi.org/10.1130/G34204.1")</f>
        <v>http://dx.doi.org/10.1130/G34204.1</v>
      </c>
      <c r="BG157" t="s">
        <v>74</v>
      </c>
      <c r="BH157" t="s">
        <v>74</v>
      </c>
      <c r="BI157">
        <v>4</v>
      </c>
      <c r="BJ157" t="s">
        <v>219</v>
      </c>
      <c r="BK157" t="s">
        <v>102</v>
      </c>
      <c r="BL157" t="s">
        <v>219</v>
      </c>
      <c r="BM157" t="s">
        <v>3165</v>
      </c>
      <c r="BN157" t="s">
        <v>74</v>
      </c>
      <c r="BO157" t="s">
        <v>74</v>
      </c>
      <c r="BP157" t="s">
        <v>74</v>
      </c>
      <c r="BQ157" t="s">
        <v>74</v>
      </c>
      <c r="BR157" t="s">
        <v>105</v>
      </c>
      <c r="BS157" t="s">
        <v>3166</v>
      </c>
      <c r="BT157" t="str">
        <f>HYPERLINK("https%3A%2F%2Fwww.webofscience.com%2Fwos%2Fwoscc%2Ffull-record%2FWOS:000323272400001","View Full Record in Web of Science")</f>
        <v>View Full Record in Web of Science</v>
      </c>
    </row>
    <row r="158" spans="1:72" x14ac:dyDescent="0.15">
      <c r="A158" t="s">
        <v>72</v>
      </c>
      <c r="B158" t="s">
        <v>3167</v>
      </c>
      <c r="C158" t="s">
        <v>74</v>
      </c>
      <c r="D158" t="s">
        <v>74</v>
      </c>
      <c r="E158" t="s">
        <v>74</v>
      </c>
      <c r="F158" t="s">
        <v>3168</v>
      </c>
      <c r="G158" t="s">
        <v>74</v>
      </c>
      <c r="H158" t="s">
        <v>74</v>
      </c>
      <c r="I158" t="s">
        <v>3169</v>
      </c>
      <c r="J158" t="s">
        <v>3170</v>
      </c>
      <c r="K158" t="s">
        <v>74</v>
      </c>
      <c r="L158" t="s">
        <v>74</v>
      </c>
      <c r="M158" t="s">
        <v>203</v>
      </c>
      <c r="N158" t="s">
        <v>79</v>
      </c>
      <c r="O158" t="s">
        <v>74</v>
      </c>
      <c r="P158" t="s">
        <v>74</v>
      </c>
      <c r="Q158" t="s">
        <v>74</v>
      </c>
      <c r="R158" t="s">
        <v>74</v>
      </c>
      <c r="S158" t="s">
        <v>74</v>
      </c>
      <c r="T158" t="s">
        <v>3171</v>
      </c>
      <c r="U158" t="s">
        <v>3172</v>
      </c>
      <c r="V158" t="s">
        <v>3173</v>
      </c>
      <c r="W158" t="s">
        <v>3174</v>
      </c>
      <c r="X158" t="s">
        <v>3175</v>
      </c>
      <c r="Y158" t="s">
        <v>3176</v>
      </c>
      <c r="Z158" t="s">
        <v>3177</v>
      </c>
      <c r="AA158" t="s">
        <v>3178</v>
      </c>
      <c r="AB158" t="s">
        <v>74</v>
      </c>
      <c r="AC158" t="s">
        <v>74</v>
      </c>
      <c r="AD158" t="s">
        <v>74</v>
      </c>
      <c r="AE158" t="s">
        <v>74</v>
      </c>
      <c r="AF158" t="s">
        <v>74</v>
      </c>
      <c r="AG158">
        <v>22</v>
      </c>
      <c r="AH158">
        <v>1</v>
      </c>
      <c r="AI158">
        <v>6</v>
      </c>
      <c r="AJ158">
        <v>2</v>
      </c>
      <c r="AK158">
        <v>18</v>
      </c>
      <c r="AL158" t="s">
        <v>212</v>
      </c>
      <c r="AM158" t="s">
        <v>213</v>
      </c>
      <c r="AN158" t="s">
        <v>214</v>
      </c>
      <c r="AO158" t="s">
        <v>3179</v>
      </c>
      <c r="AP158" t="s">
        <v>74</v>
      </c>
      <c r="AQ158" t="s">
        <v>74</v>
      </c>
      <c r="AR158" t="s">
        <v>3180</v>
      </c>
      <c r="AS158" t="s">
        <v>3181</v>
      </c>
      <c r="AT158" t="s">
        <v>2831</v>
      </c>
      <c r="AU158">
        <v>2013</v>
      </c>
      <c r="AV158">
        <v>56</v>
      </c>
      <c r="AW158">
        <v>7</v>
      </c>
      <c r="AX158" t="s">
        <v>74</v>
      </c>
      <c r="AY158" t="s">
        <v>74</v>
      </c>
      <c r="AZ158" t="s">
        <v>74</v>
      </c>
      <c r="BA158" t="s">
        <v>74</v>
      </c>
      <c r="BB158">
        <v>2177</v>
      </c>
      <c r="BC158">
        <v>2184</v>
      </c>
      <c r="BD158" t="s">
        <v>74</v>
      </c>
      <c r="BE158" t="s">
        <v>3182</v>
      </c>
      <c r="BF158" t="str">
        <f>HYPERLINK("http://dx.doi.org/10.6038/cjg20130705","http://dx.doi.org/10.6038/cjg20130705")</f>
        <v>http://dx.doi.org/10.6038/cjg20130705</v>
      </c>
      <c r="BG158" t="s">
        <v>74</v>
      </c>
      <c r="BH158" t="s">
        <v>74</v>
      </c>
      <c r="BI158">
        <v>8</v>
      </c>
      <c r="BJ158" t="s">
        <v>766</v>
      </c>
      <c r="BK158" t="s">
        <v>102</v>
      </c>
      <c r="BL158" t="s">
        <v>766</v>
      </c>
      <c r="BM158" t="s">
        <v>3183</v>
      </c>
      <c r="BN158" t="s">
        <v>74</v>
      </c>
      <c r="BO158" t="s">
        <v>74</v>
      </c>
      <c r="BP158" t="s">
        <v>74</v>
      </c>
      <c r="BQ158" t="s">
        <v>74</v>
      </c>
      <c r="BR158" t="s">
        <v>105</v>
      </c>
      <c r="BS158" t="s">
        <v>3184</v>
      </c>
      <c r="BT158" t="str">
        <f>HYPERLINK("https%3A%2F%2Fwww.webofscience.com%2Fwos%2Fwoscc%2Ffull-record%2FWOS:000322687100005","View Full Record in Web of Science")</f>
        <v>View Full Record in Web of Science</v>
      </c>
    </row>
    <row r="159" spans="1:72" x14ac:dyDescent="0.15">
      <c r="A159" t="s">
        <v>72</v>
      </c>
      <c r="B159" t="s">
        <v>3185</v>
      </c>
      <c r="C159" t="s">
        <v>74</v>
      </c>
      <c r="D159" t="s">
        <v>74</v>
      </c>
      <c r="E159" t="s">
        <v>74</v>
      </c>
      <c r="F159" t="s">
        <v>3186</v>
      </c>
      <c r="G159" t="s">
        <v>74</v>
      </c>
      <c r="H159" t="s">
        <v>74</v>
      </c>
      <c r="I159" t="s">
        <v>3187</v>
      </c>
      <c r="J159" t="s">
        <v>3188</v>
      </c>
      <c r="K159" t="s">
        <v>74</v>
      </c>
      <c r="L159" t="s">
        <v>74</v>
      </c>
      <c r="M159" t="s">
        <v>78</v>
      </c>
      <c r="N159" t="s">
        <v>79</v>
      </c>
      <c r="O159" t="s">
        <v>74</v>
      </c>
      <c r="P159" t="s">
        <v>74</v>
      </c>
      <c r="Q159" t="s">
        <v>74</v>
      </c>
      <c r="R159" t="s">
        <v>74</v>
      </c>
      <c r="S159" t="s">
        <v>74</v>
      </c>
      <c r="T159" t="s">
        <v>74</v>
      </c>
      <c r="U159" t="s">
        <v>3189</v>
      </c>
      <c r="V159" t="s">
        <v>3190</v>
      </c>
      <c r="W159" t="s">
        <v>3191</v>
      </c>
      <c r="X159" t="s">
        <v>3192</v>
      </c>
      <c r="Y159" t="s">
        <v>3193</v>
      </c>
      <c r="Z159" t="s">
        <v>3194</v>
      </c>
      <c r="AA159" t="s">
        <v>3195</v>
      </c>
      <c r="AB159" t="s">
        <v>3196</v>
      </c>
      <c r="AC159" t="s">
        <v>3197</v>
      </c>
      <c r="AD159" t="s">
        <v>3198</v>
      </c>
      <c r="AE159" t="s">
        <v>3199</v>
      </c>
      <c r="AF159" t="s">
        <v>74</v>
      </c>
      <c r="AG159">
        <v>59</v>
      </c>
      <c r="AH159">
        <v>56</v>
      </c>
      <c r="AI159">
        <v>64</v>
      </c>
      <c r="AJ159">
        <v>0</v>
      </c>
      <c r="AK159">
        <v>46</v>
      </c>
      <c r="AL159" t="s">
        <v>368</v>
      </c>
      <c r="AM159" t="s">
        <v>369</v>
      </c>
      <c r="AN159" t="s">
        <v>370</v>
      </c>
      <c r="AO159" t="s">
        <v>3200</v>
      </c>
      <c r="AP159" t="s">
        <v>3201</v>
      </c>
      <c r="AQ159" t="s">
        <v>74</v>
      </c>
      <c r="AR159" t="s">
        <v>3202</v>
      </c>
      <c r="AS159" t="s">
        <v>3203</v>
      </c>
      <c r="AT159" t="s">
        <v>2831</v>
      </c>
      <c r="AU159">
        <v>2013</v>
      </c>
      <c r="AV159">
        <v>58</v>
      </c>
      <c r="AW159">
        <v>4</v>
      </c>
      <c r="AX159" t="s">
        <v>74</v>
      </c>
      <c r="AY159" t="s">
        <v>74</v>
      </c>
      <c r="AZ159" t="s">
        <v>74</v>
      </c>
      <c r="BA159" t="s">
        <v>74</v>
      </c>
      <c r="BB159">
        <v>1431</v>
      </c>
      <c r="BC159">
        <v>1450</v>
      </c>
      <c r="BD159" t="s">
        <v>74</v>
      </c>
      <c r="BE159" t="s">
        <v>3204</v>
      </c>
      <c r="BF159" t="str">
        <f>HYPERLINK("http://dx.doi.org/10.4319/lo.2013.58.4.1431","http://dx.doi.org/10.4319/lo.2013.58.4.1431")</f>
        <v>http://dx.doi.org/10.4319/lo.2013.58.4.1431</v>
      </c>
      <c r="BG159" t="s">
        <v>74</v>
      </c>
      <c r="BH159" t="s">
        <v>74</v>
      </c>
      <c r="BI159">
        <v>20</v>
      </c>
      <c r="BJ159" t="s">
        <v>3205</v>
      </c>
      <c r="BK159" t="s">
        <v>102</v>
      </c>
      <c r="BL159" t="s">
        <v>3206</v>
      </c>
      <c r="BM159" t="s">
        <v>3207</v>
      </c>
      <c r="BN159" t="s">
        <v>74</v>
      </c>
      <c r="BO159" t="s">
        <v>577</v>
      </c>
      <c r="BP159" t="s">
        <v>74</v>
      </c>
      <c r="BQ159" t="s">
        <v>74</v>
      </c>
      <c r="BR159" t="s">
        <v>105</v>
      </c>
      <c r="BS159" t="s">
        <v>3208</v>
      </c>
      <c r="BT159" t="str">
        <f>HYPERLINK("https%3A%2F%2Fwww.webofscience.com%2Fwos%2Fwoscc%2Ffull-record%2FWOS:000322514600023","View Full Record in Web of Science")</f>
        <v>View Full Record in Web of Science</v>
      </c>
    </row>
    <row r="160" spans="1:72" x14ac:dyDescent="0.15">
      <c r="A160" t="s">
        <v>72</v>
      </c>
      <c r="B160" t="s">
        <v>3209</v>
      </c>
      <c r="C160" t="s">
        <v>74</v>
      </c>
      <c r="D160" t="s">
        <v>74</v>
      </c>
      <c r="E160" t="s">
        <v>74</v>
      </c>
      <c r="F160" t="s">
        <v>3210</v>
      </c>
      <c r="G160" t="s">
        <v>74</v>
      </c>
      <c r="H160" t="s">
        <v>74</v>
      </c>
      <c r="I160" t="s">
        <v>3211</v>
      </c>
      <c r="J160" t="s">
        <v>3212</v>
      </c>
      <c r="K160" t="s">
        <v>74</v>
      </c>
      <c r="L160" t="s">
        <v>74</v>
      </c>
      <c r="M160" t="s">
        <v>78</v>
      </c>
      <c r="N160" t="s">
        <v>79</v>
      </c>
      <c r="O160" t="s">
        <v>74</v>
      </c>
      <c r="P160" t="s">
        <v>74</v>
      </c>
      <c r="Q160" t="s">
        <v>74</v>
      </c>
      <c r="R160" t="s">
        <v>74</v>
      </c>
      <c r="S160" t="s">
        <v>74</v>
      </c>
      <c r="T160" t="s">
        <v>74</v>
      </c>
      <c r="U160" t="s">
        <v>3213</v>
      </c>
      <c r="V160" t="s">
        <v>3214</v>
      </c>
      <c r="W160" t="s">
        <v>3215</v>
      </c>
      <c r="X160" t="s">
        <v>3216</v>
      </c>
      <c r="Y160" t="s">
        <v>3217</v>
      </c>
      <c r="Z160" t="s">
        <v>3218</v>
      </c>
      <c r="AA160" t="s">
        <v>74</v>
      </c>
      <c r="AB160" t="s">
        <v>3219</v>
      </c>
      <c r="AC160" t="s">
        <v>3220</v>
      </c>
      <c r="AD160" t="s">
        <v>3221</v>
      </c>
      <c r="AE160" t="s">
        <v>3222</v>
      </c>
      <c r="AF160" t="s">
        <v>74</v>
      </c>
      <c r="AG160">
        <v>49</v>
      </c>
      <c r="AH160">
        <v>11</v>
      </c>
      <c r="AI160">
        <v>14</v>
      </c>
      <c r="AJ160">
        <v>0</v>
      </c>
      <c r="AK160">
        <v>26</v>
      </c>
      <c r="AL160" t="s">
        <v>529</v>
      </c>
      <c r="AM160" t="s">
        <v>1151</v>
      </c>
      <c r="AN160" t="s">
        <v>1152</v>
      </c>
      <c r="AO160" t="s">
        <v>3223</v>
      </c>
      <c r="AP160" t="s">
        <v>3224</v>
      </c>
      <c r="AQ160" t="s">
        <v>74</v>
      </c>
      <c r="AR160" t="s">
        <v>3212</v>
      </c>
      <c r="AS160" t="s">
        <v>3225</v>
      </c>
      <c r="AT160" t="s">
        <v>2831</v>
      </c>
      <c r="AU160">
        <v>2013</v>
      </c>
      <c r="AV160">
        <v>119</v>
      </c>
      <c r="AW160">
        <v>2</v>
      </c>
      <c r="AX160" t="s">
        <v>74</v>
      </c>
      <c r="AY160" t="s">
        <v>74</v>
      </c>
      <c r="AZ160" t="s">
        <v>74</v>
      </c>
      <c r="BA160" t="s">
        <v>74</v>
      </c>
      <c r="BB160">
        <v>407</v>
      </c>
      <c r="BC160">
        <v>419</v>
      </c>
      <c r="BD160" t="s">
        <v>74</v>
      </c>
      <c r="BE160" t="s">
        <v>3226</v>
      </c>
      <c r="BF160" t="str">
        <f>HYPERLINK("http://dx.doi.org/10.1007/s10584-013-0724-5","http://dx.doi.org/10.1007/s10584-013-0724-5")</f>
        <v>http://dx.doi.org/10.1007/s10584-013-0724-5</v>
      </c>
      <c r="BG160" t="s">
        <v>74</v>
      </c>
      <c r="BH160" t="s">
        <v>74</v>
      </c>
      <c r="BI160">
        <v>13</v>
      </c>
      <c r="BJ160" t="s">
        <v>3227</v>
      </c>
      <c r="BK160" t="s">
        <v>102</v>
      </c>
      <c r="BL160" t="s">
        <v>3228</v>
      </c>
      <c r="BM160" t="s">
        <v>3229</v>
      </c>
      <c r="BN160" t="s">
        <v>74</v>
      </c>
      <c r="BO160" t="s">
        <v>74</v>
      </c>
      <c r="BP160" t="s">
        <v>74</v>
      </c>
      <c r="BQ160" t="s">
        <v>74</v>
      </c>
      <c r="BR160" t="s">
        <v>105</v>
      </c>
      <c r="BS160" t="s">
        <v>3230</v>
      </c>
      <c r="BT160" t="str">
        <f>HYPERLINK("https%3A%2F%2Fwww.webofscience.com%2Fwos%2Fwoscc%2Ffull-record%2FWOS:000321955100015","View Full Record in Web of Science")</f>
        <v>View Full Record in Web of Science</v>
      </c>
    </row>
    <row r="161" spans="1:72" x14ac:dyDescent="0.15">
      <c r="A161" t="s">
        <v>72</v>
      </c>
      <c r="B161" t="s">
        <v>3231</v>
      </c>
      <c r="C161" t="s">
        <v>74</v>
      </c>
      <c r="D161" t="s">
        <v>74</v>
      </c>
      <c r="E161" t="s">
        <v>74</v>
      </c>
      <c r="F161" t="s">
        <v>3232</v>
      </c>
      <c r="G161" t="s">
        <v>74</v>
      </c>
      <c r="H161" t="s">
        <v>74</v>
      </c>
      <c r="I161" t="s">
        <v>3233</v>
      </c>
      <c r="J161" t="s">
        <v>3234</v>
      </c>
      <c r="K161" t="s">
        <v>74</v>
      </c>
      <c r="L161" t="s">
        <v>74</v>
      </c>
      <c r="M161" t="s">
        <v>78</v>
      </c>
      <c r="N161" t="s">
        <v>79</v>
      </c>
      <c r="O161" t="s">
        <v>74</v>
      </c>
      <c r="P161" t="s">
        <v>74</v>
      </c>
      <c r="Q161" t="s">
        <v>74</v>
      </c>
      <c r="R161" t="s">
        <v>74</v>
      </c>
      <c r="S161" t="s">
        <v>74</v>
      </c>
      <c r="T161" t="s">
        <v>74</v>
      </c>
      <c r="U161" t="s">
        <v>3235</v>
      </c>
      <c r="V161" t="s">
        <v>3236</v>
      </c>
      <c r="W161" t="s">
        <v>3237</v>
      </c>
      <c r="X161" t="s">
        <v>3238</v>
      </c>
      <c r="Y161" t="s">
        <v>3239</v>
      </c>
      <c r="Z161" t="s">
        <v>3240</v>
      </c>
      <c r="AA161" t="s">
        <v>74</v>
      </c>
      <c r="AB161" t="s">
        <v>74</v>
      </c>
      <c r="AC161" t="s">
        <v>74</v>
      </c>
      <c r="AD161" t="s">
        <v>74</v>
      </c>
      <c r="AE161" t="s">
        <v>74</v>
      </c>
      <c r="AF161" t="s">
        <v>74</v>
      </c>
      <c r="AG161">
        <v>63</v>
      </c>
      <c r="AH161">
        <v>15</v>
      </c>
      <c r="AI161">
        <v>19</v>
      </c>
      <c r="AJ161">
        <v>1</v>
      </c>
      <c r="AK161">
        <v>74</v>
      </c>
      <c r="AL161" t="s">
        <v>390</v>
      </c>
      <c r="AM161" t="s">
        <v>391</v>
      </c>
      <c r="AN161" t="s">
        <v>392</v>
      </c>
      <c r="AO161" t="s">
        <v>3241</v>
      </c>
      <c r="AP161" t="s">
        <v>3242</v>
      </c>
      <c r="AQ161" t="s">
        <v>74</v>
      </c>
      <c r="AR161" t="s">
        <v>3243</v>
      </c>
      <c r="AS161" t="s">
        <v>3244</v>
      </c>
      <c r="AT161" t="s">
        <v>2831</v>
      </c>
      <c r="AU161">
        <v>2013</v>
      </c>
      <c r="AV161">
        <v>49</v>
      </c>
      <c r="AW161">
        <v>250</v>
      </c>
      <c r="AX161" t="s">
        <v>74</v>
      </c>
      <c r="AY161" t="s">
        <v>74</v>
      </c>
      <c r="AZ161" t="s">
        <v>74</v>
      </c>
      <c r="BA161" t="s">
        <v>74</v>
      </c>
      <c r="BB161">
        <v>278</v>
      </c>
      <c r="BC161">
        <v>285</v>
      </c>
      <c r="BD161" t="s">
        <v>74</v>
      </c>
      <c r="BE161" t="s">
        <v>3245</v>
      </c>
      <c r="BF161" t="str">
        <f>HYPERLINK("http://dx.doi.org/10.1017/S003224741200071X","http://dx.doi.org/10.1017/S003224741200071X")</f>
        <v>http://dx.doi.org/10.1017/S003224741200071X</v>
      </c>
      <c r="BG161" t="s">
        <v>74</v>
      </c>
      <c r="BH161" t="s">
        <v>74</v>
      </c>
      <c r="BI161">
        <v>8</v>
      </c>
      <c r="BJ161" t="s">
        <v>261</v>
      </c>
      <c r="BK161" t="s">
        <v>3246</v>
      </c>
      <c r="BL161" t="s">
        <v>262</v>
      </c>
      <c r="BM161" t="s">
        <v>3247</v>
      </c>
      <c r="BN161" t="s">
        <v>74</v>
      </c>
      <c r="BO161" t="s">
        <v>74</v>
      </c>
      <c r="BP161" t="s">
        <v>74</v>
      </c>
      <c r="BQ161" t="s">
        <v>74</v>
      </c>
      <c r="BR161" t="s">
        <v>105</v>
      </c>
      <c r="BS161" t="s">
        <v>3248</v>
      </c>
      <c r="BT161" t="str">
        <f>HYPERLINK("https%3A%2F%2Fwww.webofscience.com%2Fwos%2Fwoscc%2Ffull-record%2FWOS:000321684800010","View Full Record in Web of Science")</f>
        <v>View Full Record in Web of Science</v>
      </c>
    </row>
    <row r="162" spans="1:72" x14ac:dyDescent="0.15">
      <c r="A162" t="s">
        <v>72</v>
      </c>
      <c r="B162" t="s">
        <v>3249</v>
      </c>
      <c r="C162" t="s">
        <v>74</v>
      </c>
      <c r="D162" t="s">
        <v>74</v>
      </c>
      <c r="E162" t="s">
        <v>74</v>
      </c>
      <c r="F162" t="s">
        <v>3250</v>
      </c>
      <c r="G162" t="s">
        <v>74</v>
      </c>
      <c r="H162" t="s">
        <v>74</v>
      </c>
      <c r="I162" t="s">
        <v>3251</v>
      </c>
      <c r="J162" t="s">
        <v>3234</v>
      </c>
      <c r="K162" t="s">
        <v>74</v>
      </c>
      <c r="L162" t="s">
        <v>74</v>
      </c>
      <c r="M162" t="s">
        <v>78</v>
      </c>
      <c r="N162" t="s">
        <v>79</v>
      </c>
      <c r="O162" t="s">
        <v>74</v>
      </c>
      <c r="P162" t="s">
        <v>74</v>
      </c>
      <c r="Q162" t="s">
        <v>74</v>
      </c>
      <c r="R162" t="s">
        <v>74</v>
      </c>
      <c r="S162" t="s">
        <v>74</v>
      </c>
      <c r="T162" t="s">
        <v>74</v>
      </c>
      <c r="U162" t="s">
        <v>74</v>
      </c>
      <c r="V162" t="s">
        <v>3252</v>
      </c>
      <c r="W162" t="s">
        <v>3253</v>
      </c>
      <c r="X162" t="s">
        <v>3254</v>
      </c>
      <c r="Y162" t="s">
        <v>3255</v>
      </c>
      <c r="Z162" t="s">
        <v>3256</v>
      </c>
      <c r="AA162" t="s">
        <v>3257</v>
      </c>
      <c r="AB162" t="s">
        <v>3258</v>
      </c>
      <c r="AC162" t="s">
        <v>74</v>
      </c>
      <c r="AD162" t="s">
        <v>74</v>
      </c>
      <c r="AE162" t="s">
        <v>74</v>
      </c>
      <c r="AF162" t="s">
        <v>74</v>
      </c>
      <c r="AG162">
        <v>20</v>
      </c>
      <c r="AH162">
        <v>1</v>
      </c>
      <c r="AI162">
        <v>1</v>
      </c>
      <c r="AJ162">
        <v>0</v>
      </c>
      <c r="AK162">
        <v>27</v>
      </c>
      <c r="AL162" t="s">
        <v>390</v>
      </c>
      <c r="AM162" t="s">
        <v>391</v>
      </c>
      <c r="AN162" t="s">
        <v>392</v>
      </c>
      <c r="AO162" t="s">
        <v>3241</v>
      </c>
      <c r="AP162" t="s">
        <v>3242</v>
      </c>
      <c r="AQ162" t="s">
        <v>74</v>
      </c>
      <c r="AR162" t="s">
        <v>3243</v>
      </c>
      <c r="AS162" t="s">
        <v>3244</v>
      </c>
      <c r="AT162" t="s">
        <v>2831</v>
      </c>
      <c r="AU162">
        <v>2013</v>
      </c>
      <c r="AV162">
        <v>49</v>
      </c>
      <c r="AW162">
        <v>250</v>
      </c>
      <c r="AX162" t="s">
        <v>74</v>
      </c>
      <c r="AY162" t="s">
        <v>74</v>
      </c>
      <c r="AZ162" t="s">
        <v>74</v>
      </c>
      <c r="BA162" t="s">
        <v>74</v>
      </c>
      <c r="BB162">
        <v>286</v>
      </c>
      <c r="BC162">
        <v>290</v>
      </c>
      <c r="BD162" t="s">
        <v>74</v>
      </c>
      <c r="BE162" t="s">
        <v>3259</v>
      </c>
      <c r="BF162" t="str">
        <f>HYPERLINK("http://dx.doi.org/10.1017/S0032247412000599","http://dx.doi.org/10.1017/S0032247412000599")</f>
        <v>http://dx.doi.org/10.1017/S0032247412000599</v>
      </c>
      <c r="BG162" t="s">
        <v>74</v>
      </c>
      <c r="BH162" t="s">
        <v>74</v>
      </c>
      <c r="BI162">
        <v>5</v>
      </c>
      <c r="BJ162" t="s">
        <v>261</v>
      </c>
      <c r="BK162" t="s">
        <v>3246</v>
      </c>
      <c r="BL162" t="s">
        <v>262</v>
      </c>
      <c r="BM162" t="s">
        <v>3247</v>
      </c>
      <c r="BN162" t="s">
        <v>74</v>
      </c>
      <c r="BO162" t="s">
        <v>74</v>
      </c>
      <c r="BP162" t="s">
        <v>74</v>
      </c>
      <c r="BQ162" t="s">
        <v>74</v>
      </c>
      <c r="BR162" t="s">
        <v>105</v>
      </c>
      <c r="BS162" t="s">
        <v>3260</v>
      </c>
      <c r="BT162" t="str">
        <f>HYPERLINK("https%3A%2F%2Fwww.webofscience.com%2Fwos%2Fwoscc%2Ffull-record%2FWOS:000321684800011","View Full Record in Web of Science")</f>
        <v>View Full Record in Web of Science</v>
      </c>
    </row>
    <row r="163" spans="1:72" x14ac:dyDescent="0.15">
      <c r="A163" t="s">
        <v>72</v>
      </c>
      <c r="B163" t="s">
        <v>3261</v>
      </c>
      <c r="C163" t="s">
        <v>74</v>
      </c>
      <c r="D163" t="s">
        <v>74</v>
      </c>
      <c r="E163" t="s">
        <v>74</v>
      </c>
      <c r="F163" t="s">
        <v>3262</v>
      </c>
      <c r="G163" t="s">
        <v>74</v>
      </c>
      <c r="H163" t="s">
        <v>74</v>
      </c>
      <c r="I163" t="s">
        <v>3263</v>
      </c>
      <c r="J163" t="s">
        <v>3234</v>
      </c>
      <c r="K163" t="s">
        <v>74</v>
      </c>
      <c r="L163" t="s">
        <v>74</v>
      </c>
      <c r="M163" t="s">
        <v>78</v>
      </c>
      <c r="N163" t="s">
        <v>79</v>
      </c>
      <c r="O163" t="s">
        <v>74</v>
      </c>
      <c r="P163" t="s">
        <v>74</v>
      </c>
      <c r="Q163" t="s">
        <v>74</v>
      </c>
      <c r="R163" t="s">
        <v>74</v>
      </c>
      <c r="S163" t="s">
        <v>74</v>
      </c>
      <c r="T163" t="s">
        <v>74</v>
      </c>
      <c r="U163" t="s">
        <v>74</v>
      </c>
      <c r="V163" t="s">
        <v>3264</v>
      </c>
      <c r="W163" t="s">
        <v>3265</v>
      </c>
      <c r="X163" t="s">
        <v>2480</v>
      </c>
      <c r="Y163" t="s">
        <v>3266</v>
      </c>
      <c r="Z163" t="s">
        <v>3267</v>
      </c>
      <c r="AA163" t="s">
        <v>3268</v>
      </c>
      <c r="AB163" t="s">
        <v>3269</v>
      </c>
      <c r="AC163" t="s">
        <v>74</v>
      </c>
      <c r="AD163" t="s">
        <v>74</v>
      </c>
      <c r="AE163" t="s">
        <v>74</v>
      </c>
      <c r="AF163" t="s">
        <v>74</v>
      </c>
      <c r="AG163">
        <v>29</v>
      </c>
      <c r="AH163">
        <v>1</v>
      </c>
      <c r="AI163">
        <v>1</v>
      </c>
      <c r="AJ163">
        <v>0</v>
      </c>
      <c r="AK163">
        <v>1</v>
      </c>
      <c r="AL163" t="s">
        <v>390</v>
      </c>
      <c r="AM163" t="s">
        <v>391</v>
      </c>
      <c r="AN163" t="s">
        <v>392</v>
      </c>
      <c r="AO163" t="s">
        <v>3241</v>
      </c>
      <c r="AP163" t="s">
        <v>74</v>
      </c>
      <c r="AQ163" t="s">
        <v>74</v>
      </c>
      <c r="AR163" t="s">
        <v>3243</v>
      </c>
      <c r="AS163" t="s">
        <v>3244</v>
      </c>
      <c r="AT163" t="s">
        <v>2831</v>
      </c>
      <c r="AU163">
        <v>2013</v>
      </c>
      <c r="AV163">
        <v>49</v>
      </c>
      <c r="AW163">
        <v>250</v>
      </c>
      <c r="AX163" t="s">
        <v>74</v>
      </c>
      <c r="AY163" t="s">
        <v>74</v>
      </c>
      <c r="AZ163" t="s">
        <v>74</v>
      </c>
      <c r="BA163" t="s">
        <v>74</v>
      </c>
      <c r="BB163">
        <v>297</v>
      </c>
      <c r="BC163">
        <v>306</v>
      </c>
      <c r="BD163" t="s">
        <v>74</v>
      </c>
      <c r="BE163" t="s">
        <v>3270</v>
      </c>
      <c r="BF163" t="str">
        <f>HYPERLINK("http://dx.doi.org/10.1017/S0032247412000460","http://dx.doi.org/10.1017/S0032247412000460")</f>
        <v>http://dx.doi.org/10.1017/S0032247412000460</v>
      </c>
      <c r="BG163" t="s">
        <v>74</v>
      </c>
      <c r="BH163" t="s">
        <v>74</v>
      </c>
      <c r="BI163">
        <v>10</v>
      </c>
      <c r="BJ163" t="s">
        <v>261</v>
      </c>
      <c r="BK163" t="s">
        <v>102</v>
      </c>
      <c r="BL163" t="s">
        <v>262</v>
      </c>
      <c r="BM163" t="s">
        <v>3247</v>
      </c>
      <c r="BN163" t="s">
        <v>74</v>
      </c>
      <c r="BO163" t="s">
        <v>74</v>
      </c>
      <c r="BP163" t="s">
        <v>74</v>
      </c>
      <c r="BQ163" t="s">
        <v>74</v>
      </c>
      <c r="BR163" t="s">
        <v>105</v>
      </c>
      <c r="BS163" t="s">
        <v>3271</v>
      </c>
      <c r="BT163" t="str">
        <f>HYPERLINK("https%3A%2F%2Fwww.webofscience.com%2Fwos%2Fwoscc%2Ffull-record%2FWOS:000321684800013","View Full Record in Web of Science")</f>
        <v>View Full Record in Web of Science</v>
      </c>
    </row>
    <row r="164" spans="1:72" x14ac:dyDescent="0.15">
      <c r="A164" t="s">
        <v>72</v>
      </c>
      <c r="B164" t="s">
        <v>3272</v>
      </c>
      <c r="C164" t="s">
        <v>74</v>
      </c>
      <c r="D164" t="s">
        <v>74</v>
      </c>
      <c r="E164" t="s">
        <v>74</v>
      </c>
      <c r="F164" t="s">
        <v>3273</v>
      </c>
      <c r="G164" t="s">
        <v>74</v>
      </c>
      <c r="H164" t="s">
        <v>74</v>
      </c>
      <c r="I164" t="s">
        <v>3274</v>
      </c>
      <c r="J164" t="s">
        <v>3275</v>
      </c>
      <c r="K164" t="s">
        <v>74</v>
      </c>
      <c r="L164" t="s">
        <v>74</v>
      </c>
      <c r="M164" t="s">
        <v>78</v>
      </c>
      <c r="N164" t="s">
        <v>79</v>
      </c>
      <c r="O164" t="s">
        <v>74</v>
      </c>
      <c r="P164" t="s">
        <v>74</v>
      </c>
      <c r="Q164" t="s">
        <v>74</v>
      </c>
      <c r="R164" t="s">
        <v>74</v>
      </c>
      <c r="S164" t="s">
        <v>74</v>
      </c>
      <c r="T164" t="s">
        <v>3276</v>
      </c>
      <c r="U164" t="s">
        <v>3277</v>
      </c>
      <c r="V164" t="s">
        <v>3278</v>
      </c>
      <c r="W164" t="s">
        <v>3279</v>
      </c>
      <c r="X164" t="s">
        <v>3280</v>
      </c>
      <c r="Y164" t="s">
        <v>3281</v>
      </c>
      <c r="Z164" t="s">
        <v>3282</v>
      </c>
      <c r="AA164" t="s">
        <v>3283</v>
      </c>
      <c r="AB164" t="s">
        <v>3284</v>
      </c>
      <c r="AC164" t="s">
        <v>3285</v>
      </c>
      <c r="AD164" t="s">
        <v>3286</v>
      </c>
      <c r="AE164" t="s">
        <v>3287</v>
      </c>
      <c r="AF164" t="s">
        <v>74</v>
      </c>
      <c r="AG164">
        <v>35</v>
      </c>
      <c r="AH164">
        <v>0</v>
      </c>
      <c r="AI164">
        <v>0</v>
      </c>
      <c r="AJ164">
        <v>0</v>
      </c>
      <c r="AK164">
        <v>15</v>
      </c>
      <c r="AL164" t="s">
        <v>3288</v>
      </c>
      <c r="AM164" t="s">
        <v>3076</v>
      </c>
      <c r="AN164" t="s">
        <v>3289</v>
      </c>
      <c r="AO164" t="s">
        <v>3290</v>
      </c>
      <c r="AP164" t="s">
        <v>3291</v>
      </c>
      <c r="AQ164" t="s">
        <v>74</v>
      </c>
      <c r="AR164" t="s">
        <v>3292</v>
      </c>
      <c r="AS164" t="s">
        <v>3293</v>
      </c>
      <c r="AT164" t="s">
        <v>2831</v>
      </c>
      <c r="AU164">
        <v>2013</v>
      </c>
      <c r="AV164">
        <v>79</v>
      </c>
      <c r="AW164">
        <v>4</v>
      </c>
      <c r="AX164" t="s">
        <v>74</v>
      </c>
      <c r="AY164" t="s">
        <v>74</v>
      </c>
      <c r="AZ164" t="s">
        <v>74</v>
      </c>
      <c r="BA164" t="s">
        <v>74</v>
      </c>
      <c r="BB164">
        <v>559</v>
      </c>
      <c r="BC164">
        <v>568</v>
      </c>
      <c r="BD164" t="s">
        <v>74</v>
      </c>
      <c r="BE164" t="s">
        <v>3294</v>
      </c>
      <c r="BF164" t="str">
        <f>HYPERLINK("http://dx.doi.org/10.1007/s12562-013-0634-5","http://dx.doi.org/10.1007/s12562-013-0634-5")</f>
        <v>http://dx.doi.org/10.1007/s12562-013-0634-5</v>
      </c>
      <c r="BG164" t="s">
        <v>74</v>
      </c>
      <c r="BH164" t="s">
        <v>74</v>
      </c>
      <c r="BI164">
        <v>10</v>
      </c>
      <c r="BJ164" t="s">
        <v>3083</v>
      </c>
      <c r="BK164" t="s">
        <v>102</v>
      </c>
      <c r="BL164" t="s">
        <v>3083</v>
      </c>
      <c r="BM164" t="s">
        <v>3295</v>
      </c>
      <c r="BN164" t="s">
        <v>74</v>
      </c>
      <c r="BO164" t="s">
        <v>74</v>
      </c>
      <c r="BP164" t="s">
        <v>74</v>
      </c>
      <c r="BQ164" t="s">
        <v>74</v>
      </c>
      <c r="BR164" t="s">
        <v>105</v>
      </c>
      <c r="BS164" t="s">
        <v>3296</v>
      </c>
      <c r="BT164" t="str">
        <f>HYPERLINK("https%3A%2F%2Fwww.webofscience.com%2Fwos%2Fwoscc%2Ffull-record%2FWOS:000322008300003","View Full Record in Web of Science")</f>
        <v>View Full Record in Web of Science</v>
      </c>
    </row>
    <row r="165" spans="1:72" x14ac:dyDescent="0.15">
      <c r="A165" t="s">
        <v>72</v>
      </c>
      <c r="B165" t="s">
        <v>3297</v>
      </c>
      <c r="C165" t="s">
        <v>74</v>
      </c>
      <c r="D165" t="s">
        <v>74</v>
      </c>
      <c r="E165" t="s">
        <v>74</v>
      </c>
      <c r="F165" t="s">
        <v>3298</v>
      </c>
      <c r="G165" t="s">
        <v>74</v>
      </c>
      <c r="H165" t="s">
        <v>74</v>
      </c>
      <c r="I165" t="s">
        <v>3299</v>
      </c>
      <c r="J165" t="s">
        <v>3300</v>
      </c>
      <c r="K165" t="s">
        <v>74</v>
      </c>
      <c r="L165" t="s">
        <v>74</v>
      </c>
      <c r="M165" t="s">
        <v>78</v>
      </c>
      <c r="N165" t="s">
        <v>79</v>
      </c>
      <c r="O165" t="s">
        <v>74</v>
      </c>
      <c r="P165" t="s">
        <v>74</v>
      </c>
      <c r="Q165" t="s">
        <v>74</v>
      </c>
      <c r="R165" t="s">
        <v>74</v>
      </c>
      <c r="S165" t="s">
        <v>74</v>
      </c>
      <c r="T165" t="s">
        <v>3301</v>
      </c>
      <c r="U165" t="s">
        <v>3302</v>
      </c>
      <c r="V165" t="s">
        <v>3303</v>
      </c>
      <c r="W165" t="s">
        <v>3304</v>
      </c>
      <c r="X165" t="s">
        <v>3305</v>
      </c>
      <c r="Y165" t="s">
        <v>3306</v>
      </c>
      <c r="Z165" t="s">
        <v>3307</v>
      </c>
      <c r="AA165" t="s">
        <v>3308</v>
      </c>
      <c r="AB165" t="s">
        <v>3309</v>
      </c>
      <c r="AC165" t="s">
        <v>3310</v>
      </c>
      <c r="AD165" t="s">
        <v>3311</v>
      </c>
      <c r="AE165" t="s">
        <v>3312</v>
      </c>
      <c r="AF165" t="s">
        <v>74</v>
      </c>
      <c r="AG165">
        <v>40</v>
      </c>
      <c r="AH165">
        <v>19</v>
      </c>
      <c r="AI165">
        <v>21</v>
      </c>
      <c r="AJ165">
        <v>0</v>
      </c>
      <c r="AK165">
        <v>28</v>
      </c>
      <c r="AL165" t="s">
        <v>154</v>
      </c>
      <c r="AM165" t="s">
        <v>155</v>
      </c>
      <c r="AN165" t="s">
        <v>156</v>
      </c>
      <c r="AO165" t="s">
        <v>3313</v>
      </c>
      <c r="AP165" t="s">
        <v>74</v>
      </c>
      <c r="AQ165" t="s">
        <v>74</v>
      </c>
      <c r="AR165" t="s">
        <v>3300</v>
      </c>
      <c r="AS165" t="s">
        <v>3314</v>
      </c>
      <c r="AT165" t="s">
        <v>2831</v>
      </c>
      <c r="AU165">
        <v>2013</v>
      </c>
      <c r="AV165">
        <v>27</v>
      </c>
      <c r="AW165" t="s">
        <v>74</v>
      </c>
      <c r="AX165" t="s">
        <v>74</v>
      </c>
      <c r="AY165" t="s">
        <v>74</v>
      </c>
      <c r="AZ165" t="s">
        <v>74</v>
      </c>
      <c r="BA165" t="s">
        <v>74</v>
      </c>
      <c r="BB165">
        <v>82</v>
      </c>
      <c r="BC165">
        <v>87</v>
      </c>
      <c r="BD165" t="s">
        <v>74</v>
      </c>
      <c r="BE165" t="s">
        <v>3315</v>
      </c>
      <c r="BF165" t="str">
        <f>HYPERLINK("http://dx.doi.org/10.1016/j.hal.2013.05.001","http://dx.doi.org/10.1016/j.hal.2013.05.001")</f>
        <v>http://dx.doi.org/10.1016/j.hal.2013.05.001</v>
      </c>
      <c r="BG165" t="s">
        <v>74</v>
      </c>
      <c r="BH165" t="s">
        <v>74</v>
      </c>
      <c r="BI165">
        <v>6</v>
      </c>
      <c r="BJ165" t="s">
        <v>1809</v>
      </c>
      <c r="BK165" t="s">
        <v>102</v>
      </c>
      <c r="BL165" t="s">
        <v>1809</v>
      </c>
      <c r="BM165" t="s">
        <v>3316</v>
      </c>
      <c r="BN165" t="s">
        <v>74</v>
      </c>
      <c r="BO165" t="s">
        <v>74</v>
      </c>
      <c r="BP165" t="s">
        <v>74</v>
      </c>
      <c r="BQ165" t="s">
        <v>74</v>
      </c>
      <c r="BR165" t="s">
        <v>105</v>
      </c>
      <c r="BS165" t="s">
        <v>3317</v>
      </c>
      <c r="BT165" t="str">
        <f>HYPERLINK("https%3A%2F%2Fwww.webofscience.com%2Fwos%2Fwoscc%2Ffull-record%2FWOS:000322298400007","View Full Record in Web of Science")</f>
        <v>View Full Record in Web of Science</v>
      </c>
    </row>
    <row r="166" spans="1:72" x14ac:dyDescent="0.15">
      <c r="A166" t="s">
        <v>72</v>
      </c>
      <c r="B166" t="s">
        <v>3318</v>
      </c>
      <c r="C166" t="s">
        <v>74</v>
      </c>
      <c r="D166" t="s">
        <v>74</v>
      </c>
      <c r="E166" t="s">
        <v>74</v>
      </c>
      <c r="F166" t="s">
        <v>3319</v>
      </c>
      <c r="G166" t="s">
        <v>74</v>
      </c>
      <c r="H166" t="s">
        <v>74</v>
      </c>
      <c r="I166" t="s">
        <v>3320</v>
      </c>
      <c r="J166" t="s">
        <v>3321</v>
      </c>
      <c r="K166" t="s">
        <v>74</v>
      </c>
      <c r="L166" t="s">
        <v>74</v>
      </c>
      <c r="M166" t="s">
        <v>78</v>
      </c>
      <c r="N166" t="s">
        <v>79</v>
      </c>
      <c r="O166" t="s">
        <v>74</v>
      </c>
      <c r="P166" t="s">
        <v>74</v>
      </c>
      <c r="Q166" t="s">
        <v>74</v>
      </c>
      <c r="R166" t="s">
        <v>74</v>
      </c>
      <c r="S166" t="s">
        <v>74</v>
      </c>
      <c r="T166" t="s">
        <v>74</v>
      </c>
      <c r="U166" t="s">
        <v>3322</v>
      </c>
      <c r="V166" t="s">
        <v>3323</v>
      </c>
      <c r="W166" t="s">
        <v>3324</v>
      </c>
      <c r="X166" t="s">
        <v>3325</v>
      </c>
      <c r="Y166" t="s">
        <v>3326</v>
      </c>
      <c r="Z166" t="s">
        <v>3327</v>
      </c>
      <c r="AA166" t="s">
        <v>3328</v>
      </c>
      <c r="AB166" t="s">
        <v>3329</v>
      </c>
      <c r="AC166" t="s">
        <v>3330</v>
      </c>
      <c r="AD166" t="s">
        <v>3331</v>
      </c>
      <c r="AE166" t="s">
        <v>3332</v>
      </c>
      <c r="AF166" t="s">
        <v>74</v>
      </c>
      <c r="AG166">
        <v>70</v>
      </c>
      <c r="AH166">
        <v>5</v>
      </c>
      <c r="AI166">
        <v>5</v>
      </c>
      <c r="AJ166">
        <v>0</v>
      </c>
      <c r="AK166">
        <v>14</v>
      </c>
      <c r="AL166" t="s">
        <v>3333</v>
      </c>
      <c r="AM166" t="s">
        <v>3003</v>
      </c>
      <c r="AN166" t="s">
        <v>3334</v>
      </c>
      <c r="AO166" t="s">
        <v>3335</v>
      </c>
      <c r="AP166" t="s">
        <v>74</v>
      </c>
      <c r="AQ166" t="s">
        <v>74</v>
      </c>
      <c r="AR166" t="s">
        <v>3336</v>
      </c>
      <c r="AS166" t="s">
        <v>3337</v>
      </c>
      <c r="AT166" t="s">
        <v>2831</v>
      </c>
      <c r="AU166">
        <v>2013</v>
      </c>
      <c r="AV166">
        <v>43</v>
      </c>
      <c r="AW166">
        <v>3</v>
      </c>
      <c r="AX166" t="s">
        <v>74</v>
      </c>
      <c r="AY166" t="s">
        <v>74</v>
      </c>
      <c r="AZ166" t="s">
        <v>74</v>
      </c>
      <c r="BA166" t="s">
        <v>74</v>
      </c>
      <c r="BB166">
        <v>209</v>
      </c>
      <c r="BC166">
        <v>220</v>
      </c>
      <c r="BD166" t="s">
        <v>74</v>
      </c>
      <c r="BE166" t="s">
        <v>3338</v>
      </c>
      <c r="BF166" t="str">
        <f>HYPERLINK("http://dx.doi.org/10.2113/gsjfr.43.3.209","http://dx.doi.org/10.2113/gsjfr.43.3.209")</f>
        <v>http://dx.doi.org/10.2113/gsjfr.43.3.209</v>
      </c>
      <c r="BG166" t="s">
        <v>74</v>
      </c>
      <c r="BH166" t="s">
        <v>74</v>
      </c>
      <c r="BI166">
        <v>12</v>
      </c>
      <c r="BJ166" t="s">
        <v>3339</v>
      </c>
      <c r="BK166" t="s">
        <v>102</v>
      </c>
      <c r="BL166" t="s">
        <v>3339</v>
      </c>
      <c r="BM166" t="s">
        <v>3340</v>
      </c>
      <c r="BN166" t="s">
        <v>74</v>
      </c>
      <c r="BO166" t="s">
        <v>74</v>
      </c>
      <c r="BP166" t="s">
        <v>74</v>
      </c>
      <c r="BQ166" t="s">
        <v>74</v>
      </c>
      <c r="BR166" t="s">
        <v>105</v>
      </c>
      <c r="BS166" t="s">
        <v>3341</v>
      </c>
      <c r="BT166" t="str">
        <f>HYPERLINK("https%3A%2F%2Fwww.webofscience.com%2Fwos%2Fwoscc%2Ffull-record%2FWOS:000322054100001","View Full Record in Web of Science")</f>
        <v>View Full Record in Web of Science</v>
      </c>
    </row>
    <row r="167" spans="1:72" x14ac:dyDescent="0.15">
      <c r="A167" t="s">
        <v>72</v>
      </c>
      <c r="B167" t="s">
        <v>3342</v>
      </c>
      <c r="C167" t="s">
        <v>74</v>
      </c>
      <c r="D167" t="s">
        <v>74</v>
      </c>
      <c r="E167" t="s">
        <v>74</v>
      </c>
      <c r="F167" t="s">
        <v>3343</v>
      </c>
      <c r="G167" t="s">
        <v>74</v>
      </c>
      <c r="H167" t="s">
        <v>74</v>
      </c>
      <c r="I167" t="s">
        <v>3344</v>
      </c>
      <c r="J167" t="s">
        <v>3345</v>
      </c>
      <c r="K167" t="s">
        <v>74</v>
      </c>
      <c r="L167" t="s">
        <v>74</v>
      </c>
      <c r="M167" t="s">
        <v>78</v>
      </c>
      <c r="N167" t="s">
        <v>79</v>
      </c>
      <c r="O167" t="s">
        <v>74</v>
      </c>
      <c r="P167" t="s">
        <v>74</v>
      </c>
      <c r="Q167" t="s">
        <v>74</v>
      </c>
      <c r="R167" t="s">
        <v>74</v>
      </c>
      <c r="S167" t="s">
        <v>74</v>
      </c>
      <c r="T167" t="s">
        <v>3346</v>
      </c>
      <c r="U167" t="s">
        <v>3347</v>
      </c>
      <c r="V167" t="s">
        <v>3348</v>
      </c>
      <c r="W167" t="s">
        <v>3349</v>
      </c>
      <c r="X167" t="s">
        <v>3350</v>
      </c>
      <c r="Y167" t="s">
        <v>3351</v>
      </c>
      <c r="Z167" t="s">
        <v>3352</v>
      </c>
      <c r="AA167" t="s">
        <v>3353</v>
      </c>
      <c r="AB167" t="s">
        <v>3354</v>
      </c>
      <c r="AC167" t="s">
        <v>3355</v>
      </c>
      <c r="AD167" t="s">
        <v>3356</v>
      </c>
      <c r="AE167" t="s">
        <v>3357</v>
      </c>
      <c r="AF167" t="s">
        <v>74</v>
      </c>
      <c r="AG167">
        <v>61</v>
      </c>
      <c r="AH167">
        <v>8</v>
      </c>
      <c r="AI167">
        <v>10</v>
      </c>
      <c r="AJ167">
        <v>0</v>
      </c>
      <c r="AK167">
        <v>36</v>
      </c>
      <c r="AL167" t="s">
        <v>529</v>
      </c>
      <c r="AM167" t="s">
        <v>391</v>
      </c>
      <c r="AN167" t="s">
        <v>530</v>
      </c>
      <c r="AO167" t="s">
        <v>3358</v>
      </c>
      <c r="AP167" t="s">
        <v>3359</v>
      </c>
      <c r="AQ167" t="s">
        <v>74</v>
      </c>
      <c r="AR167" t="s">
        <v>3360</v>
      </c>
      <c r="AS167" t="s">
        <v>3361</v>
      </c>
      <c r="AT167" t="s">
        <v>2831</v>
      </c>
      <c r="AU167">
        <v>2013</v>
      </c>
      <c r="AV167">
        <v>36</v>
      </c>
      <c r="AW167">
        <v>7</v>
      </c>
      <c r="AX167" t="s">
        <v>74</v>
      </c>
      <c r="AY167" t="s">
        <v>74</v>
      </c>
      <c r="AZ167" t="s">
        <v>74</v>
      </c>
      <c r="BA167" t="s">
        <v>74</v>
      </c>
      <c r="BB167">
        <v>957</v>
      </c>
      <c r="BC167">
        <v>968</v>
      </c>
      <c r="BD167" t="s">
        <v>74</v>
      </c>
      <c r="BE167" t="s">
        <v>3362</v>
      </c>
      <c r="BF167" t="str">
        <f>HYPERLINK("http://dx.doi.org/10.1007/s00300-013-1319-3","http://dx.doi.org/10.1007/s00300-013-1319-3")</f>
        <v>http://dx.doi.org/10.1007/s00300-013-1319-3</v>
      </c>
      <c r="BG167" t="s">
        <v>74</v>
      </c>
      <c r="BH167" t="s">
        <v>74</v>
      </c>
      <c r="BI167">
        <v>12</v>
      </c>
      <c r="BJ167" t="s">
        <v>1158</v>
      </c>
      <c r="BK167" t="s">
        <v>102</v>
      </c>
      <c r="BL167" t="s">
        <v>1159</v>
      </c>
      <c r="BM167" t="s">
        <v>3363</v>
      </c>
      <c r="BN167" t="s">
        <v>74</v>
      </c>
      <c r="BO167" t="s">
        <v>426</v>
      </c>
      <c r="BP167" t="s">
        <v>74</v>
      </c>
      <c r="BQ167" t="s">
        <v>74</v>
      </c>
      <c r="BR167" t="s">
        <v>105</v>
      </c>
      <c r="BS167" t="s">
        <v>3364</v>
      </c>
      <c r="BT167" t="str">
        <f>HYPERLINK("https%3A%2F%2Fwww.webofscience.com%2Fwos%2Fwoscc%2Ffull-record%2FWOS:000321974900004","View Full Record in Web of Science")</f>
        <v>View Full Record in Web of Science</v>
      </c>
    </row>
    <row r="168" spans="1:72" x14ac:dyDescent="0.15">
      <c r="A168" t="s">
        <v>72</v>
      </c>
      <c r="B168" t="s">
        <v>3365</v>
      </c>
      <c r="C168" t="s">
        <v>74</v>
      </c>
      <c r="D168" t="s">
        <v>74</v>
      </c>
      <c r="E168" t="s">
        <v>74</v>
      </c>
      <c r="F168" t="s">
        <v>3366</v>
      </c>
      <c r="G168" t="s">
        <v>74</v>
      </c>
      <c r="H168" t="s">
        <v>74</v>
      </c>
      <c r="I168" t="s">
        <v>3367</v>
      </c>
      <c r="J168" t="s">
        <v>3345</v>
      </c>
      <c r="K168" t="s">
        <v>74</v>
      </c>
      <c r="L168" t="s">
        <v>74</v>
      </c>
      <c r="M168" t="s">
        <v>78</v>
      </c>
      <c r="N168" t="s">
        <v>79</v>
      </c>
      <c r="O168" t="s">
        <v>74</v>
      </c>
      <c r="P168" t="s">
        <v>74</v>
      </c>
      <c r="Q168" t="s">
        <v>74</v>
      </c>
      <c r="R168" t="s">
        <v>74</v>
      </c>
      <c r="S168" t="s">
        <v>74</v>
      </c>
      <c r="T168" t="s">
        <v>3368</v>
      </c>
      <c r="U168" t="s">
        <v>3369</v>
      </c>
      <c r="V168" t="s">
        <v>3370</v>
      </c>
      <c r="W168" t="s">
        <v>3371</v>
      </c>
      <c r="X168" t="s">
        <v>3372</v>
      </c>
      <c r="Y168" t="s">
        <v>3373</v>
      </c>
      <c r="Z168" t="s">
        <v>3374</v>
      </c>
      <c r="AA168" t="s">
        <v>3375</v>
      </c>
      <c r="AB168" t="s">
        <v>3376</v>
      </c>
      <c r="AC168" t="s">
        <v>3377</v>
      </c>
      <c r="AD168" t="s">
        <v>3378</v>
      </c>
      <c r="AE168" t="s">
        <v>3379</v>
      </c>
      <c r="AF168" t="s">
        <v>74</v>
      </c>
      <c r="AG168">
        <v>64</v>
      </c>
      <c r="AH168">
        <v>9</v>
      </c>
      <c r="AI168">
        <v>12</v>
      </c>
      <c r="AJ168">
        <v>0</v>
      </c>
      <c r="AK168">
        <v>34</v>
      </c>
      <c r="AL168" t="s">
        <v>529</v>
      </c>
      <c r="AM168" t="s">
        <v>391</v>
      </c>
      <c r="AN168" t="s">
        <v>530</v>
      </c>
      <c r="AO168" t="s">
        <v>3358</v>
      </c>
      <c r="AP168" t="s">
        <v>3359</v>
      </c>
      <c r="AQ168" t="s">
        <v>74</v>
      </c>
      <c r="AR168" t="s">
        <v>3360</v>
      </c>
      <c r="AS168" t="s">
        <v>3361</v>
      </c>
      <c r="AT168" t="s">
        <v>2831</v>
      </c>
      <c r="AU168">
        <v>2013</v>
      </c>
      <c r="AV168">
        <v>36</v>
      </c>
      <c r="AW168">
        <v>7</v>
      </c>
      <c r="AX168" t="s">
        <v>74</v>
      </c>
      <c r="AY168" t="s">
        <v>74</v>
      </c>
      <c r="AZ168" t="s">
        <v>74</v>
      </c>
      <c r="BA168" t="s">
        <v>74</v>
      </c>
      <c r="BB168">
        <v>1031</v>
      </c>
      <c r="BC168">
        <v>1045</v>
      </c>
      <c r="BD168" t="s">
        <v>74</v>
      </c>
      <c r="BE168" t="s">
        <v>3380</v>
      </c>
      <c r="BF168" t="str">
        <f>HYPERLINK("http://dx.doi.org/10.1007/s00300-013-1326-4","http://dx.doi.org/10.1007/s00300-013-1326-4")</f>
        <v>http://dx.doi.org/10.1007/s00300-013-1326-4</v>
      </c>
      <c r="BG168" t="s">
        <v>74</v>
      </c>
      <c r="BH168" t="s">
        <v>74</v>
      </c>
      <c r="BI168">
        <v>15</v>
      </c>
      <c r="BJ168" t="s">
        <v>1158</v>
      </c>
      <c r="BK168" t="s">
        <v>102</v>
      </c>
      <c r="BL168" t="s">
        <v>1159</v>
      </c>
      <c r="BM168" t="s">
        <v>3363</v>
      </c>
      <c r="BN168" t="s">
        <v>74</v>
      </c>
      <c r="BO168" t="s">
        <v>426</v>
      </c>
      <c r="BP168" t="s">
        <v>74</v>
      </c>
      <c r="BQ168" t="s">
        <v>74</v>
      </c>
      <c r="BR168" t="s">
        <v>105</v>
      </c>
      <c r="BS168" t="s">
        <v>3381</v>
      </c>
      <c r="BT168" t="str">
        <f>HYPERLINK("https%3A%2F%2Fwww.webofscience.com%2Fwos%2Fwoscc%2Ffull-record%2FWOS:000321974900010","View Full Record in Web of Science")</f>
        <v>View Full Record in Web of Science</v>
      </c>
    </row>
    <row r="169" spans="1:72" x14ac:dyDescent="0.15">
      <c r="A169" t="s">
        <v>72</v>
      </c>
      <c r="B169" t="s">
        <v>3382</v>
      </c>
      <c r="C169" t="s">
        <v>74</v>
      </c>
      <c r="D169" t="s">
        <v>74</v>
      </c>
      <c r="E169" t="s">
        <v>74</v>
      </c>
      <c r="F169" t="s">
        <v>3383</v>
      </c>
      <c r="G169" t="s">
        <v>74</v>
      </c>
      <c r="H169" t="s">
        <v>74</v>
      </c>
      <c r="I169" t="s">
        <v>3384</v>
      </c>
      <c r="J169" t="s">
        <v>3385</v>
      </c>
      <c r="K169" t="s">
        <v>74</v>
      </c>
      <c r="L169" t="s">
        <v>74</v>
      </c>
      <c r="M169" t="s">
        <v>78</v>
      </c>
      <c r="N169" t="s">
        <v>79</v>
      </c>
      <c r="O169" t="s">
        <v>74</v>
      </c>
      <c r="P169" t="s">
        <v>74</v>
      </c>
      <c r="Q169" t="s">
        <v>74</v>
      </c>
      <c r="R169" t="s">
        <v>74</v>
      </c>
      <c r="S169" t="s">
        <v>74</v>
      </c>
      <c r="T169" t="s">
        <v>3386</v>
      </c>
      <c r="U169" t="s">
        <v>3387</v>
      </c>
      <c r="V169" t="s">
        <v>3388</v>
      </c>
      <c r="W169" t="s">
        <v>3389</v>
      </c>
      <c r="X169" t="s">
        <v>3390</v>
      </c>
      <c r="Y169" t="s">
        <v>3391</v>
      </c>
      <c r="Z169" t="s">
        <v>3392</v>
      </c>
      <c r="AA169" t="s">
        <v>74</v>
      </c>
      <c r="AB169" t="s">
        <v>74</v>
      </c>
      <c r="AC169" t="s">
        <v>3393</v>
      </c>
      <c r="AD169" t="s">
        <v>3394</v>
      </c>
      <c r="AE169" t="s">
        <v>3395</v>
      </c>
      <c r="AF169" t="s">
        <v>74</v>
      </c>
      <c r="AG169">
        <v>29</v>
      </c>
      <c r="AH169">
        <v>4</v>
      </c>
      <c r="AI169">
        <v>5</v>
      </c>
      <c r="AJ169">
        <v>0</v>
      </c>
      <c r="AK169">
        <v>11</v>
      </c>
      <c r="AL169" t="s">
        <v>529</v>
      </c>
      <c r="AM169" t="s">
        <v>391</v>
      </c>
      <c r="AN169" t="s">
        <v>530</v>
      </c>
      <c r="AO169" t="s">
        <v>3396</v>
      </c>
      <c r="AP169" t="s">
        <v>3397</v>
      </c>
      <c r="AQ169" t="s">
        <v>74</v>
      </c>
      <c r="AR169" t="s">
        <v>3398</v>
      </c>
      <c r="AS169" t="s">
        <v>3399</v>
      </c>
      <c r="AT169" t="s">
        <v>2831</v>
      </c>
      <c r="AU169">
        <v>2013</v>
      </c>
      <c r="AV169">
        <v>32</v>
      </c>
      <c r="AW169">
        <v>7</v>
      </c>
      <c r="AX169" t="s">
        <v>74</v>
      </c>
      <c r="AY169" t="s">
        <v>74</v>
      </c>
      <c r="AZ169" t="s">
        <v>74</v>
      </c>
      <c r="BA169" t="s">
        <v>74</v>
      </c>
      <c r="BB169">
        <v>14</v>
      </c>
      <c r="BC169">
        <v>20</v>
      </c>
      <c r="BD169" t="s">
        <v>74</v>
      </c>
      <c r="BE169" t="s">
        <v>3400</v>
      </c>
      <c r="BF169" t="str">
        <f>HYPERLINK("http://dx.doi.org/10.1007/s13131-013-0327-z","http://dx.doi.org/10.1007/s13131-013-0327-z")</f>
        <v>http://dx.doi.org/10.1007/s13131-013-0327-z</v>
      </c>
      <c r="BG169" t="s">
        <v>74</v>
      </c>
      <c r="BH169" t="s">
        <v>74</v>
      </c>
      <c r="BI169">
        <v>7</v>
      </c>
      <c r="BJ169" t="s">
        <v>327</v>
      </c>
      <c r="BK169" t="s">
        <v>102</v>
      </c>
      <c r="BL169" t="s">
        <v>327</v>
      </c>
      <c r="BM169" t="s">
        <v>3401</v>
      </c>
      <c r="BN169" t="s">
        <v>74</v>
      </c>
      <c r="BO169" t="s">
        <v>74</v>
      </c>
      <c r="BP169" t="s">
        <v>74</v>
      </c>
      <c r="BQ169" t="s">
        <v>74</v>
      </c>
      <c r="BR169" t="s">
        <v>105</v>
      </c>
      <c r="BS169" t="s">
        <v>3402</v>
      </c>
      <c r="BT169" t="str">
        <f>HYPERLINK("https%3A%2F%2Fwww.webofscience.com%2Fwos%2Fwoscc%2Ffull-record%2FWOS:000321808000003","View Full Record in Web of Science")</f>
        <v>View Full Record in Web of Science</v>
      </c>
    </row>
    <row r="170" spans="1:72" x14ac:dyDescent="0.15">
      <c r="A170" t="s">
        <v>72</v>
      </c>
      <c r="B170" t="s">
        <v>3403</v>
      </c>
      <c r="C170" t="s">
        <v>74</v>
      </c>
      <c r="D170" t="s">
        <v>74</v>
      </c>
      <c r="E170" t="s">
        <v>74</v>
      </c>
      <c r="F170" t="s">
        <v>3404</v>
      </c>
      <c r="G170" t="s">
        <v>74</v>
      </c>
      <c r="H170" t="s">
        <v>74</v>
      </c>
      <c r="I170" t="s">
        <v>3405</v>
      </c>
      <c r="J170" t="s">
        <v>3406</v>
      </c>
      <c r="K170" t="s">
        <v>74</v>
      </c>
      <c r="L170" t="s">
        <v>74</v>
      </c>
      <c r="M170" t="s">
        <v>78</v>
      </c>
      <c r="N170" t="s">
        <v>79</v>
      </c>
      <c r="O170" t="s">
        <v>74</v>
      </c>
      <c r="P170" t="s">
        <v>74</v>
      </c>
      <c r="Q170" t="s">
        <v>74</v>
      </c>
      <c r="R170" t="s">
        <v>74</v>
      </c>
      <c r="S170" t="s">
        <v>74</v>
      </c>
      <c r="T170" t="s">
        <v>3407</v>
      </c>
      <c r="U170" t="s">
        <v>3408</v>
      </c>
      <c r="V170" t="s">
        <v>3409</v>
      </c>
      <c r="W170" t="s">
        <v>3410</v>
      </c>
      <c r="X170" t="s">
        <v>3411</v>
      </c>
      <c r="Y170" t="s">
        <v>3412</v>
      </c>
      <c r="Z170" t="s">
        <v>3413</v>
      </c>
      <c r="AA170" t="s">
        <v>3414</v>
      </c>
      <c r="AB170" t="s">
        <v>3415</v>
      </c>
      <c r="AC170" t="s">
        <v>3416</v>
      </c>
      <c r="AD170" t="s">
        <v>3417</v>
      </c>
      <c r="AE170" t="s">
        <v>3418</v>
      </c>
      <c r="AF170" t="s">
        <v>74</v>
      </c>
      <c r="AG170">
        <v>71</v>
      </c>
      <c r="AH170">
        <v>42</v>
      </c>
      <c r="AI170">
        <v>46</v>
      </c>
      <c r="AJ170">
        <v>0</v>
      </c>
      <c r="AK170">
        <v>26</v>
      </c>
      <c r="AL170" t="s">
        <v>195</v>
      </c>
      <c r="AM170" t="s">
        <v>155</v>
      </c>
      <c r="AN170" t="s">
        <v>196</v>
      </c>
      <c r="AO170" t="s">
        <v>3419</v>
      </c>
      <c r="AP170" t="s">
        <v>3420</v>
      </c>
      <c r="AQ170" t="s">
        <v>74</v>
      </c>
      <c r="AR170" t="s">
        <v>3421</v>
      </c>
      <c r="AS170" t="s">
        <v>3422</v>
      </c>
      <c r="AT170" t="s">
        <v>3423</v>
      </c>
      <c r="AU170">
        <v>2013</v>
      </c>
      <c r="AV170">
        <v>341</v>
      </c>
      <c r="AW170" t="s">
        <v>74</v>
      </c>
      <c r="AX170" t="s">
        <v>74</v>
      </c>
      <c r="AY170" t="s">
        <v>74</v>
      </c>
      <c r="AZ170" t="s">
        <v>74</v>
      </c>
      <c r="BA170" t="s">
        <v>74</v>
      </c>
      <c r="BB170">
        <v>46</v>
      </c>
      <c r="BC170">
        <v>57</v>
      </c>
      <c r="BD170" t="s">
        <v>74</v>
      </c>
      <c r="BE170" t="s">
        <v>3424</v>
      </c>
      <c r="BF170" t="str">
        <f>HYPERLINK("http://dx.doi.org/10.1016/j.margeo.2013.05.002","http://dx.doi.org/10.1016/j.margeo.2013.05.002")</f>
        <v>http://dx.doi.org/10.1016/j.margeo.2013.05.002</v>
      </c>
      <c r="BG170" t="s">
        <v>74</v>
      </c>
      <c r="BH170" t="s">
        <v>74</v>
      </c>
      <c r="BI170">
        <v>12</v>
      </c>
      <c r="BJ170" t="s">
        <v>3425</v>
      </c>
      <c r="BK170" t="s">
        <v>102</v>
      </c>
      <c r="BL170" t="s">
        <v>3426</v>
      </c>
      <c r="BM170" t="s">
        <v>3427</v>
      </c>
      <c r="BN170" t="s">
        <v>74</v>
      </c>
      <c r="BO170" t="s">
        <v>426</v>
      </c>
      <c r="BP170" t="s">
        <v>74</v>
      </c>
      <c r="BQ170" t="s">
        <v>74</v>
      </c>
      <c r="BR170" t="s">
        <v>105</v>
      </c>
      <c r="BS170" t="s">
        <v>3428</v>
      </c>
      <c r="BT170" t="str">
        <f>HYPERLINK("https%3A%2F%2Fwww.webofscience.com%2Fwos%2Fwoscc%2Ffull-record%2FWOS:000321806500004","View Full Record in Web of Science")</f>
        <v>View Full Record in Web of Science</v>
      </c>
    </row>
    <row r="171" spans="1:72" x14ac:dyDescent="0.15">
      <c r="A171" t="s">
        <v>72</v>
      </c>
      <c r="B171" t="s">
        <v>3429</v>
      </c>
      <c r="C171" t="s">
        <v>74</v>
      </c>
      <c r="D171" t="s">
        <v>74</v>
      </c>
      <c r="E171" t="s">
        <v>74</v>
      </c>
      <c r="F171" t="s">
        <v>3430</v>
      </c>
      <c r="G171" t="s">
        <v>74</v>
      </c>
      <c r="H171" t="s">
        <v>74</v>
      </c>
      <c r="I171" t="s">
        <v>3431</v>
      </c>
      <c r="J171" t="s">
        <v>3345</v>
      </c>
      <c r="K171" t="s">
        <v>74</v>
      </c>
      <c r="L171" t="s">
        <v>74</v>
      </c>
      <c r="M171" t="s">
        <v>78</v>
      </c>
      <c r="N171" t="s">
        <v>79</v>
      </c>
      <c r="O171" t="s">
        <v>74</v>
      </c>
      <c r="P171" t="s">
        <v>74</v>
      </c>
      <c r="Q171" t="s">
        <v>74</v>
      </c>
      <c r="R171" t="s">
        <v>74</v>
      </c>
      <c r="S171" t="s">
        <v>74</v>
      </c>
      <c r="T171" t="s">
        <v>3432</v>
      </c>
      <c r="U171" t="s">
        <v>3433</v>
      </c>
      <c r="V171" t="s">
        <v>3434</v>
      </c>
      <c r="W171" t="s">
        <v>3435</v>
      </c>
      <c r="X171" t="s">
        <v>3436</v>
      </c>
      <c r="Y171" t="s">
        <v>3437</v>
      </c>
      <c r="Z171" t="s">
        <v>3438</v>
      </c>
      <c r="AA171" t="s">
        <v>3439</v>
      </c>
      <c r="AB171" t="s">
        <v>3440</v>
      </c>
      <c r="AC171" t="s">
        <v>3441</v>
      </c>
      <c r="AD171" t="s">
        <v>3442</v>
      </c>
      <c r="AE171" t="s">
        <v>3443</v>
      </c>
      <c r="AF171" t="s">
        <v>74</v>
      </c>
      <c r="AG171">
        <v>80</v>
      </c>
      <c r="AH171">
        <v>27</v>
      </c>
      <c r="AI171">
        <v>31</v>
      </c>
      <c r="AJ171">
        <v>1</v>
      </c>
      <c r="AK171">
        <v>61</v>
      </c>
      <c r="AL171" t="s">
        <v>529</v>
      </c>
      <c r="AM171" t="s">
        <v>391</v>
      </c>
      <c r="AN171" t="s">
        <v>530</v>
      </c>
      <c r="AO171" t="s">
        <v>3358</v>
      </c>
      <c r="AP171" t="s">
        <v>74</v>
      </c>
      <c r="AQ171" t="s">
        <v>74</v>
      </c>
      <c r="AR171" t="s">
        <v>3360</v>
      </c>
      <c r="AS171" t="s">
        <v>3361</v>
      </c>
      <c r="AT171" t="s">
        <v>2831</v>
      </c>
      <c r="AU171">
        <v>2013</v>
      </c>
      <c r="AV171">
        <v>36</v>
      </c>
      <c r="AW171">
        <v>8</v>
      </c>
      <c r="AX171" t="s">
        <v>74</v>
      </c>
      <c r="AY171" t="s">
        <v>74</v>
      </c>
      <c r="AZ171" t="s">
        <v>74</v>
      </c>
      <c r="BA171" t="s">
        <v>74</v>
      </c>
      <c r="BB171">
        <v>1107</v>
      </c>
      <c r="BC171">
        <v>1123</v>
      </c>
      <c r="BD171" t="s">
        <v>74</v>
      </c>
      <c r="BE171" t="s">
        <v>3444</v>
      </c>
      <c r="BF171" t="str">
        <f>HYPERLINK("http://dx.doi.org/10.1007/s00300-013-1333-5","http://dx.doi.org/10.1007/s00300-013-1333-5")</f>
        <v>http://dx.doi.org/10.1007/s00300-013-1333-5</v>
      </c>
      <c r="BG171" t="s">
        <v>74</v>
      </c>
      <c r="BH171" t="s">
        <v>74</v>
      </c>
      <c r="BI171">
        <v>17</v>
      </c>
      <c r="BJ171" t="s">
        <v>1158</v>
      </c>
      <c r="BK171" t="s">
        <v>102</v>
      </c>
      <c r="BL171" t="s">
        <v>1159</v>
      </c>
      <c r="BM171" t="s">
        <v>3445</v>
      </c>
      <c r="BN171" t="s">
        <v>74</v>
      </c>
      <c r="BO171" t="s">
        <v>74</v>
      </c>
      <c r="BP171" t="s">
        <v>74</v>
      </c>
      <c r="BQ171" t="s">
        <v>74</v>
      </c>
      <c r="BR171" t="s">
        <v>105</v>
      </c>
      <c r="BS171" t="s">
        <v>3446</v>
      </c>
      <c r="BT171" t="str">
        <f>HYPERLINK("https%3A%2F%2Fwww.webofscience.com%2Fwos%2Fwoscc%2Ffull-record%2FWOS:000321975200004","View Full Record in Web of Science")</f>
        <v>View Full Record in Web of Science</v>
      </c>
    </row>
    <row r="172" spans="1:72" x14ac:dyDescent="0.15">
      <c r="A172" t="s">
        <v>72</v>
      </c>
      <c r="B172" t="s">
        <v>3447</v>
      </c>
      <c r="C172" t="s">
        <v>74</v>
      </c>
      <c r="D172" t="s">
        <v>74</v>
      </c>
      <c r="E172" t="s">
        <v>74</v>
      </c>
      <c r="F172" t="s">
        <v>3448</v>
      </c>
      <c r="G172" t="s">
        <v>74</v>
      </c>
      <c r="H172" t="s">
        <v>74</v>
      </c>
      <c r="I172" t="s">
        <v>3449</v>
      </c>
      <c r="J172" t="s">
        <v>3345</v>
      </c>
      <c r="K172" t="s">
        <v>74</v>
      </c>
      <c r="L172" t="s">
        <v>74</v>
      </c>
      <c r="M172" t="s">
        <v>78</v>
      </c>
      <c r="N172" t="s">
        <v>79</v>
      </c>
      <c r="O172" t="s">
        <v>74</v>
      </c>
      <c r="P172" t="s">
        <v>74</v>
      </c>
      <c r="Q172" t="s">
        <v>74</v>
      </c>
      <c r="R172" t="s">
        <v>74</v>
      </c>
      <c r="S172" t="s">
        <v>74</v>
      </c>
      <c r="T172" t="s">
        <v>3450</v>
      </c>
      <c r="U172" t="s">
        <v>3451</v>
      </c>
      <c r="V172" t="s">
        <v>3452</v>
      </c>
      <c r="W172" t="s">
        <v>3453</v>
      </c>
      <c r="X172" t="s">
        <v>3454</v>
      </c>
      <c r="Y172" t="s">
        <v>3455</v>
      </c>
      <c r="Z172" t="s">
        <v>3456</v>
      </c>
      <c r="AA172" t="s">
        <v>3457</v>
      </c>
      <c r="AB172" t="s">
        <v>3458</v>
      </c>
      <c r="AC172" t="s">
        <v>3459</v>
      </c>
      <c r="AD172" t="s">
        <v>3459</v>
      </c>
      <c r="AE172" t="s">
        <v>3460</v>
      </c>
      <c r="AF172" t="s">
        <v>74</v>
      </c>
      <c r="AG172">
        <v>58</v>
      </c>
      <c r="AH172">
        <v>5</v>
      </c>
      <c r="AI172">
        <v>5</v>
      </c>
      <c r="AJ172">
        <v>0</v>
      </c>
      <c r="AK172">
        <v>17</v>
      </c>
      <c r="AL172" t="s">
        <v>529</v>
      </c>
      <c r="AM172" t="s">
        <v>391</v>
      </c>
      <c r="AN172" t="s">
        <v>1220</v>
      </c>
      <c r="AO172" t="s">
        <v>3358</v>
      </c>
      <c r="AP172" t="s">
        <v>3359</v>
      </c>
      <c r="AQ172" t="s">
        <v>74</v>
      </c>
      <c r="AR172" t="s">
        <v>3360</v>
      </c>
      <c r="AS172" t="s">
        <v>3361</v>
      </c>
      <c r="AT172" t="s">
        <v>2831</v>
      </c>
      <c r="AU172">
        <v>2013</v>
      </c>
      <c r="AV172">
        <v>36</v>
      </c>
      <c r="AW172">
        <v>8</v>
      </c>
      <c r="AX172" t="s">
        <v>74</v>
      </c>
      <c r="AY172" t="s">
        <v>74</v>
      </c>
      <c r="AZ172" t="s">
        <v>74</v>
      </c>
      <c r="BA172" t="s">
        <v>74</v>
      </c>
      <c r="BB172">
        <v>1147</v>
      </c>
      <c r="BC172">
        <v>1160</v>
      </c>
      <c r="BD172" t="s">
        <v>74</v>
      </c>
      <c r="BE172" t="s">
        <v>3461</v>
      </c>
      <c r="BF172" t="str">
        <f>HYPERLINK("http://dx.doi.org/10.1007/s00300-013-1336-2","http://dx.doi.org/10.1007/s00300-013-1336-2")</f>
        <v>http://dx.doi.org/10.1007/s00300-013-1336-2</v>
      </c>
      <c r="BG172" t="s">
        <v>74</v>
      </c>
      <c r="BH172" t="s">
        <v>74</v>
      </c>
      <c r="BI172">
        <v>14</v>
      </c>
      <c r="BJ172" t="s">
        <v>1158</v>
      </c>
      <c r="BK172" t="s">
        <v>102</v>
      </c>
      <c r="BL172" t="s">
        <v>1159</v>
      </c>
      <c r="BM172" t="s">
        <v>3445</v>
      </c>
      <c r="BN172" t="s">
        <v>74</v>
      </c>
      <c r="BO172" t="s">
        <v>74</v>
      </c>
      <c r="BP172" t="s">
        <v>74</v>
      </c>
      <c r="BQ172" t="s">
        <v>74</v>
      </c>
      <c r="BR172" t="s">
        <v>105</v>
      </c>
      <c r="BS172" t="s">
        <v>3462</v>
      </c>
      <c r="BT172" t="str">
        <f>HYPERLINK("https%3A%2F%2Fwww.webofscience.com%2Fwos%2Fwoscc%2Ffull-record%2FWOS:000321975200007","View Full Record in Web of Science")</f>
        <v>View Full Record in Web of Science</v>
      </c>
    </row>
    <row r="173" spans="1:72" x14ac:dyDescent="0.15">
      <c r="A173" t="s">
        <v>72</v>
      </c>
      <c r="B173" t="s">
        <v>3463</v>
      </c>
      <c r="C173" t="s">
        <v>74</v>
      </c>
      <c r="D173" t="s">
        <v>74</v>
      </c>
      <c r="E173" t="s">
        <v>74</v>
      </c>
      <c r="F173" t="s">
        <v>3464</v>
      </c>
      <c r="G173" t="s">
        <v>74</v>
      </c>
      <c r="H173" t="s">
        <v>74</v>
      </c>
      <c r="I173" t="s">
        <v>3465</v>
      </c>
      <c r="J173" t="s">
        <v>3345</v>
      </c>
      <c r="K173" t="s">
        <v>74</v>
      </c>
      <c r="L173" t="s">
        <v>74</v>
      </c>
      <c r="M173" t="s">
        <v>78</v>
      </c>
      <c r="N173" t="s">
        <v>79</v>
      </c>
      <c r="O173" t="s">
        <v>74</v>
      </c>
      <c r="P173" t="s">
        <v>74</v>
      </c>
      <c r="Q173" t="s">
        <v>74</v>
      </c>
      <c r="R173" t="s">
        <v>74</v>
      </c>
      <c r="S173" t="s">
        <v>74</v>
      </c>
      <c r="T173" t="s">
        <v>3466</v>
      </c>
      <c r="U173" t="s">
        <v>3467</v>
      </c>
      <c r="V173" t="s">
        <v>3468</v>
      </c>
      <c r="W173" t="s">
        <v>3469</v>
      </c>
      <c r="X173" t="s">
        <v>3470</v>
      </c>
      <c r="Y173" t="s">
        <v>3471</v>
      </c>
      <c r="Z173" t="s">
        <v>3472</v>
      </c>
      <c r="AA173" t="s">
        <v>3473</v>
      </c>
      <c r="AB173" t="s">
        <v>3474</v>
      </c>
      <c r="AC173" t="s">
        <v>3475</v>
      </c>
      <c r="AD173" t="s">
        <v>3476</v>
      </c>
      <c r="AE173" t="s">
        <v>3477</v>
      </c>
      <c r="AF173" t="s">
        <v>74</v>
      </c>
      <c r="AG173">
        <v>36</v>
      </c>
      <c r="AH173">
        <v>14</v>
      </c>
      <c r="AI173">
        <v>16</v>
      </c>
      <c r="AJ173">
        <v>0</v>
      </c>
      <c r="AK173">
        <v>7</v>
      </c>
      <c r="AL173" t="s">
        <v>529</v>
      </c>
      <c r="AM173" t="s">
        <v>391</v>
      </c>
      <c r="AN173" t="s">
        <v>530</v>
      </c>
      <c r="AO173" t="s">
        <v>3358</v>
      </c>
      <c r="AP173" t="s">
        <v>3359</v>
      </c>
      <c r="AQ173" t="s">
        <v>74</v>
      </c>
      <c r="AR173" t="s">
        <v>3360</v>
      </c>
      <c r="AS173" t="s">
        <v>3361</v>
      </c>
      <c r="AT173" t="s">
        <v>2831</v>
      </c>
      <c r="AU173">
        <v>2013</v>
      </c>
      <c r="AV173">
        <v>36</v>
      </c>
      <c r="AW173">
        <v>8</v>
      </c>
      <c r="AX173" t="s">
        <v>74</v>
      </c>
      <c r="AY173" t="s">
        <v>74</v>
      </c>
      <c r="AZ173" t="s">
        <v>74</v>
      </c>
      <c r="BA173" t="s">
        <v>74</v>
      </c>
      <c r="BB173">
        <v>1175</v>
      </c>
      <c r="BC173">
        <v>1193</v>
      </c>
      <c r="BD173" t="s">
        <v>74</v>
      </c>
      <c r="BE173" t="s">
        <v>3478</v>
      </c>
      <c r="BF173" t="str">
        <f>HYPERLINK("http://dx.doi.org/10.1007/s00300-013-1338-0","http://dx.doi.org/10.1007/s00300-013-1338-0")</f>
        <v>http://dx.doi.org/10.1007/s00300-013-1338-0</v>
      </c>
      <c r="BG173" t="s">
        <v>74</v>
      </c>
      <c r="BH173" t="s">
        <v>74</v>
      </c>
      <c r="BI173">
        <v>19</v>
      </c>
      <c r="BJ173" t="s">
        <v>1158</v>
      </c>
      <c r="BK173" t="s">
        <v>102</v>
      </c>
      <c r="BL173" t="s">
        <v>1159</v>
      </c>
      <c r="BM173" t="s">
        <v>3445</v>
      </c>
      <c r="BN173" t="s">
        <v>74</v>
      </c>
      <c r="BO173" t="s">
        <v>74</v>
      </c>
      <c r="BP173" t="s">
        <v>74</v>
      </c>
      <c r="BQ173" t="s">
        <v>74</v>
      </c>
      <c r="BR173" t="s">
        <v>105</v>
      </c>
      <c r="BS173" t="s">
        <v>3479</v>
      </c>
      <c r="BT173" t="str">
        <f>HYPERLINK("https%3A%2F%2Fwww.webofscience.com%2Fwos%2Fwoscc%2Ffull-record%2FWOS:000321975200009","View Full Record in Web of Science")</f>
        <v>View Full Record in Web of Science</v>
      </c>
    </row>
    <row r="174" spans="1:72" x14ac:dyDescent="0.15">
      <c r="A174" t="s">
        <v>72</v>
      </c>
      <c r="B174" t="s">
        <v>3480</v>
      </c>
      <c r="C174" t="s">
        <v>74</v>
      </c>
      <c r="D174" t="s">
        <v>74</v>
      </c>
      <c r="E174" t="s">
        <v>74</v>
      </c>
      <c r="F174" t="s">
        <v>3481</v>
      </c>
      <c r="G174" t="s">
        <v>74</v>
      </c>
      <c r="H174" t="s">
        <v>74</v>
      </c>
      <c r="I174" t="s">
        <v>3482</v>
      </c>
      <c r="J174" t="s">
        <v>3345</v>
      </c>
      <c r="K174" t="s">
        <v>74</v>
      </c>
      <c r="L174" t="s">
        <v>74</v>
      </c>
      <c r="M174" t="s">
        <v>78</v>
      </c>
      <c r="N174" t="s">
        <v>79</v>
      </c>
      <c r="O174" t="s">
        <v>74</v>
      </c>
      <c r="P174" t="s">
        <v>74</v>
      </c>
      <c r="Q174" t="s">
        <v>74</v>
      </c>
      <c r="R174" t="s">
        <v>74</v>
      </c>
      <c r="S174" t="s">
        <v>74</v>
      </c>
      <c r="T174" t="s">
        <v>3483</v>
      </c>
      <c r="U174" t="s">
        <v>3484</v>
      </c>
      <c r="V174" t="s">
        <v>3485</v>
      </c>
      <c r="W174" t="s">
        <v>3486</v>
      </c>
      <c r="X174" t="s">
        <v>3487</v>
      </c>
      <c r="Y174" t="s">
        <v>3488</v>
      </c>
      <c r="Z174" t="s">
        <v>3489</v>
      </c>
      <c r="AA174" t="s">
        <v>3490</v>
      </c>
      <c r="AB174" t="s">
        <v>3491</v>
      </c>
      <c r="AC174" t="s">
        <v>3492</v>
      </c>
      <c r="AD174" t="s">
        <v>3493</v>
      </c>
      <c r="AE174" t="s">
        <v>3494</v>
      </c>
      <c r="AF174" t="s">
        <v>74</v>
      </c>
      <c r="AG174">
        <v>86</v>
      </c>
      <c r="AH174">
        <v>27</v>
      </c>
      <c r="AI174">
        <v>32</v>
      </c>
      <c r="AJ174">
        <v>0</v>
      </c>
      <c r="AK174">
        <v>42</v>
      </c>
      <c r="AL174" t="s">
        <v>529</v>
      </c>
      <c r="AM174" t="s">
        <v>391</v>
      </c>
      <c r="AN174" t="s">
        <v>530</v>
      </c>
      <c r="AO174" t="s">
        <v>3358</v>
      </c>
      <c r="AP174" t="s">
        <v>3359</v>
      </c>
      <c r="AQ174" t="s">
        <v>74</v>
      </c>
      <c r="AR174" t="s">
        <v>3360</v>
      </c>
      <c r="AS174" t="s">
        <v>3361</v>
      </c>
      <c r="AT174" t="s">
        <v>2831</v>
      </c>
      <c r="AU174">
        <v>2013</v>
      </c>
      <c r="AV174">
        <v>36</v>
      </c>
      <c r="AW174">
        <v>8</v>
      </c>
      <c r="AX174" t="s">
        <v>74</v>
      </c>
      <c r="AY174" t="s">
        <v>74</v>
      </c>
      <c r="AZ174" t="s">
        <v>74</v>
      </c>
      <c r="BA174" t="s">
        <v>74</v>
      </c>
      <c r="BB174">
        <v>1215</v>
      </c>
      <c r="BC174">
        <v>1230</v>
      </c>
      <c r="BD174" t="s">
        <v>74</v>
      </c>
      <c r="BE174" t="s">
        <v>3495</v>
      </c>
      <c r="BF174" t="str">
        <f>HYPERLINK("http://dx.doi.org/10.1007/s00300-013-1314-8","http://dx.doi.org/10.1007/s00300-013-1314-8")</f>
        <v>http://dx.doi.org/10.1007/s00300-013-1314-8</v>
      </c>
      <c r="BG174" t="s">
        <v>74</v>
      </c>
      <c r="BH174" t="s">
        <v>74</v>
      </c>
      <c r="BI174">
        <v>16</v>
      </c>
      <c r="BJ174" t="s">
        <v>1158</v>
      </c>
      <c r="BK174" t="s">
        <v>102</v>
      </c>
      <c r="BL174" t="s">
        <v>1159</v>
      </c>
      <c r="BM174" t="s">
        <v>3445</v>
      </c>
      <c r="BN174" t="s">
        <v>74</v>
      </c>
      <c r="BO174" t="s">
        <v>74</v>
      </c>
      <c r="BP174" t="s">
        <v>74</v>
      </c>
      <c r="BQ174" t="s">
        <v>74</v>
      </c>
      <c r="BR174" t="s">
        <v>105</v>
      </c>
      <c r="BS174" t="s">
        <v>3496</v>
      </c>
      <c r="BT174" t="str">
        <f>HYPERLINK("https%3A%2F%2Fwww.webofscience.com%2Fwos%2Fwoscc%2Ffull-record%2FWOS:000321975200012","View Full Record in Web of Science")</f>
        <v>View Full Record in Web of Science</v>
      </c>
    </row>
    <row r="175" spans="1:72" x14ac:dyDescent="0.15">
      <c r="A175" t="s">
        <v>72</v>
      </c>
      <c r="B175" t="s">
        <v>3497</v>
      </c>
      <c r="C175" t="s">
        <v>74</v>
      </c>
      <c r="D175" t="s">
        <v>74</v>
      </c>
      <c r="E175" t="s">
        <v>74</v>
      </c>
      <c r="F175" t="s">
        <v>3498</v>
      </c>
      <c r="G175" t="s">
        <v>74</v>
      </c>
      <c r="H175" t="s">
        <v>74</v>
      </c>
      <c r="I175" t="s">
        <v>3499</v>
      </c>
      <c r="J175" t="s">
        <v>467</v>
      </c>
      <c r="K175" t="s">
        <v>74</v>
      </c>
      <c r="L175" t="s">
        <v>74</v>
      </c>
      <c r="M175" t="s">
        <v>78</v>
      </c>
      <c r="N175" t="s">
        <v>79</v>
      </c>
      <c r="O175" t="s">
        <v>74</v>
      </c>
      <c r="P175" t="s">
        <v>74</v>
      </c>
      <c r="Q175" t="s">
        <v>74</v>
      </c>
      <c r="R175" t="s">
        <v>74</v>
      </c>
      <c r="S175" t="s">
        <v>74</v>
      </c>
      <c r="T175" t="s">
        <v>74</v>
      </c>
      <c r="U175" t="s">
        <v>3500</v>
      </c>
      <c r="V175" t="s">
        <v>3501</v>
      </c>
      <c r="W175" t="s">
        <v>3502</v>
      </c>
      <c r="X175" t="s">
        <v>839</v>
      </c>
      <c r="Y175" t="s">
        <v>3503</v>
      </c>
      <c r="Z175" t="s">
        <v>3504</v>
      </c>
      <c r="AA175" t="s">
        <v>74</v>
      </c>
      <c r="AB175" t="s">
        <v>3505</v>
      </c>
      <c r="AC175" t="s">
        <v>839</v>
      </c>
      <c r="AD175" t="s">
        <v>839</v>
      </c>
      <c r="AE175" t="s">
        <v>3506</v>
      </c>
      <c r="AF175" t="s">
        <v>74</v>
      </c>
      <c r="AG175">
        <v>42</v>
      </c>
      <c r="AH175">
        <v>10</v>
      </c>
      <c r="AI175">
        <v>10</v>
      </c>
      <c r="AJ175">
        <v>0</v>
      </c>
      <c r="AK175">
        <v>12</v>
      </c>
      <c r="AL175" t="s">
        <v>3507</v>
      </c>
      <c r="AM175" t="s">
        <v>480</v>
      </c>
      <c r="AN175" t="s">
        <v>481</v>
      </c>
      <c r="AO175" t="s">
        <v>482</v>
      </c>
      <c r="AP175" t="s">
        <v>483</v>
      </c>
      <c r="AQ175" t="s">
        <v>74</v>
      </c>
      <c r="AR175" t="s">
        <v>484</v>
      </c>
      <c r="AS175" t="s">
        <v>485</v>
      </c>
      <c r="AT175" t="s">
        <v>2831</v>
      </c>
      <c r="AU175">
        <v>2013</v>
      </c>
      <c r="AV175">
        <v>70</v>
      </c>
      <c r="AW175">
        <v>7</v>
      </c>
      <c r="AX175" t="s">
        <v>74</v>
      </c>
      <c r="AY175" t="s">
        <v>74</v>
      </c>
      <c r="AZ175" t="s">
        <v>74</v>
      </c>
      <c r="BA175" t="s">
        <v>74</v>
      </c>
      <c r="BB175">
        <v>1031</v>
      </c>
      <c r="BC175">
        <v>1045</v>
      </c>
      <c r="BD175" t="s">
        <v>74</v>
      </c>
      <c r="BE175" t="s">
        <v>3508</v>
      </c>
      <c r="BF175" t="str">
        <f>HYPERLINK("http://dx.doi.org/10.1139/cjfas-2012-0413","http://dx.doi.org/10.1139/cjfas-2012-0413")</f>
        <v>http://dx.doi.org/10.1139/cjfas-2012-0413</v>
      </c>
      <c r="BG175" t="s">
        <v>74</v>
      </c>
      <c r="BH175" t="s">
        <v>74</v>
      </c>
      <c r="BI175">
        <v>15</v>
      </c>
      <c r="BJ175" t="s">
        <v>487</v>
      </c>
      <c r="BK175" t="s">
        <v>102</v>
      </c>
      <c r="BL175" t="s">
        <v>487</v>
      </c>
      <c r="BM175" t="s">
        <v>3509</v>
      </c>
      <c r="BN175" t="s">
        <v>74</v>
      </c>
      <c r="BO175" t="s">
        <v>74</v>
      </c>
      <c r="BP175" t="s">
        <v>74</v>
      </c>
      <c r="BQ175" t="s">
        <v>74</v>
      </c>
      <c r="BR175" t="s">
        <v>105</v>
      </c>
      <c r="BS175" t="s">
        <v>3510</v>
      </c>
      <c r="BT175" t="str">
        <f>HYPERLINK("https%3A%2F%2Fwww.webofscience.com%2Fwos%2Fwoscc%2Ffull-record%2FWOS:000321247700008","View Full Record in Web of Science")</f>
        <v>View Full Record in Web of Science</v>
      </c>
    </row>
    <row r="176" spans="1:72" x14ac:dyDescent="0.15">
      <c r="A176" t="s">
        <v>72</v>
      </c>
      <c r="B176" t="s">
        <v>3511</v>
      </c>
      <c r="C176" t="s">
        <v>74</v>
      </c>
      <c r="D176" t="s">
        <v>74</v>
      </c>
      <c r="E176" t="s">
        <v>74</v>
      </c>
      <c r="F176" t="s">
        <v>3512</v>
      </c>
      <c r="G176" t="s">
        <v>74</v>
      </c>
      <c r="H176" t="s">
        <v>74</v>
      </c>
      <c r="I176" t="s">
        <v>3513</v>
      </c>
      <c r="J176" t="s">
        <v>3514</v>
      </c>
      <c r="K176" t="s">
        <v>74</v>
      </c>
      <c r="L176" t="s">
        <v>74</v>
      </c>
      <c r="M176" t="s">
        <v>78</v>
      </c>
      <c r="N176" t="s">
        <v>79</v>
      </c>
      <c r="O176" t="s">
        <v>74</v>
      </c>
      <c r="P176" t="s">
        <v>74</v>
      </c>
      <c r="Q176" t="s">
        <v>74</v>
      </c>
      <c r="R176" t="s">
        <v>74</v>
      </c>
      <c r="S176" t="s">
        <v>74</v>
      </c>
      <c r="T176" t="s">
        <v>3515</v>
      </c>
      <c r="U176" t="s">
        <v>3516</v>
      </c>
      <c r="V176" t="s">
        <v>3517</v>
      </c>
      <c r="W176" t="s">
        <v>3518</v>
      </c>
      <c r="X176" t="s">
        <v>3519</v>
      </c>
      <c r="Y176" t="s">
        <v>3520</v>
      </c>
      <c r="Z176" t="s">
        <v>3521</v>
      </c>
      <c r="AA176" t="s">
        <v>3522</v>
      </c>
      <c r="AB176" t="s">
        <v>3523</v>
      </c>
      <c r="AC176" t="s">
        <v>3524</v>
      </c>
      <c r="AD176" t="s">
        <v>3525</v>
      </c>
      <c r="AE176" t="s">
        <v>3526</v>
      </c>
      <c r="AF176" t="s">
        <v>74</v>
      </c>
      <c r="AG176">
        <v>39</v>
      </c>
      <c r="AH176">
        <v>4</v>
      </c>
      <c r="AI176">
        <v>4</v>
      </c>
      <c r="AJ176">
        <v>0</v>
      </c>
      <c r="AK176">
        <v>16</v>
      </c>
      <c r="AL176" t="s">
        <v>3288</v>
      </c>
      <c r="AM176" t="s">
        <v>3076</v>
      </c>
      <c r="AN176" t="s">
        <v>3289</v>
      </c>
      <c r="AO176" t="s">
        <v>3527</v>
      </c>
      <c r="AP176" t="s">
        <v>3528</v>
      </c>
      <c r="AQ176" t="s">
        <v>74</v>
      </c>
      <c r="AR176" t="s">
        <v>3514</v>
      </c>
      <c r="AS176" t="s">
        <v>3529</v>
      </c>
      <c r="AT176" t="s">
        <v>2831</v>
      </c>
      <c r="AU176">
        <v>2013</v>
      </c>
      <c r="AV176">
        <v>17</v>
      </c>
      <c r="AW176">
        <v>4</v>
      </c>
      <c r="AX176" t="s">
        <v>74</v>
      </c>
      <c r="AY176" t="s">
        <v>74</v>
      </c>
      <c r="AZ176" t="s">
        <v>74</v>
      </c>
      <c r="BA176" t="s">
        <v>74</v>
      </c>
      <c r="BB176">
        <v>565</v>
      </c>
      <c r="BC176">
        <v>573</v>
      </c>
      <c r="BD176" t="s">
        <v>74</v>
      </c>
      <c r="BE176" t="s">
        <v>3530</v>
      </c>
      <c r="BF176" t="str">
        <f>HYPERLINK("http://dx.doi.org/10.1007/s00792-013-0539-3","http://dx.doi.org/10.1007/s00792-013-0539-3")</f>
        <v>http://dx.doi.org/10.1007/s00792-013-0539-3</v>
      </c>
      <c r="BG176" t="s">
        <v>74</v>
      </c>
      <c r="BH176" t="s">
        <v>74</v>
      </c>
      <c r="BI176">
        <v>9</v>
      </c>
      <c r="BJ176" t="s">
        <v>376</v>
      </c>
      <c r="BK176" t="s">
        <v>102</v>
      </c>
      <c r="BL176" t="s">
        <v>376</v>
      </c>
      <c r="BM176" t="s">
        <v>3531</v>
      </c>
      <c r="BN176">
        <v>23588647</v>
      </c>
      <c r="BO176" t="s">
        <v>74</v>
      </c>
      <c r="BP176" t="s">
        <v>74</v>
      </c>
      <c r="BQ176" t="s">
        <v>74</v>
      </c>
      <c r="BR176" t="s">
        <v>105</v>
      </c>
      <c r="BS176" t="s">
        <v>3532</v>
      </c>
      <c r="BT176" t="str">
        <f>HYPERLINK("https%3A%2F%2Fwww.webofscience.com%2Fwos%2Fwoscc%2Ffull-record%2FWOS:000320889100002","View Full Record in Web of Science")</f>
        <v>View Full Record in Web of Science</v>
      </c>
    </row>
    <row r="177" spans="1:72" x14ac:dyDescent="0.15">
      <c r="A177" t="s">
        <v>72</v>
      </c>
      <c r="B177" t="s">
        <v>3533</v>
      </c>
      <c r="C177" t="s">
        <v>74</v>
      </c>
      <c r="D177" t="s">
        <v>74</v>
      </c>
      <c r="E177" t="s">
        <v>74</v>
      </c>
      <c r="F177" t="s">
        <v>3534</v>
      </c>
      <c r="G177" t="s">
        <v>74</v>
      </c>
      <c r="H177" t="s">
        <v>74</v>
      </c>
      <c r="I177" t="s">
        <v>3535</v>
      </c>
      <c r="J177" t="s">
        <v>942</v>
      </c>
      <c r="K177" t="s">
        <v>74</v>
      </c>
      <c r="L177" t="s">
        <v>74</v>
      </c>
      <c r="M177" t="s">
        <v>78</v>
      </c>
      <c r="N177" t="s">
        <v>79</v>
      </c>
      <c r="O177" t="s">
        <v>74</v>
      </c>
      <c r="P177" t="s">
        <v>74</v>
      </c>
      <c r="Q177" t="s">
        <v>74</v>
      </c>
      <c r="R177" t="s">
        <v>74</v>
      </c>
      <c r="S177" t="s">
        <v>74</v>
      </c>
      <c r="T177" t="s">
        <v>3536</v>
      </c>
      <c r="U177" t="s">
        <v>3537</v>
      </c>
      <c r="V177" t="s">
        <v>3538</v>
      </c>
      <c r="W177" t="s">
        <v>3539</v>
      </c>
      <c r="X177" t="s">
        <v>3540</v>
      </c>
      <c r="Y177" t="s">
        <v>3541</v>
      </c>
      <c r="Z177" t="s">
        <v>3542</v>
      </c>
      <c r="AA177" t="s">
        <v>3543</v>
      </c>
      <c r="AB177" t="s">
        <v>3544</v>
      </c>
      <c r="AC177" t="s">
        <v>3545</v>
      </c>
      <c r="AD177" t="s">
        <v>3546</v>
      </c>
      <c r="AE177" t="s">
        <v>3547</v>
      </c>
      <c r="AF177" t="s">
        <v>74</v>
      </c>
      <c r="AG177">
        <v>92</v>
      </c>
      <c r="AH177">
        <v>8</v>
      </c>
      <c r="AI177">
        <v>9</v>
      </c>
      <c r="AJ177">
        <v>1</v>
      </c>
      <c r="AK177">
        <v>12</v>
      </c>
      <c r="AL177" t="s">
        <v>954</v>
      </c>
      <c r="AM177" t="s">
        <v>955</v>
      </c>
      <c r="AN177" t="s">
        <v>956</v>
      </c>
      <c r="AO177" t="s">
        <v>957</v>
      </c>
      <c r="AP177" t="s">
        <v>958</v>
      </c>
      <c r="AQ177" t="s">
        <v>74</v>
      </c>
      <c r="AR177" t="s">
        <v>942</v>
      </c>
      <c r="AS177" t="s">
        <v>959</v>
      </c>
      <c r="AT177" t="s">
        <v>2831</v>
      </c>
      <c r="AU177">
        <v>2013</v>
      </c>
      <c r="AV177">
        <v>225</v>
      </c>
      <c r="AW177">
        <v>1</v>
      </c>
      <c r="AX177" t="s">
        <v>74</v>
      </c>
      <c r="AY177" t="s">
        <v>74</v>
      </c>
      <c r="AZ177" t="s">
        <v>74</v>
      </c>
      <c r="BA177" t="s">
        <v>74</v>
      </c>
      <c r="BB177">
        <v>581</v>
      </c>
      <c r="BC177">
        <v>601</v>
      </c>
      <c r="BD177" t="s">
        <v>74</v>
      </c>
      <c r="BE177" t="s">
        <v>3548</v>
      </c>
      <c r="BF177" t="str">
        <f>HYPERLINK("http://dx.doi.org/10.1016/j.icarus.2013.04.022","http://dx.doi.org/10.1016/j.icarus.2013.04.022")</f>
        <v>http://dx.doi.org/10.1016/j.icarus.2013.04.022</v>
      </c>
      <c r="BG177" t="s">
        <v>74</v>
      </c>
      <c r="BH177" t="s">
        <v>74</v>
      </c>
      <c r="BI177">
        <v>21</v>
      </c>
      <c r="BJ177" t="s">
        <v>101</v>
      </c>
      <c r="BK177" t="s">
        <v>102</v>
      </c>
      <c r="BL177" t="s">
        <v>101</v>
      </c>
      <c r="BM177" t="s">
        <v>3549</v>
      </c>
      <c r="BN177" t="s">
        <v>74</v>
      </c>
      <c r="BO177" t="s">
        <v>74</v>
      </c>
      <c r="BP177" t="s">
        <v>74</v>
      </c>
      <c r="BQ177" t="s">
        <v>74</v>
      </c>
      <c r="BR177" t="s">
        <v>105</v>
      </c>
      <c r="BS177" t="s">
        <v>3550</v>
      </c>
      <c r="BT177" t="str">
        <f>HYPERLINK("https%3A%2F%2Fwww.webofscience.com%2Fwos%2Fwoscc%2Ffull-record%2FWOS:000321161800048","View Full Record in Web of Science")</f>
        <v>View Full Record in Web of Science</v>
      </c>
    </row>
    <row r="178" spans="1:72" x14ac:dyDescent="0.15">
      <c r="A178" t="s">
        <v>72</v>
      </c>
      <c r="B178" t="s">
        <v>3551</v>
      </c>
      <c r="C178" t="s">
        <v>74</v>
      </c>
      <c r="D178" t="s">
        <v>74</v>
      </c>
      <c r="E178" t="s">
        <v>74</v>
      </c>
      <c r="F178" t="s">
        <v>3552</v>
      </c>
      <c r="G178" t="s">
        <v>74</v>
      </c>
      <c r="H178" t="s">
        <v>74</v>
      </c>
      <c r="I178" t="s">
        <v>3553</v>
      </c>
      <c r="J178" t="s">
        <v>3554</v>
      </c>
      <c r="K178" t="s">
        <v>74</v>
      </c>
      <c r="L178" t="s">
        <v>74</v>
      </c>
      <c r="M178" t="s">
        <v>78</v>
      </c>
      <c r="N178" t="s">
        <v>79</v>
      </c>
      <c r="O178" t="s">
        <v>74</v>
      </c>
      <c r="P178" t="s">
        <v>74</v>
      </c>
      <c r="Q178" t="s">
        <v>74</v>
      </c>
      <c r="R178" t="s">
        <v>74</v>
      </c>
      <c r="S178" t="s">
        <v>74</v>
      </c>
      <c r="T178" t="s">
        <v>3555</v>
      </c>
      <c r="U178" t="s">
        <v>3556</v>
      </c>
      <c r="V178" t="s">
        <v>3557</v>
      </c>
      <c r="W178" t="s">
        <v>3558</v>
      </c>
      <c r="X178" t="s">
        <v>3559</v>
      </c>
      <c r="Y178" t="s">
        <v>3560</v>
      </c>
      <c r="Z178" t="s">
        <v>3561</v>
      </c>
      <c r="AA178" t="s">
        <v>3562</v>
      </c>
      <c r="AB178" t="s">
        <v>3563</v>
      </c>
      <c r="AC178" t="s">
        <v>3564</v>
      </c>
      <c r="AD178" t="s">
        <v>3565</v>
      </c>
      <c r="AE178" t="s">
        <v>3566</v>
      </c>
      <c r="AF178" t="s">
        <v>74</v>
      </c>
      <c r="AG178">
        <v>54</v>
      </c>
      <c r="AH178">
        <v>38</v>
      </c>
      <c r="AI178">
        <v>49</v>
      </c>
      <c r="AJ178">
        <v>0</v>
      </c>
      <c r="AK178">
        <v>49</v>
      </c>
      <c r="AL178" t="s">
        <v>441</v>
      </c>
      <c r="AM178" t="s">
        <v>442</v>
      </c>
      <c r="AN178" t="s">
        <v>443</v>
      </c>
      <c r="AO178" t="s">
        <v>3567</v>
      </c>
      <c r="AP178" t="s">
        <v>3568</v>
      </c>
      <c r="AQ178" t="s">
        <v>74</v>
      </c>
      <c r="AR178" t="s">
        <v>3569</v>
      </c>
      <c r="AS178" t="s">
        <v>3570</v>
      </c>
      <c r="AT178" t="s">
        <v>2831</v>
      </c>
      <c r="AU178">
        <v>2013</v>
      </c>
      <c r="AV178">
        <v>70</v>
      </c>
      <c r="AW178">
        <v>4</v>
      </c>
      <c r="AX178" t="s">
        <v>74</v>
      </c>
      <c r="AY178" t="s">
        <v>74</v>
      </c>
      <c r="AZ178" t="s">
        <v>74</v>
      </c>
      <c r="BA178" t="s">
        <v>74</v>
      </c>
      <c r="BB178">
        <v>834</v>
      </c>
      <c r="BC178">
        <v>849</v>
      </c>
      <c r="BD178" t="s">
        <v>74</v>
      </c>
      <c r="BE178" t="s">
        <v>3571</v>
      </c>
      <c r="BF178" t="str">
        <f>HYPERLINK("http://dx.doi.org/10.1093/icesjms/fst088","http://dx.doi.org/10.1093/icesjms/fst088")</f>
        <v>http://dx.doi.org/10.1093/icesjms/fst088</v>
      </c>
      <c r="BG178" t="s">
        <v>74</v>
      </c>
      <c r="BH178" t="s">
        <v>74</v>
      </c>
      <c r="BI178">
        <v>16</v>
      </c>
      <c r="BJ178" t="s">
        <v>3572</v>
      </c>
      <c r="BK178" t="s">
        <v>102</v>
      </c>
      <c r="BL178" t="s">
        <v>3572</v>
      </c>
      <c r="BM178" t="s">
        <v>3573</v>
      </c>
      <c r="BN178" t="s">
        <v>74</v>
      </c>
      <c r="BO178" t="s">
        <v>1589</v>
      </c>
      <c r="BP178" t="s">
        <v>74</v>
      </c>
      <c r="BQ178" t="s">
        <v>74</v>
      </c>
      <c r="BR178" t="s">
        <v>105</v>
      </c>
      <c r="BS178" t="s">
        <v>3574</v>
      </c>
      <c r="BT178" t="str">
        <f>HYPERLINK("https%3A%2F%2Fwww.webofscience.com%2Fwos%2Fwoscc%2Ffull-record%2FWOS:000321057000013","View Full Record in Web of Science")</f>
        <v>View Full Record in Web of Science</v>
      </c>
    </row>
    <row r="179" spans="1:72" x14ac:dyDescent="0.15">
      <c r="A179" t="s">
        <v>72</v>
      </c>
      <c r="B179" t="s">
        <v>3575</v>
      </c>
      <c r="C179" t="s">
        <v>74</v>
      </c>
      <c r="D179" t="s">
        <v>74</v>
      </c>
      <c r="E179" t="s">
        <v>74</v>
      </c>
      <c r="F179" t="s">
        <v>3576</v>
      </c>
      <c r="G179" t="s">
        <v>74</v>
      </c>
      <c r="H179" t="s">
        <v>74</v>
      </c>
      <c r="I179" t="s">
        <v>3577</v>
      </c>
      <c r="J179" t="s">
        <v>3554</v>
      </c>
      <c r="K179" t="s">
        <v>74</v>
      </c>
      <c r="L179" t="s">
        <v>74</v>
      </c>
      <c r="M179" t="s">
        <v>78</v>
      </c>
      <c r="N179" t="s">
        <v>79</v>
      </c>
      <c r="O179" t="s">
        <v>74</v>
      </c>
      <c r="P179" t="s">
        <v>74</v>
      </c>
      <c r="Q179" t="s">
        <v>74</v>
      </c>
      <c r="R179" t="s">
        <v>74</v>
      </c>
      <c r="S179" t="s">
        <v>74</v>
      </c>
      <c r="T179" t="s">
        <v>3578</v>
      </c>
      <c r="U179" t="s">
        <v>3579</v>
      </c>
      <c r="V179" t="s">
        <v>3580</v>
      </c>
      <c r="W179" t="s">
        <v>3581</v>
      </c>
      <c r="X179" t="s">
        <v>3582</v>
      </c>
      <c r="Y179" t="s">
        <v>3583</v>
      </c>
      <c r="Z179" t="s">
        <v>3584</v>
      </c>
      <c r="AA179" t="s">
        <v>74</v>
      </c>
      <c r="AB179" t="s">
        <v>3585</v>
      </c>
      <c r="AC179" t="s">
        <v>3586</v>
      </c>
      <c r="AD179" t="s">
        <v>3587</v>
      </c>
      <c r="AE179" t="s">
        <v>3588</v>
      </c>
      <c r="AF179" t="s">
        <v>74</v>
      </c>
      <c r="AG179">
        <v>43</v>
      </c>
      <c r="AH179">
        <v>11</v>
      </c>
      <c r="AI179">
        <v>11</v>
      </c>
      <c r="AJ179">
        <v>0</v>
      </c>
      <c r="AK179">
        <v>19</v>
      </c>
      <c r="AL179" t="s">
        <v>441</v>
      </c>
      <c r="AM179" t="s">
        <v>442</v>
      </c>
      <c r="AN179" t="s">
        <v>443</v>
      </c>
      <c r="AO179" t="s">
        <v>3567</v>
      </c>
      <c r="AP179" t="s">
        <v>3568</v>
      </c>
      <c r="AQ179" t="s">
        <v>74</v>
      </c>
      <c r="AR179" t="s">
        <v>3569</v>
      </c>
      <c r="AS179" t="s">
        <v>3570</v>
      </c>
      <c r="AT179" t="s">
        <v>2831</v>
      </c>
      <c r="AU179">
        <v>2013</v>
      </c>
      <c r="AV179">
        <v>70</v>
      </c>
      <c r="AW179">
        <v>4</v>
      </c>
      <c r="AX179" t="s">
        <v>74</v>
      </c>
      <c r="AY179" t="s">
        <v>74</v>
      </c>
      <c r="AZ179" t="s">
        <v>74</v>
      </c>
      <c r="BA179" t="s">
        <v>74</v>
      </c>
      <c r="BB179">
        <v>883</v>
      </c>
      <c r="BC179">
        <v>891</v>
      </c>
      <c r="BD179" t="s">
        <v>74</v>
      </c>
      <c r="BE179" t="s">
        <v>3589</v>
      </c>
      <c r="BF179" t="str">
        <f>HYPERLINK("http://dx.doi.org/10.1093/icesjms/fst034","http://dx.doi.org/10.1093/icesjms/fst034")</f>
        <v>http://dx.doi.org/10.1093/icesjms/fst034</v>
      </c>
      <c r="BG179" t="s">
        <v>74</v>
      </c>
      <c r="BH179" t="s">
        <v>74</v>
      </c>
      <c r="BI179">
        <v>9</v>
      </c>
      <c r="BJ179" t="s">
        <v>3572</v>
      </c>
      <c r="BK179" t="s">
        <v>102</v>
      </c>
      <c r="BL179" t="s">
        <v>3572</v>
      </c>
      <c r="BM179" t="s">
        <v>3573</v>
      </c>
      <c r="BN179" t="s">
        <v>74</v>
      </c>
      <c r="BO179" t="s">
        <v>104</v>
      </c>
      <c r="BP179" t="s">
        <v>74</v>
      </c>
      <c r="BQ179" t="s">
        <v>74</v>
      </c>
      <c r="BR179" t="s">
        <v>105</v>
      </c>
      <c r="BS179" t="s">
        <v>3590</v>
      </c>
      <c r="BT179" t="str">
        <f>HYPERLINK("https%3A%2F%2Fwww.webofscience.com%2Fwos%2Fwoscc%2Ffull-record%2FWOS:000321057000017","View Full Record in Web of Science")</f>
        <v>View Full Record in Web of Science</v>
      </c>
    </row>
    <row r="180" spans="1:72" x14ac:dyDescent="0.15">
      <c r="A180" t="s">
        <v>72</v>
      </c>
      <c r="B180" t="s">
        <v>3591</v>
      </c>
      <c r="C180" t="s">
        <v>74</v>
      </c>
      <c r="D180" t="s">
        <v>74</v>
      </c>
      <c r="E180" t="s">
        <v>74</v>
      </c>
      <c r="F180" t="s">
        <v>3592</v>
      </c>
      <c r="G180" t="s">
        <v>74</v>
      </c>
      <c r="H180" t="s">
        <v>74</v>
      </c>
      <c r="I180" t="s">
        <v>3593</v>
      </c>
      <c r="J180" t="s">
        <v>3594</v>
      </c>
      <c r="K180" t="s">
        <v>74</v>
      </c>
      <c r="L180" t="s">
        <v>74</v>
      </c>
      <c r="M180" t="s">
        <v>78</v>
      </c>
      <c r="N180" t="s">
        <v>79</v>
      </c>
      <c r="O180" t="s">
        <v>74</v>
      </c>
      <c r="P180" t="s">
        <v>74</v>
      </c>
      <c r="Q180" t="s">
        <v>74</v>
      </c>
      <c r="R180" t="s">
        <v>74</v>
      </c>
      <c r="S180" t="s">
        <v>74</v>
      </c>
      <c r="T180" t="s">
        <v>3595</v>
      </c>
      <c r="U180" t="s">
        <v>3596</v>
      </c>
      <c r="V180" t="s">
        <v>3597</v>
      </c>
      <c r="W180" t="s">
        <v>3598</v>
      </c>
      <c r="X180" t="s">
        <v>3599</v>
      </c>
      <c r="Y180" t="s">
        <v>3600</v>
      </c>
      <c r="Z180" t="s">
        <v>1759</v>
      </c>
      <c r="AA180" t="s">
        <v>3601</v>
      </c>
      <c r="AB180" t="s">
        <v>3602</v>
      </c>
      <c r="AC180" t="s">
        <v>3603</v>
      </c>
      <c r="AD180" t="s">
        <v>3604</v>
      </c>
      <c r="AE180" t="s">
        <v>3605</v>
      </c>
      <c r="AF180" t="s">
        <v>74</v>
      </c>
      <c r="AG180">
        <v>49</v>
      </c>
      <c r="AH180">
        <v>19</v>
      </c>
      <c r="AI180">
        <v>21</v>
      </c>
      <c r="AJ180">
        <v>1</v>
      </c>
      <c r="AK180">
        <v>25</v>
      </c>
      <c r="AL180" t="s">
        <v>368</v>
      </c>
      <c r="AM180" t="s">
        <v>369</v>
      </c>
      <c r="AN180" t="s">
        <v>370</v>
      </c>
      <c r="AO180" t="s">
        <v>3606</v>
      </c>
      <c r="AP180" t="s">
        <v>3607</v>
      </c>
      <c r="AQ180" t="s">
        <v>74</v>
      </c>
      <c r="AR180" t="s">
        <v>3608</v>
      </c>
      <c r="AS180" t="s">
        <v>3609</v>
      </c>
      <c r="AT180" t="s">
        <v>2831</v>
      </c>
      <c r="AU180">
        <v>2013</v>
      </c>
      <c r="AV180">
        <v>61</v>
      </c>
      <c r="AW180">
        <v>3</v>
      </c>
      <c r="AX180" t="s">
        <v>74</v>
      </c>
      <c r="AY180" t="s">
        <v>74</v>
      </c>
      <c r="AZ180" t="s">
        <v>74</v>
      </c>
      <c r="BA180" t="s">
        <v>74</v>
      </c>
      <c r="BB180">
        <v>237</v>
      </c>
      <c r="BC180">
        <v>248</v>
      </c>
      <c r="BD180" t="s">
        <v>74</v>
      </c>
      <c r="BE180" t="s">
        <v>3610</v>
      </c>
      <c r="BF180" t="str">
        <f>HYPERLINK("http://dx.doi.org/10.1111/pre.12020","http://dx.doi.org/10.1111/pre.12020")</f>
        <v>http://dx.doi.org/10.1111/pre.12020</v>
      </c>
      <c r="BG180" t="s">
        <v>74</v>
      </c>
      <c r="BH180" t="s">
        <v>74</v>
      </c>
      <c r="BI180">
        <v>12</v>
      </c>
      <c r="BJ180" t="s">
        <v>1809</v>
      </c>
      <c r="BK180" t="s">
        <v>102</v>
      </c>
      <c r="BL180" t="s">
        <v>1809</v>
      </c>
      <c r="BM180" t="s">
        <v>3611</v>
      </c>
      <c r="BN180" t="s">
        <v>74</v>
      </c>
      <c r="BO180" t="s">
        <v>74</v>
      </c>
      <c r="BP180" t="s">
        <v>74</v>
      </c>
      <c r="BQ180" t="s">
        <v>74</v>
      </c>
      <c r="BR180" t="s">
        <v>105</v>
      </c>
      <c r="BS180" t="s">
        <v>3612</v>
      </c>
      <c r="BT180" t="str">
        <f>HYPERLINK("https%3A%2F%2Fwww.webofscience.com%2Fwos%2Fwoscc%2Ffull-record%2FWOS:000321753200009","View Full Record in Web of Science")</f>
        <v>View Full Record in Web of Science</v>
      </c>
    </row>
    <row r="181" spans="1:72" x14ac:dyDescent="0.15">
      <c r="A181" t="s">
        <v>72</v>
      </c>
      <c r="B181" t="s">
        <v>3613</v>
      </c>
      <c r="C181" t="s">
        <v>74</v>
      </c>
      <c r="D181" t="s">
        <v>74</v>
      </c>
      <c r="E181" t="s">
        <v>74</v>
      </c>
      <c r="F181" t="s">
        <v>3614</v>
      </c>
      <c r="G181" t="s">
        <v>74</v>
      </c>
      <c r="H181" t="s">
        <v>74</v>
      </c>
      <c r="I181" t="s">
        <v>3615</v>
      </c>
      <c r="J181" t="s">
        <v>3616</v>
      </c>
      <c r="K181" t="s">
        <v>74</v>
      </c>
      <c r="L181" t="s">
        <v>74</v>
      </c>
      <c r="M181" t="s">
        <v>78</v>
      </c>
      <c r="N181" t="s">
        <v>79</v>
      </c>
      <c r="O181" t="s">
        <v>74</v>
      </c>
      <c r="P181" t="s">
        <v>74</v>
      </c>
      <c r="Q181" t="s">
        <v>74</v>
      </c>
      <c r="R181" t="s">
        <v>74</v>
      </c>
      <c r="S181" t="s">
        <v>74</v>
      </c>
      <c r="T181" t="s">
        <v>3617</v>
      </c>
      <c r="U181" t="s">
        <v>3618</v>
      </c>
      <c r="V181" t="s">
        <v>3619</v>
      </c>
      <c r="W181" t="s">
        <v>3620</v>
      </c>
      <c r="X181" t="s">
        <v>3621</v>
      </c>
      <c r="Y181" t="s">
        <v>3622</v>
      </c>
      <c r="Z181" t="s">
        <v>3623</v>
      </c>
      <c r="AA181" t="s">
        <v>3624</v>
      </c>
      <c r="AB181" t="s">
        <v>3625</v>
      </c>
      <c r="AC181" t="s">
        <v>3626</v>
      </c>
      <c r="AD181" t="s">
        <v>3627</v>
      </c>
      <c r="AE181" t="s">
        <v>3628</v>
      </c>
      <c r="AF181" t="s">
        <v>74</v>
      </c>
      <c r="AG181">
        <v>132</v>
      </c>
      <c r="AH181">
        <v>30</v>
      </c>
      <c r="AI181">
        <v>30</v>
      </c>
      <c r="AJ181">
        <v>0</v>
      </c>
      <c r="AK181">
        <v>18</v>
      </c>
      <c r="AL181" t="s">
        <v>195</v>
      </c>
      <c r="AM181" t="s">
        <v>155</v>
      </c>
      <c r="AN181" t="s">
        <v>196</v>
      </c>
      <c r="AO181" t="s">
        <v>3629</v>
      </c>
      <c r="AP181" t="s">
        <v>3630</v>
      </c>
      <c r="AQ181" t="s">
        <v>74</v>
      </c>
      <c r="AR181" t="s">
        <v>3631</v>
      </c>
      <c r="AS181" t="s">
        <v>3632</v>
      </c>
      <c r="AT181" t="s">
        <v>2831</v>
      </c>
      <c r="AU181">
        <v>2013</v>
      </c>
      <c r="AV181">
        <v>231</v>
      </c>
      <c r="AW181" t="s">
        <v>74</v>
      </c>
      <c r="AX181" t="s">
        <v>74</v>
      </c>
      <c r="AY181" t="s">
        <v>74</v>
      </c>
      <c r="AZ181" t="s">
        <v>74</v>
      </c>
      <c r="BA181" t="s">
        <v>74</v>
      </c>
      <c r="BB181">
        <v>78</v>
      </c>
      <c r="BC181">
        <v>97</v>
      </c>
      <c r="BD181" t="s">
        <v>74</v>
      </c>
      <c r="BE181" t="s">
        <v>3633</v>
      </c>
      <c r="BF181" t="str">
        <f>HYPERLINK("http://dx.doi.org/10.1016/j.precamres.2013.03.015","http://dx.doi.org/10.1016/j.precamres.2013.03.015")</f>
        <v>http://dx.doi.org/10.1016/j.precamres.2013.03.015</v>
      </c>
      <c r="BG181" t="s">
        <v>74</v>
      </c>
      <c r="BH181" t="s">
        <v>74</v>
      </c>
      <c r="BI181">
        <v>20</v>
      </c>
      <c r="BJ181" t="s">
        <v>1426</v>
      </c>
      <c r="BK181" t="s">
        <v>102</v>
      </c>
      <c r="BL181" t="s">
        <v>219</v>
      </c>
      <c r="BM181" t="s">
        <v>3634</v>
      </c>
      <c r="BN181" t="s">
        <v>74</v>
      </c>
      <c r="BO181" t="s">
        <v>74</v>
      </c>
      <c r="BP181" t="s">
        <v>74</v>
      </c>
      <c r="BQ181" t="s">
        <v>74</v>
      </c>
      <c r="BR181" t="s">
        <v>105</v>
      </c>
      <c r="BS181" t="s">
        <v>3635</v>
      </c>
      <c r="BT181" t="str">
        <f>HYPERLINK("https%3A%2F%2Fwww.webofscience.com%2Fwos%2Fwoscc%2Ffull-record%2FWOS:000321595200004","View Full Record in Web of Science")</f>
        <v>View Full Record in Web of Science</v>
      </c>
    </row>
    <row r="182" spans="1:72" x14ac:dyDescent="0.15">
      <c r="A182" t="s">
        <v>72</v>
      </c>
      <c r="B182" t="s">
        <v>3636</v>
      </c>
      <c r="C182" t="s">
        <v>74</v>
      </c>
      <c r="D182" t="s">
        <v>74</v>
      </c>
      <c r="E182" t="s">
        <v>74</v>
      </c>
      <c r="F182" t="s">
        <v>3637</v>
      </c>
      <c r="G182" t="s">
        <v>74</v>
      </c>
      <c r="H182" t="s">
        <v>74</v>
      </c>
      <c r="I182" t="s">
        <v>3638</v>
      </c>
      <c r="J182" t="s">
        <v>3639</v>
      </c>
      <c r="K182" t="s">
        <v>74</v>
      </c>
      <c r="L182" t="s">
        <v>74</v>
      </c>
      <c r="M182" t="s">
        <v>78</v>
      </c>
      <c r="N182" t="s">
        <v>79</v>
      </c>
      <c r="O182" t="s">
        <v>74</v>
      </c>
      <c r="P182" t="s">
        <v>74</v>
      </c>
      <c r="Q182" t="s">
        <v>74</v>
      </c>
      <c r="R182" t="s">
        <v>74</v>
      </c>
      <c r="S182" t="s">
        <v>74</v>
      </c>
      <c r="T182" t="s">
        <v>74</v>
      </c>
      <c r="U182" t="s">
        <v>3640</v>
      </c>
      <c r="V182" t="s">
        <v>3641</v>
      </c>
      <c r="W182" t="s">
        <v>3642</v>
      </c>
      <c r="X182" t="s">
        <v>3643</v>
      </c>
      <c r="Y182" t="s">
        <v>3644</v>
      </c>
      <c r="Z182" t="s">
        <v>3645</v>
      </c>
      <c r="AA182" t="s">
        <v>3646</v>
      </c>
      <c r="AB182" t="s">
        <v>3647</v>
      </c>
      <c r="AC182" t="s">
        <v>3648</v>
      </c>
      <c r="AD182" t="s">
        <v>3648</v>
      </c>
      <c r="AE182" t="s">
        <v>3649</v>
      </c>
      <c r="AF182" t="s">
        <v>74</v>
      </c>
      <c r="AG182">
        <v>68</v>
      </c>
      <c r="AH182">
        <v>13</v>
      </c>
      <c r="AI182">
        <v>13</v>
      </c>
      <c r="AJ182">
        <v>0</v>
      </c>
      <c r="AK182">
        <v>37</v>
      </c>
      <c r="AL182" t="s">
        <v>368</v>
      </c>
      <c r="AM182" t="s">
        <v>369</v>
      </c>
      <c r="AN182" t="s">
        <v>370</v>
      </c>
      <c r="AO182" t="s">
        <v>3650</v>
      </c>
      <c r="AP182" t="s">
        <v>3651</v>
      </c>
      <c r="AQ182" t="s">
        <v>74</v>
      </c>
      <c r="AR182" t="s">
        <v>3639</v>
      </c>
      <c r="AS182" t="s">
        <v>3652</v>
      </c>
      <c r="AT182" t="s">
        <v>2831</v>
      </c>
      <c r="AU182">
        <v>2013</v>
      </c>
      <c r="AV182">
        <v>42</v>
      </c>
      <c r="AW182">
        <v>3</v>
      </c>
      <c r="AX182" t="s">
        <v>74</v>
      </c>
      <c r="AY182" t="s">
        <v>74</v>
      </c>
      <c r="AZ182" t="s">
        <v>74</v>
      </c>
      <c r="BA182" t="s">
        <v>74</v>
      </c>
      <c r="BB182">
        <v>762</v>
      </c>
      <c r="BC182">
        <v>778</v>
      </c>
      <c r="BD182" t="s">
        <v>74</v>
      </c>
      <c r="BE182" t="s">
        <v>3653</v>
      </c>
      <c r="BF182" t="str">
        <f>HYPERLINK("http://dx.doi.org/10.1111/j.1502-3885.2012.00304.x","http://dx.doi.org/10.1111/j.1502-3885.2012.00304.x")</f>
        <v>http://dx.doi.org/10.1111/j.1502-3885.2012.00304.x</v>
      </c>
      <c r="BG182" t="s">
        <v>74</v>
      </c>
      <c r="BH182" t="s">
        <v>74</v>
      </c>
      <c r="BI182">
        <v>17</v>
      </c>
      <c r="BJ182" t="s">
        <v>650</v>
      </c>
      <c r="BK182" t="s">
        <v>102</v>
      </c>
      <c r="BL182" t="s">
        <v>651</v>
      </c>
      <c r="BM182" t="s">
        <v>3654</v>
      </c>
      <c r="BN182" t="s">
        <v>74</v>
      </c>
      <c r="BO182" t="s">
        <v>74</v>
      </c>
      <c r="BP182" t="s">
        <v>74</v>
      </c>
      <c r="BQ182" t="s">
        <v>74</v>
      </c>
      <c r="BR182" t="s">
        <v>105</v>
      </c>
      <c r="BS182" t="s">
        <v>3655</v>
      </c>
      <c r="BT182" t="str">
        <f>HYPERLINK("https%3A%2F%2Fwww.webofscience.com%2Fwos%2Fwoscc%2Ffull-record%2FWOS:000320782800019","View Full Record in Web of Science")</f>
        <v>View Full Record in Web of Science</v>
      </c>
    </row>
    <row r="183" spans="1:72" x14ac:dyDescent="0.15">
      <c r="A183" t="s">
        <v>72</v>
      </c>
      <c r="B183" t="s">
        <v>3656</v>
      </c>
      <c r="C183" t="s">
        <v>74</v>
      </c>
      <c r="D183" t="s">
        <v>74</v>
      </c>
      <c r="E183" t="s">
        <v>74</v>
      </c>
      <c r="F183" t="s">
        <v>3657</v>
      </c>
      <c r="G183" t="s">
        <v>74</v>
      </c>
      <c r="H183" t="s">
        <v>74</v>
      </c>
      <c r="I183" t="s">
        <v>3658</v>
      </c>
      <c r="J183" t="s">
        <v>1257</v>
      </c>
      <c r="K183" t="s">
        <v>74</v>
      </c>
      <c r="L183" t="s">
        <v>74</v>
      </c>
      <c r="M183" t="s">
        <v>78</v>
      </c>
      <c r="N183" t="s">
        <v>79</v>
      </c>
      <c r="O183" t="s">
        <v>74</v>
      </c>
      <c r="P183" t="s">
        <v>74</v>
      </c>
      <c r="Q183" t="s">
        <v>74</v>
      </c>
      <c r="R183" t="s">
        <v>74</v>
      </c>
      <c r="S183" t="s">
        <v>74</v>
      </c>
      <c r="T183" t="s">
        <v>3659</v>
      </c>
      <c r="U183" t="s">
        <v>3660</v>
      </c>
      <c r="V183" t="s">
        <v>3661</v>
      </c>
      <c r="W183" t="s">
        <v>3662</v>
      </c>
      <c r="X183" t="s">
        <v>2692</v>
      </c>
      <c r="Y183" t="s">
        <v>3663</v>
      </c>
      <c r="Z183" t="s">
        <v>3664</v>
      </c>
      <c r="AA183" t="s">
        <v>3665</v>
      </c>
      <c r="AB183" t="s">
        <v>3666</v>
      </c>
      <c r="AC183" t="s">
        <v>74</v>
      </c>
      <c r="AD183" t="s">
        <v>74</v>
      </c>
      <c r="AE183" t="s">
        <v>74</v>
      </c>
      <c r="AF183" t="s">
        <v>74</v>
      </c>
      <c r="AG183">
        <v>39</v>
      </c>
      <c r="AH183">
        <v>58</v>
      </c>
      <c r="AI183">
        <v>62</v>
      </c>
      <c r="AJ183">
        <v>0</v>
      </c>
      <c r="AK183">
        <v>40</v>
      </c>
      <c r="AL183" t="s">
        <v>506</v>
      </c>
      <c r="AM183" t="s">
        <v>442</v>
      </c>
      <c r="AN183" t="s">
        <v>507</v>
      </c>
      <c r="AO183" t="s">
        <v>1269</v>
      </c>
      <c r="AP183" t="s">
        <v>1270</v>
      </c>
      <c r="AQ183" t="s">
        <v>74</v>
      </c>
      <c r="AR183" t="s">
        <v>1271</v>
      </c>
      <c r="AS183" t="s">
        <v>1272</v>
      </c>
      <c r="AT183" t="s">
        <v>2831</v>
      </c>
      <c r="AU183">
        <v>2013</v>
      </c>
      <c r="AV183">
        <v>77</v>
      </c>
      <c r="AW183" t="s">
        <v>74</v>
      </c>
      <c r="AX183" t="s">
        <v>74</v>
      </c>
      <c r="AY183" t="s">
        <v>74</v>
      </c>
      <c r="AZ183" t="s">
        <v>74</v>
      </c>
      <c r="BA183" t="s">
        <v>74</v>
      </c>
      <c r="BB183">
        <v>50</v>
      </c>
      <c r="BC183">
        <v>62</v>
      </c>
      <c r="BD183" t="s">
        <v>74</v>
      </c>
      <c r="BE183" t="s">
        <v>3667</v>
      </c>
      <c r="BF183" t="str">
        <f>HYPERLINK("http://dx.doi.org/10.1016/j.dsr.2013.04.001","http://dx.doi.org/10.1016/j.dsr.2013.04.001")</f>
        <v>http://dx.doi.org/10.1016/j.dsr.2013.04.001</v>
      </c>
      <c r="BG183" t="s">
        <v>74</v>
      </c>
      <c r="BH183" t="s">
        <v>74</v>
      </c>
      <c r="BI183">
        <v>13</v>
      </c>
      <c r="BJ183" t="s">
        <v>327</v>
      </c>
      <c r="BK183" t="s">
        <v>102</v>
      </c>
      <c r="BL183" t="s">
        <v>327</v>
      </c>
      <c r="BM183" t="s">
        <v>3668</v>
      </c>
      <c r="BN183" t="s">
        <v>74</v>
      </c>
      <c r="BO183" t="s">
        <v>74</v>
      </c>
      <c r="BP183" t="s">
        <v>74</v>
      </c>
      <c r="BQ183" t="s">
        <v>74</v>
      </c>
      <c r="BR183" t="s">
        <v>105</v>
      </c>
      <c r="BS183" t="s">
        <v>3669</v>
      </c>
      <c r="BT183" t="str">
        <f>HYPERLINK("https%3A%2F%2Fwww.webofscience.com%2Fwos%2Fwoscc%2Ffull-record%2FWOS:000320494100005","View Full Record in Web of Science")</f>
        <v>View Full Record in Web of Science</v>
      </c>
    </row>
    <row r="184" spans="1:72" x14ac:dyDescent="0.15">
      <c r="A184" t="s">
        <v>72</v>
      </c>
      <c r="B184" t="s">
        <v>3670</v>
      </c>
      <c r="C184" t="s">
        <v>74</v>
      </c>
      <c r="D184" t="s">
        <v>74</v>
      </c>
      <c r="E184" t="s">
        <v>74</v>
      </c>
      <c r="F184" t="s">
        <v>3671</v>
      </c>
      <c r="G184" t="s">
        <v>74</v>
      </c>
      <c r="H184" t="s">
        <v>74</v>
      </c>
      <c r="I184" t="s">
        <v>3672</v>
      </c>
      <c r="J184" t="s">
        <v>3673</v>
      </c>
      <c r="K184" t="s">
        <v>74</v>
      </c>
      <c r="L184" t="s">
        <v>74</v>
      </c>
      <c r="M184" t="s">
        <v>78</v>
      </c>
      <c r="N184" t="s">
        <v>79</v>
      </c>
      <c r="O184" t="s">
        <v>74</v>
      </c>
      <c r="P184" t="s">
        <v>74</v>
      </c>
      <c r="Q184" t="s">
        <v>74</v>
      </c>
      <c r="R184" t="s">
        <v>74</v>
      </c>
      <c r="S184" t="s">
        <v>74</v>
      </c>
      <c r="T184" t="s">
        <v>3674</v>
      </c>
      <c r="U184" t="s">
        <v>3675</v>
      </c>
      <c r="V184" t="s">
        <v>3676</v>
      </c>
      <c r="W184" t="s">
        <v>3677</v>
      </c>
      <c r="X184" t="s">
        <v>3678</v>
      </c>
      <c r="Y184" t="s">
        <v>3679</v>
      </c>
      <c r="Z184" t="s">
        <v>3680</v>
      </c>
      <c r="AA184" t="s">
        <v>3681</v>
      </c>
      <c r="AB184" t="s">
        <v>3682</v>
      </c>
      <c r="AC184" t="s">
        <v>3683</v>
      </c>
      <c r="AD184" t="s">
        <v>3684</v>
      </c>
      <c r="AE184" t="s">
        <v>3685</v>
      </c>
      <c r="AF184" t="s">
        <v>74</v>
      </c>
      <c r="AG184">
        <v>54</v>
      </c>
      <c r="AH184">
        <v>26</v>
      </c>
      <c r="AI184">
        <v>26</v>
      </c>
      <c r="AJ184">
        <v>7</v>
      </c>
      <c r="AK184">
        <v>37</v>
      </c>
      <c r="AL184" t="s">
        <v>3686</v>
      </c>
      <c r="AM184" t="s">
        <v>3687</v>
      </c>
      <c r="AN184" t="s">
        <v>3688</v>
      </c>
      <c r="AO184" t="s">
        <v>3689</v>
      </c>
      <c r="AP184" t="s">
        <v>3690</v>
      </c>
      <c r="AQ184" t="s">
        <v>74</v>
      </c>
      <c r="AR184" t="s">
        <v>3691</v>
      </c>
      <c r="AS184" t="s">
        <v>3692</v>
      </c>
      <c r="AT184" t="s">
        <v>2831</v>
      </c>
      <c r="AU184">
        <v>2013</v>
      </c>
      <c r="AV184">
        <v>51</v>
      </c>
      <c r="AW184">
        <v>7</v>
      </c>
      <c r="AX184">
        <v>1</v>
      </c>
      <c r="AY184" t="s">
        <v>74</v>
      </c>
      <c r="AZ184" t="s">
        <v>74</v>
      </c>
      <c r="BA184" t="s">
        <v>74</v>
      </c>
      <c r="BB184">
        <v>3922</v>
      </c>
      <c r="BC184">
        <v>3930</v>
      </c>
      <c r="BD184" t="s">
        <v>74</v>
      </c>
      <c r="BE184" t="s">
        <v>3693</v>
      </c>
      <c r="BF184" t="str">
        <f>HYPERLINK("http://dx.doi.org/10.1109/TGRS.2012.2228660","http://dx.doi.org/10.1109/TGRS.2012.2228660")</f>
        <v>http://dx.doi.org/10.1109/TGRS.2012.2228660</v>
      </c>
      <c r="BG184" t="s">
        <v>74</v>
      </c>
      <c r="BH184" t="s">
        <v>74</v>
      </c>
      <c r="BI184">
        <v>9</v>
      </c>
      <c r="BJ184" t="s">
        <v>3694</v>
      </c>
      <c r="BK184" t="s">
        <v>102</v>
      </c>
      <c r="BL184" t="s">
        <v>3695</v>
      </c>
      <c r="BM184" t="s">
        <v>3696</v>
      </c>
      <c r="BN184" t="s">
        <v>74</v>
      </c>
      <c r="BO184" t="s">
        <v>426</v>
      </c>
      <c r="BP184" t="s">
        <v>74</v>
      </c>
      <c r="BQ184" t="s">
        <v>74</v>
      </c>
      <c r="BR184" t="s">
        <v>105</v>
      </c>
      <c r="BS184" t="s">
        <v>3697</v>
      </c>
      <c r="BT184" t="str">
        <f>HYPERLINK("https%3A%2F%2Fwww.webofscience.com%2Fwos%2Fwoscc%2Ffull-record%2FWOS:000320942600011","View Full Record in Web of Science")</f>
        <v>View Full Record in Web of Science</v>
      </c>
    </row>
    <row r="185" spans="1:72" x14ac:dyDescent="0.15">
      <c r="A185" t="s">
        <v>72</v>
      </c>
      <c r="B185" t="s">
        <v>3698</v>
      </c>
      <c r="C185" t="s">
        <v>74</v>
      </c>
      <c r="D185" t="s">
        <v>74</v>
      </c>
      <c r="E185" t="s">
        <v>74</v>
      </c>
      <c r="F185" t="s">
        <v>3699</v>
      </c>
      <c r="G185" t="s">
        <v>74</v>
      </c>
      <c r="H185" t="s">
        <v>74</v>
      </c>
      <c r="I185" t="s">
        <v>3700</v>
      </c>
      <c r="J185" t="s">
        <v>142</v>
      </c>
      <c r="K185" t="s">
        <v>74</v>
      </c>
      <c r="L185" t="s">
        <v>74</v>
      </c>
      <c r="M185" t="s">
        <v>78</v>
      </c>
      <c r="N185" t="s">
        <v>79</v>
      </c>
      <c r="O185" t="s">
        <v>74</v>
      </c>
      <c r="P185" t="s">
        <v>74</v>
      </c>
      <c r="Q185" t="s">
        <v>74</v>
      </c>
      <c r="R185" t="s">
        <v>74</v>
      </c>
      <c r="S185" t="s">
        <v>74</v>
      </c>
      <c r="T185" t="s">
        <v>3701</v>
      </c>
      <c r="U185" t="s">
        <v>3702</v>
      </c>
      <c r="V185" t="s">
        <v>3703</v>
      </c>
      <c r="W185" t="s">
        <v>74</v>
      </c>
      <c r="X185" t="s">
        <v>74</v>
      </c>
      <c r="Y185" t="s">
        <v>3704</v>
      </c>
      <c r="Z185" t="s">
        <v>3705</v>
      </c>
      <c r="AA185" t="s">
        <v>74</v>
      </c>
      <c r="AB185" t="s">
        <v>74</v>
      </c>
      <c r="AC185" t="s">
        <v>74</v>
      </c>
      <c r="AD185" t="s">
        <v>74</v>
      </c>
      <c r="AE185" t="s">
        <v>74</v>
      </c>
      <c r="AF185" t="s">
        <v>74</v>
      </c>
      <c r="AG185">
        <v>62</v>
      </c>
      <c r="AH185">
        <v>12</v>
      </c>
      <c r="AI185">
        <v>12</v>
      </c>
      <c r="AJ185">
        <v>0</v>
      </c>
      <c r="AK185">
        <v>25</v>
      </c>
      <c r="AL185" t="s">
        <v>195</v>
      </c>
      <c r="AM185" t="s">
        <v>155</v>
      </c>
      <c r="AN185" t="s">
        <v>196</v>
      </c>
      <c r="AO185" t="s">
        <v>157</v>
      </c>
      <c r="AP185" t="s">
        <v>158</v>
      </c>
      <c r="AQ185" t="s">
        <v>74</v>
      </c>
      <c r="AR185" t="s">
        <v>159</v>
      </c>
      <c r="AS185" t="s">
        <v>160</v>
      </c>
      <c r="AT185" t="s">
        <v>2831</v>
      </c>
      <c r="AU185">
        <v>2013</v>
      </c>
      <c r="AV185">
        <v>445</v>
      </c>
      <c r="AW185" t="s">
        <v>74</v>
      </c>
      <c r="AX185" t="s">
        <v>74</v>
      </c>
      <c r="AY185" t="s">
        <v>74</v>
      </c>
      <c r="AZ185" t="s">
        <v>74</v>
      </c>
      <c r="BA185" t="s">
        <v>74</v>
      </c>
      <c r="BB185">
        <v>79</v>
      </c>
      <c r="BC185">
        <v>87</v>
      </c>
      <c r="BD185" t="s">
        <v>74</v>
      </c>
      <c r="BE185" t="s">
        <v>3706</v>
      </c>
      <c r="BF185" t="str">
        <f>HYPERLINK("http://dx.doi.org/10.1016/j.jembe.2013.04.001","http://dx.doi.org/10.1016/j.jembe.2013.04.001")</f>
        <v>http://dx.doi.org/10.1016/j.jembe.2013.04.001</v>
      </c>
      <c r="BG185" t="s">
        <v>74</v>
      </c>
      <c r="BH185" t="s">
        <v>74</v>
      </c>
      <c r="BI185">
        <v>9</v>
      </c>
      <c r="BJ185" t="s">
        <v>162</v>
      </c>
      <c r="BK185" t="s">
        <v>102</v>
      </c>
      <c r="BL185" t="s">
        <v>163</v>
      </c>
      <c r="BM185" t="s">
        <v>3707</v>
      </c>
      <c r="BN185" t="s">
        <v>74</v>
      </c>
      <c r="BO185" t="s">
        <v>1014</v>
      </c>
      <c r="BP185" t="s">
        <v>74</v>
      </c>
      <c r="BQ185" t="s">
        <v>74</v>
      </c>
      <c r="BR185" t="s">
        <v>105</v>
      </c>
      <c r="BS185" t="s">
        <v>3708</v>
      </c>
      <c r="BT185" t="str">
        <f>HYPERLINK("https%3A%2F%2Fwww.webofscience.com%2Fwos%2Fwoscc%2Ffull-record%2FWOS:000320895500010","View Full Record in Web of Science")</f>
        <v>View Full Record in Web of Science</v>
      </c>
    </row>
    <row r="186" spans="1:72" x14ac:dyDescent="0.15">
      <c r="A186" t="s">
        <v>72</v>
      </c>
      <c r="B186" t="s">
        <v>3709</v>
      </c>
      <c r="C186" t="s">
        <v>74</v>
      </c>
      <c r="D186" t="s">
        <v>74</v>
      </c>
      <c r="E186" t="s">
        <v>74</v>
      </c>
      <c r="F186" t="s">
        <v>3710</v>
      </c>
      <c r="G186" t="s">
        <v>74</v>
      </c>
      <c r="H186" t="s">
        <v>74</v>
      </c>
      <c r="I186" t="s">
        <v>3711</v>
      </c>
      <c r="J186" t="s">
        <v>3712</v>
      </c>
      <c r="K186" t="s">
        <v>74</v>
      </c>
      <c r="L186" t="s">
        <v>74</v>
      </c>
      <c r="M186" t="s">
        <v>78</v>
      </c>
      <c r="N186" t="s">
        <v>79</v>
      </c>
      <c r="O186" t="s">
        <v>74</v>
      </c>
      <c r="P186" t="s">
        <v>74</v>
      </c>
      <c r="Q186" t="s">
        <v>74</v>
      </c>
      <c r="R186" t="s">
        <v>74</v>
      </c>
      <c r="S186" t="s">
        <v>74</v>
      </c>
      <c r="T186" t="s">
        <v>74</v>
      </c>
      <c r="U186" t="s">
        <v>3713</v>
      </c>
      <c r="V186" t="s">
        <v>3714</v>
      </c>
      <c r="W186" t="s">
        <v>3715</v>
      </c>
      <c r="X186" t="s">
        <v>3716</v>
      </c>
      <c r="Y186" t="s">
        <v>3717</v>
      </c>
      <c r="Z186" t="s">
        <v>3718</v>
      </c>
      <c r="AA186" t="s">
        <v>3719</v>
      </c>
      <c r="AB186" t="s">
        <v>3720</v>
      </c>
      <c r="AC186" t="s">
        <v>3721</v>
      </c>
      <c r="AD186" t="s">
        <v>3722</v>
      </c>
      <c r="AE186" t="s">
        <v>3723</v>
      </c>
      <c r="AF186" t="s">
        <v>74</v>
      </c>
      <c r="AG186">
        <v>92</v>
      </c>
      <c r="AH186">
        <v>7</v>
      </c>
      <c r="AI186">
        <v>7</v>
      </c>
      <c r="AJ186">
        <v>0</v>
      </c>
      <c r="AK186">
        <v>27</v>
      </c>
      <c r="AL186" t="s">
        <v>3724</v>
      </c>
      <c r="AM186" t="s">
        <v>3725</v>
      </c>
      <c r="AN186" t="s">
        <v>3726</v>
      </c>
      <c r="AO186" t="s">
        <v>3727</v>
      </c>
      <c r="AP186" t="s">
        <v>3728</v>
      </c>
      <c r="AQ186" t="s">
        <v>74</v>
      </c>
      <c r="AR186" t="s">
        <v>3729</v>
      </c>
      <c r="AS186" t="s">
        <v>3730</v>
      </c>
      <c r="AT186" t="s">
        <v>2831</v>
      </c>
      <c r="AU186">
        <v>2013</v>
      </c>
      <c r="AV186">
        <v>160</v>
      </c>
      <c r="AW186">
        <v>7</v>
      </c>
      <c r="AX186" t="s">
        <v>74</v>
      </c>
      <c r="AY186" t="s">
        <v>74</v>
      </c>
      <c r="AZ186" t="s">
        <v>74</v>
      </c>
      <c r="BA186" t="s">
        <v>74</v>
      </c>
      <c r="BB186">
        <v>1661</v>
      </c>
      <c r="BC186">
        <v>1679</v>
      </c>
      <c r="BD186" t="s">
        <v>74</v>
      </c>
      <c r="BE186" t="s">
        <v>3731</v>
      </c>
      <c r="BF186" t="str">
        <f>HYPERLINK("http://dx.doi.org/10.1007/s00227-013-2218-4","http://dx.doi.org/10.1007/s00227-013-2218-4")</f>
        <v>http://dx.doi.org/10.1007/s00227-013-2218-4</v>
      </c>
      <c r="BG186" t="s">
        <v>74</v>
      </c>
      <c r="BH186" t="s">
        <v>74</v>
      </c>
      <c r="BI186">
        <v>19</v>
      </c>
      <c r="BJ186" t="s">
        <v>1809</v>
      </c>
      <c r="BK186" t="s">
        <v>102</v>
      </c>
      <c r="BL186" t="s">
        <v>1809</v>
      </c>
      <c r="BM186" t="s">
        <v>3732</v>
      </c>
      <c r="BN186" t="s">
        <v>74</v>
      </c>
      <c r="BO186" t="s">
        <v>74</v>
      </c>
      <c r="BP186" t="s">
        <v>74</v>
      </c>
      <c r="BQ186" t="s">
        <v>74</v>
      </c>
      <c r="BR186" t="s">
        <v>105</v>
      </c>
      <c r="BS186" t="s">
        <v>3733</v>
      </c>
      <c r="BT186" t="str">
        <f>HYPERLINK("https%3A%2F%2Fwww.webofscience.com%2Fwos%2Fwoscc%2Ffull-record%2FWOS:000320791000012","View Full Record in Web of Science")</f>
        <v>View Full Record in Web of Science</v>
      </c>
    </row>
    <row r="187" spans="1:72" x14ac:dyDescent="0.15">
      <c r="A187" t="s">
        <v>72</v>
      </c>
      <c r="B187" t="s">
        <v>3734</v>
      </c>
      <c r="C187" t="s">
        <v>74</v>
      </c>
      <c r="D187" t="s">
        <v>74</v>
      </c>
      <c r="E187" t="s">
        <v>74</v>
      </c>
      <c r="F187" t="s">
        <v>3735</v>
      </c>
      <c r="G187" t="s">
        <v>74</v>
      </c>
      <c r="H187" t="s">
        <v>74</v>
      </c>
      <c r="I187" t="s">
        <v>3736</v>
      </c>
      <c r="J187" t="s">
        <v>1838</v>
      </c>
      <c r="K187" t="s">
        <v>74</v>
      </c>
      <c r="L187" t="s">
        <v>74</v>
      </c>
      <c r="M187" t="s">
        <v>78</v>
      </c>
      <c r="N187" t="s">
        <v>79</v>
      </c>
      <c r="O187" t="s">
        <v>74</v>
      </c>
      <c r="P187" t="s">
        <v>74</v>
      </c>
      <c r="Q187" t="s">
        <v>74</v>
      </c>
      <c r="R187" t="s">
        <v>74</v>
      </c>
      <c r="S187" t="s">
        <v>74</v>
      </c>
      <c r="T187" t="s">
        <v>74</v>
      </c>
      <c r="U187" t="s">
        <v>3737</v>
      </c>
      <c r="V187" t="s">
        <v>3738</v>
      </c>
      <c r="W187" t="s">
        <v>3739</v>
      </c>
      <c r="X187" t="s">
        <v>3740</v>
      </c>
      <c r="Y187" t="s">
        <v>3741</v>
      </c>
      <c r="Z187" t="s">
        <v>3742</v>
      </c>
      <c r="AA187" t="s">
        <v>74</v>
      </c>
      <c r="AB187" t="s">
        <v>3743</v>
      </c>
      <c r="AC187" t="s">
        <v>3744</v>
      </c>
      <c r="AD187" t="s">
        <v>3745</v>
      </c>
      <c r="AE187" t="s">
        <v>3746</v>
      </c>
      <c r="AF187" t="s">
        <v>74</v>
      </c>
      <c r="AG187">
        <v>30</v>
      </c>
      <c r="AH187">
        <v>122</v>
      </c>
      <c r="AI187">
        <v>135</v>
      </c>
      <c r="AJ187">
        <v>0</v>
      </c>
      <c r="AK187">
        <v>40</v>
      </c>
      <c r="AL187" t="s">
        <v>670</v>
      </c>
      <c r="AM187" t="s">
        <v>391</v>
      </c>
      <c r="AN187" t="s">
        <v>3747</v>
      </c>
      <c r="AO187" t="s">
        <v>1853</v>
      </c>
      <c r="AP187" t="s">
        <v>1854</v>
      </c>
      <c r="AQ187" t="s">
        <v>74</v>
      </c>
      <c r="AR187" t="s">
        <v>1855</v>
      </c>
      <c r="AS187" t="s">
        <v>1856</v>
      </c>
      <c r="AT187" t="s">
        <v>2831</v>
      </c>
      <c r="AU187">
        <v>2013</v>
      </c>
      <c r="AV187">
        <v>6</v>
      </c>
      <c r="AW187">
        <v>7</v>
      </c>
      <c r="AX187" t="s">
        <v>74</v>
      </c>
      <c r="AY187" t="s">
        <v>74</v>
      </c>
      <c r="AZ187" t="s">
        <v>74</v>
      </c>
      <c r="BA187" t="s">
        <v>74</v>
      </c>
      <c r="BB187">
        <v>553</v>
      </c>
      <c r="BC187">
        <v>557</v>
      </c>
      <c r="BD187" t="s">
        <v>74</v>
      </c>
      <c r="BE187" t="s">
        <v>3748</v>
      </c>
      <c r="BF187" t="str">
        <f>HYPERLINK("http://dx.doi.org/10.1038/NGEO1859","http://dx.doi.org/10.1038/NGEO1859")</f>
        <v>http://dx.doi.org/10.1038/NGEO1859</v>
      </c>
      <c r="BG187" t="s">
        <v>74</v>
      </c>
      <c r="BH187" t="s">
        <v>74</v>
      </c>
      <c r="BI187">
        <v>5</v>
      </c>
      <c r="BJ187" t="s">
        <v>1426</v>
      </c>
      <c r="BK187" t="s">
        <v>102</v>
      </c>
      <c r="BL187" t="s">
        <v>219</v>
      </c>
      <c r="BM187" t="s">
        <v>3749</v>
      </c>
      <c r="BN187" t="s">
        <v>74</v>
      </c>
      <c r="BO187" t="s">
        <v>74</v>
      </c>
      <c r="BP187" t="s">
        <v>74</v>
      </c>
      <c r="BQ187" t="s">
        <v>74</v>
      </c>
      <c r="BR187" t="s">
        <v>105</v>
      </c>
      <c r="BS187" t="s">
        <v>3750</v>
      </c>
      <c r="BT187" t="str">
        <f>HYPERLINK("https%3A%2F%2Fwww.webofscience.com%2Fwos%2Fwoscc%2Ffull-record%2FWOS:000321002700018","View Full Record in Web of Science")</f>
        <v>View Full Record in Web of Science</v>
      </c>
    </row>
    <row r="188" spans="1:72" x14ac:dyDescent="0.15">
      <c r="A188" t="s">
        <v>72</v>
      </c>
      <c r="B188" t="s">
        <v>3751</v>
      </c>
      <c r="C188" t="s">
        <v>74</v>
      </c>
      <c r="D188" t="s">
        <v>74</v>
      </c>
      <c r="E188" t="s">
        <v>74</v>
      </c>
      <c r="F188" t="s">
        <v>3752</v>
      </c>
      <c r="G188" t="s">
        <v>74</v>
      </c>
      <c r="H188" t="s">
        <v>74</v>
      </c>
      <c r="I188" t="s">
        <v>3753</v>
      </c>
      <c r="J188" t="s">
        <v>3754</v>
      </c>
      <c r="K188" t="s">
        <v>74</v>
      </c>
      <c r="L188" t="s">
        <v>74</v>
      </c>
      <c r="M188" t="s">
        <v>78</v>
      </c>
      <c r="N188" t="s">
        <v>79</v>
      </c>
      <c r="O188" t="s">
        <v>74</v>
      </c>
      <c r="P188" t="s">
        <v>74</v>
      </c>
      <c r="Q188" t="s">
        <v>74</v>
      </c>
      <c r="R188" t="s">
        <v>74</v>
      </c>
      <c r="S188" t="s">
        <v>74</v>
      </c>
      <c r="T188" t="s">
        <v>3755</v>
      </c>
      <c r="U188" t="s">
        <v>3756</v>
      </c>
      <c r="V188" t="s">
        <v>3757</v>
      </c>
      <c r="W188" t="s">
        <v>3758</v>
      </c>
      <c r="X188" t="s">
        <v>3759</v>
      </c>
      <c r="Y188" t="s">
        <v>3760</v>
      </c>
      <c r="Z188" t="s">
        <v>3761</v>
      </c>
      <c r="AA188" t="s">
        <v>3762</v>
      </c>
      <c r="AB188" t="s">
        <v>3763</v>
      </c>
      <c r="AC188" t="s">
        <v>74</v>
      </c>
      <c r="AD188" t="s">
        <v>74</v>
      </c>
      <c r="AE188" t="s">
        <v>74</v>
      </c>
      <c r="AF188" t="s">
        <v>74</v>
      </c>
      <c r="AG188">
        <v>20</v>
      </c>
      <c r="AH188">
        <v>5</v>
      </c>
      <c r="AI188">
        <v>5</v>
      </c>
      <c r="AJ188">
        <v>0</v>
      </c>
      <c r="AK188">
        <v>10</v>
      </c>
      <c r="AL188" t="s">
        <v>3764</v>
      </c>
      <c r="AM188" t="s">
        <v>213</v>
      </c>
      <c r="AN188" t="s">
        <v>3765</v>
      </c>
      <c r="AO188" t="s">
        <v>3766</v>
      </c>
      <c r="AP188" t="s">
        <v>3767</v>
      </c>
      <c r="AQ188" t="s">
        <v>74</v>
      </c>
      <c r="AR188" t="s">
        <v>3768</v>
      </c>
      <c r="AS188" t="s">
        <v>3769</v>
      </c>
      <c r="AT188" t="s">
        <v>2831</v>
      </c>
      <c r="AU188">
        <v>2013</v>
      </c>
      <c r="AV188">
        <v>13</v>
      </c>
      <c r="AW188">
        <v>7</v>
      </c>
      <c r="AX188" t="s">
        <v>74</v>
      </c>
      <c r="AY188" t="s">
        <v>74</v>
      </c>
      <c r="AZ188" t="s">
        <v>74</v>
      </c>
      <c r="BA188" t="s">
        <v>74</v>
      </c>
      <c r="BB188">
        <v>875</v>
      </c>
      <c r="BC188">
        <v>884</v>
      </c>
      <c r="BD188" t="s">
        <v>74</v>
      </c>
      <c r="BE188" t="s">
        <v>3770</v>
      </c>
      <c r="BF188" t="str">
        <f>HYPERLINK("http://dx.doi.org/10.1088/1674-4527/13/7/011","http://dx.doi.org/10.1088/1674-4527/13/7/011")</f>
        <v>http://dx.doi.org/10.1088/1674-4527/13/7/011</v>
      </c>
      <c r="BG188" t="s">
        <v>74</v>
      </c>
      <c r="BH188" t="s">
        <v>74</v>
      </c>
      <c r="BI188">
        <v>10</v>
      </c>
      <c r="BJ188" t="s">
        <v>101</v>
      </c>
      <c r="BK188" t="s">
        <v>102</v>
      </c>
      <c r="BL188" t="s">
        <v>101</v>
      </c>
      <c r="BM188" t="s">
        <v>3771</v>
      </c>
      <c r="BN188" t="s">
        <v>74</v>
      </c>
      <c r="BO188" t="s">
        <v>104</v>
      </c>
      <c r="BP188" t="s">
        <v>74</v>
      </c>
      <c r="BQ188" t="s">
        <v>74</v>
      </c>
      <c r="BR188" t="s">
        <v>105</v>
      </c>
      <c r="BS188" t="s">
        <v>3772</v>
      </c>
      <c r="BT188" t="str">
        <f>HYPERLINK("https%3A%2F%2Fwww.webofscience.com%2Fwos%2Fwoscc%2Ffull-record%2FWOS:000320859600011","View Full Record in Web of Science")</f>
        <v>View Full Record in Web of Science</v>
      </c>
    </row>
    <row r="189" spans="1:72" x14ac:dyDescent="0.15">
      <c r="A189" t="s">
        <v>72</v>
      </c>
      <c r="B189" t="s">
        <v>3773</v>
      </c>
      <c r="C189" t="s">
        <v>74</v>
      </c>
      <c r="D189" t="s">
        <v>74</v>
      </c>
      <c r="E189" t="s">
        <v>74</v>
      </c>
      <c r="F189" t="s">
        <v>3774</v>
      </c>
      <c r="G189" t="s">
        <v>74</v>
      </c>
      <c r="H189" t="s">
        <v>74</v>
      </c>
      <c r="I189" t="s">
        <v>3775</v>
      </c>
      <c r="J189" t="s">
        <v>3776</v>
      </c>
      <c r="K189" t="s">
        <v>74</v>
      </c>
      <c r="L189" t="s">
        <v>74</v>
      </c>
      <c r="M189" t="s">
        <v>78</v>
      </c>
      <c r="N189" t="s">
        <v>79</v>
      </c>
      <c r="O189" t="s">
        <v>74</v>
      </c>
      <c r="P189" t="s">
        <v>74</v>
      </c>
      <c r="Q189" t="s">
        <v>74</v>
      </c>
      <c r="R189" t="s">
        <v>74</v>
      </c>
      <c r="S189" t="s">
        <v>74</v>
      </c>
      <c r="T189" t="s">
        <v>3777</v>
      </c>
      <c r="U189" t="s">
        <v>3778</v>
      </c>
      <c r="V189" t="s">
        <v>3779</v>
      </c>
      <c r="W189" t="s">
        <v>3780</v>
      </c>
      <c r="X189" t="s">
        <v>3781</v>
      </c>
      <c r="Y189" t="s">
        <v>3782</v>
      </c>
      <c r="Z189" t="s">
        <v>3783</v>
      </c>
      <c r="AA189" t="s">
        <v>3784</v>
      </c>
      <c r="AB189" t="s">
        <v>3785</v>
      </c>
      <c r="AC189" t="s">
        <v>3786</v>
      </c>
      <c r="AD189" t="s">
        <v>3787</v>
      </c>
      <c r="AE189" t="s">
        <v>3788</v>
      </c>
      <c r="AF189" t="s">
        <v>74</v>
      </c>
      <c r="AG189">
        <v>53</v>
      </c>
      <c r="AH189">
        <v>7</v>
      </c>
      <c r="AI189">
        <v>7</v>
      </c>
      <c r="AJ189">
        <v>0</v>
      </c>
      <c r="AK189">
        <v>12</v>
      </c>
      <c r="AL189" t="s">
        <v>3789</v>
      </c>
      <c r="AM189" t="s">
        <v>3790</v>
      </c>
      <c r="AN189" t="s">
        <v>3791</v>
      </c>
      <c r="AO189" t="s">
        <v>3792</v>
      </c>
      <c r="AP189" t="s">
        <v>74</v>
      </c>
      <c r="AQ189" t="s">
        <v>74</v>
      </c>
      <c r="AR189" t="s">
        <v>3776</v>
      </c>
      <c r="AS189" t="s">
        <v>3793</v>
      </c>
      <c r="AT189" t="s">
        <v>2831</v>
      </c>
      <c r="AU189">
        <v>2013</v>
      </c>
      <c r="AV189">
        <v>13</v>
      </c>
      <c r="AW189">
        <v>1</v>
      </c>
      <c r="AX189" t="s">
        <v>74</v>
      </c>
      <c r="AY189" t="s">
        <v>74</v>
      </c>
      <c r="AZ189" t="s">
        <v>74</v>
      </c>
      <c r="BA189" t="s">
        <v>74</v>
      </c>
      <c r="BB189">
        <v>1</v>
      </c>
      <c r="BC189">
        <v>14</v>
      </c>
      <c r="BD189" t="s">
        <v>74</v>
      </c>
      <c r="BE189" t="s">
        <v>3794</v>
      </c>
      <c r="BF189" t="str">
        <f>HYPERLINK("http://dx.doi.org/10.5507/fot.2013.001","http://dx.doi.org/10.5507/fot.2013.001")</f>
        <v>http://dx.doi.org/10.5507/fot.2013.001</v>
      </c>
      <c r="BG189" t="s">
        <v>74</v>
      </c>
      <c r="BH189" t="s">
        <v>74</v>
      </c>
      <c r="BI189">
        <v>14</v>
      </c>
      <c r="BJ189" t="s">
        <v>3795</v>
      </c>
      <c r="BK189" t="s">
        <v>102</v>
      </c>
      <c r="BL189" t="s">
        <v>3795</v>
      </c>
      <c r="BM189" t="s">
        <v>3796</v>
      </c>
      <c r="BN189" t="s">
        <v>74</v>
      </c>
      <c r="BO189" t="s">
        <v>1477</v>
      </c>
      <c r="BP189" t="s">
        <v>74</v>
      </c>
      <c r="BQ189" t="s">
        <v>74</v>
      </c>
      <c r="BR189" t="s">
        <v>105</v>
      </c>
      <c r="BS189" t="s">
        <v>3797</v>
      </c>
      <c r="BT189" t="str">
        <f>HYPERLINK("https%3A%2F%2Fwww.webofscience.com%2Fwos%2Fwoscc%2Ffull-record%2FWOS:000320569200001","View Full Record in Web of Science")</f>
        <v>View Full Record in Web of Science</v>
      </c>
    </row>
    <row r="190" spans="1:72" x14ac:dyDescent="0.15">
      <c r="A190" t="s">
        <v>72</v>
      </c>
      <c r="B190" t="s">
        <v>3798</v>
      </c>
      <c r="C190" t="s">
        <v>74</v>
      </c>
      <c r="D190" t="s">
        <v>74</v>
      </c>
      <c r="E190" t="s">
        <v>74</v>
      </c>
      <c r="F190" t="s">
        <v>3799</v>
      </c>
      <c r="G190" t="s">
        <v>74</v>
      </c>
      <c r="H190" t="s">
        <v>74</v>
      </c>
      <c r="I190" t="s">
        <v>3800</v>
      </c>
      <c r="J190" t="s">
        <v>1610</v>
      </c>
      <c r="K190" t="s">
        <v>74</v>
      </c>
      <c r="L190" t="s">
        <v>74</v>
      </c>
      <c r="M190" t="s">
        <v>78</v>
      </c>
      <c r="N190" t="s">
        <v>79</v>
      </c>
      <c r="O190" t="s">
        <v>74</v>
      </c>
      <c r="P190" t="s">
        <v>74</v>
      </c>
      <c r="Q190" t="s">
        <v>74</v>
      </c>
      <c r="R190" t="s">
        <v>74</v>
      </c>
      <c r="S190" t="s">
        <v>74</v>
      </c>
      <c r="T190" t="s">
        <v>3801</v>
      </c>
      <c r="U190" t="s">
        <v>3802</v>
      </c>
      <c r="V190" t="s">
        <v>3803</v>
      </c>
      <c r="W190" t="s">
        <v>3804</v>
      </c>
      <c r="X190" t="s">
        <v>3805</v>
      </c>
      <c r="Y190" t="s">
        <v>3806</v>
      </c>
      <c r="Z190" t="s">
        <v>3807</v>
      </c>
      <c r="AA190" t="s">
        <v>3808</v>
      </c>
      <c r="AB190" t="s">
        <v>3809</v>
      </c>
      <c r="AC190" t="s">
        <v>3810</v>
      </c>
      <c r="AD190" t="s">
        <v>3811</v>
      </c>
      <c r="AE190" t="s">
        <v>3812</v>
      </c>
      <c r="AF190" t="s">
        <v>74</v>
      </c>
      <c r="AG190">
        <v>49</v>
      </c>
      <c r="AH190">
        <v>22</v>
      </c>
      <c r="AI190">
        <v>26</v>
      </c>
      <c r="AJ190">
        <v>1</v>
      </c>
      <c r="AK190">
        <v>36</v>
      </c>
      <c r="AL190" t="s">
        <v>2961</v>
      </c>
      <c r="AM190" t="s">
        <v>369</v>
      </c>
      <c r="AN190" t="s">
        <v>370</v>
      </c>
      <c r="AO190" t="s">
        <v>1620</v>
      </c>
      <c r="AP190" t="s">
        <v>74</v>
      </c>
      <c r="AQ190" t="s">
        <v>74</v>
      </c>
      <c r="AR190" t="s">
        <v>1622</v>
      </c>
      <c r="AS190" t="s">
        <v>1623</v>
      </c>
      <c r="AT190" t="s">
        <v>2831</v>
      </c>
      <c r="AU190">
        <v>2013</v>
      </c>
      <c r="AV190">
        <v>40</v>
      </c>
      <c r="AW190">
        <v>7</v>
      </c>
      <c r="AX190" t="s">
        <v>74</v>
      </c>
      <c r="AY190" t="s">
        <v>74</v>
      </c>
      <c r="AZ190" t="s">
        <v>74</v>
      </c>
      <c r="BA190" t="s">
        <v>74</v>
      </c>
      <c r="BB190">
        <v>1374</v>
      </c>
      <c r="BC190">
        <v>1385</v>
      </c>
      <c r="BD190" t="s">
        <v>74</v>
      </c>
      <c r="BE190" t="s">
        <v>3813</v>
      </c>
      <c r="BF190" t="str">
        <f>HYPERLINK("http://dx.doi.org/10.1111/jbi.12088","http://dx.doi.org/10.1111/jbi.12088")</f>
        <v>http://dx.doi.org/10.1111/jbi.12088</v>
      </c>
      <c r="BG190" t="s">
        <v>74</v>
      </c>
      <c r="BH190" t="s">
        <v>74</v>
      </c>
      <c r="BI190">
        <v>12</v>
      </c>
      <c r="BJ190" t="s">
        <v>1625</v>
      </c>
      <c r="BK190" t="s">
        <v>102</v>
      </c>
      <c r="BL190" t="s">
        <v>1089</v>
      </c>
      <c r="BM190" t="s">
        <v>3814</v>
      </c>
      <c r="BN190" t="s">
        <v>74</v>
      </c>
      <c r="BO190" t="s">
        <v>74</v>
      </c>
      <c r="BP190" t="s">
        <v>74</v>
      </c>
      <c r="BQ190" t="s">
        <v>74</v>
      </c>
      <c r="BR190" t="s">
        <v>105</v>
      </c>
      <c r="BS190" t="s">
        <v>3815</v>
      </c>
      <c r="BT190" t="str">
        <f>HYPERLINK("https%3A%2F%2Fwww.webofscience.com%2Fwos%2Fwoscc%2Ffull-record%2FWOS:000320175400015","View Full Record in Web of Science")</f>
        <v>View Full Record in Web of Science</v>
      </c>
    </row>
    <row r="191" spans="1:72" x14ac:dyDescent="0.15">
      <c r="A191" t="s">
        <v>72</v>
      </c>
      <c r="B191" t="s">
        <v>3816</v>
      </c>
      <c r="C191" t="s">
        <v>74</v>
      </c>
      <c r="D191" t="s">
        <v>74</v>
      </c>
      <c r="E191" t="s">
        <v>74</v>
      </c>
      <c r="F191" t="s">
        <v>3817</v>
      </c>
      <c r="G191" t="s">
        <v>74</v>
      </c>
      <c r="H191" t="s">
        <v>74</v>
      </c>
      <c r="I191" t="s">
        <v>3818</v>
      </c>
      <c r="J191" t="s">
        <v>3819</v>
      </c>
      <c r="K191" t="s">
        <v>74</v>
      </c>
      <c r="L191" t="s">
        <v>74</v>
      </c>
      <c r="M191" t="s">
        <v>78</v>
      </c>
      <c r="N191" t="s">
        <v>79</v>
      </c>
      <c r="O191" t="s">
        <v>74</v>
      </c>
      <c r="P191" t="s">
        <v>74</v>
      </c>
      <c r="Q191" t="s">
        <v>74</v>
      </c>
      <c r="R191" t="s">
        <v>74</v>
      </c>
      <c r="S191" t="s">
        <v>74</v>
      </c>
      <c r="T191" t="s">
        <v>3820</v>
      </c>
      <c r="U191" t="s">
        <v>3821</v>
      </c>
      <c r="V191" t="s">
        <v>3822</v>
      </c>
      <c r="W191" t="s">
        <v>3823</v>
      </c>
      <c r="X191" t="s">
        <v>3824</v>
      </c>
      <c r="Y191" t="s">
        <v>3825</v>
      </c>
      <c r="Z191" t="s">
        <v>3826</v>
      </c>
      <c r="AA191" t="s">
        <v>3827</v>
      </c>
      <c r="AB191" t="s">
        <v>3828</v>
      </c>
      <c r="AC191" t="s">
        <v>3829</v>
      </c>
      <c r="AD191" t="s">
        <v>3830</v>
      </c>
      <c r="AE191" t="s">
        <v>3831</v>
      </c>
      <c r="AF191" t="s">
        <v>74</v>
      </c>
      <c r="AG191">
        <v>43</v>
      </c>
      <c r="AH191">
        <v>8</v>
      </c>
      <c r="AI191">
        <v>11</v>
      </c>
      <c r="AJ191">
        <v>1</v>
      </c>
      <c r="AK191">
        <v>47</v>
      </c>
      <c r="AL191" t="s">
        <v>368</v>
      </c>
      <c r="AM191" t="s">
        <v>369</v>
      </c>
      <c r="AN191" t="s">
        <v>370</v>
      </c>
      <c r="AO191" t="s">
        <v>3832</v>
      </c>
      <c r="AP191" t="s">
        <v>3833</v>
      </c>
      <c r="AQ191" t="s">
        <v>74</v>
      </c>
      <c r="AR191" t="s">
        <v>3834</v>
      </c>
      <c r="AS191" t="s">
        <v>3835</v>
      </c>
      <c r="AT191" t="s">
        <v>2831</v>
      </c>
      <c r="AU191">
        <v>2013</v>
      </c>
      <c r="AV191">
        <v>58</v>
      </c>
      <c r="AW191">
        <v>7</v>
      </c>
      <c r="AX191" t="s">
        <v>74</v>
      </c>
      <c r="AY191" t="s">
        <v>74</v>
      </c>
      <c r="AZ191" t="s">
        <v>74</v>
      </c>
      <c r="BA191" t="s">
        <v>74</v>
      </c>
      <c r="BB191">
        <v>1484</v>
      </c>
      <c r="BC191">
        <v>1493</v>
      </c>
      <c r="BD191" t="s">
        <v>74</v>
      </c>
      <c r="BE191" t="s">
        <v>3836</v>
      </c>
      <c r="BF191" t="str">
        <f>HYPERLINK("http://dx.doi.org/10.1111/fwb.12146","http://dx.doi.org/10.1111/fwb.12146")</f>
        <v>http://dx.doi.org/10.1111/fwb.12146</v>
      </c>
      <c r="BG191" t="s">
        <v>74</v>
      </c>
      <c r="BH191" t="s">
        <v>74</v>
      </c>
      <c r="BI191">
        <v>10</v>
      </c>
      <c r="BJ191" t="s">
        <v>162</v>
      </c>
      <c r="BK191" t="s">
        <v>102</v>
      </c>
      <c r="BL191" t="s">
        <v>163</v>
      </c>
      <c r="BM191" t="s">
        <v>3837</v>
      </c>
      <c r="BN191" t="s">
        <v>74</v>
      </c>
      <c r="BO191" t="s">
        <v>74</v>
      </c>
      <c r="BP191" t="s">
        <v>74</v>
      </c>
      <c r="BQ191" t="s">
        <v>74</v>
      </c>
      <c r="BR191" t="s">
        <v>105</v>
      </c>
      <c r="BS191" t="s">
        <v>3838</v>
      </c>
      <c r="BT191" t="str">
        <f>HYPERLINK("https%3A%2F%2Fwww.webofscience.com%2Fwos%2Fwoscc%2Ffull-record%2FWOS:000319946000016","View Full Record in Web of Science")</f>
        <v>View Full Record in Web of Science</v>
      </c>
    </row>
    <row r="192" spans="1:72" x14ac:dyDescent="0.15">
      <c r="A192" t="s">
        <v>72</v>
      </c>
      <c r="B192" t="s">
        <v>3839</v>
      </c>
      <c r="C192" t="s">
        <v>74</v>
      </c>
      <c r="D192" t="s">
        <v>74</v>
      </c>
      <c r="E192" t="s">
        <v>74</v>
      </c>
      <c r="F192" t="s">
        <v>3840</v>
      </c>
      <c r="G192" t="s">
        <v>74</v>
      </c>
      <c r="H192" t="s">
        <v>74</v>
      </c>
      <c r="I192" t="s">
        <v>3841</v>
      </c>
      <c r="J192" t="s">
        <v>3842</v>
      </c>
      <c r="K192" t="s">
        <v>74</v>
      </c>
      <c r="L192" t="s">
        <v>74</v>
      </c>
      <c r="M192" t="s">
        <v>78</v>
      </c>
      <c r="N192" t="s">
        <v>79</v>
      </c>
      <c r="O192" t="s">
        <v>74</v>
      </c>
      <c r="P192" t="s">
        <v>74</v>
      </c>
      <c r="Q192" t="s">
        <v>74</v>
      </c>
      <c r="R192" t="s">
        <v>74</v>
      </c>
      <c r="S192" t="s">
        <v>74</v>
      </c>
      <c r="T192" t="s">
        <v>3843</v>
      </c>
      <c r="U192" t="s">
        <v>3844</v>
      </c>
      <c r="V192" t="s">
        <v>3845</v>
      </c>
      <c r="W192" t="s">
        <v>3846</v>
      </c>
      <c r="X192" t="s">
        <v>3847</v>
      </c>
      <c r="Y192" t="s">
        <v>3848</v>
      </c>
      <c r="Z192" t="s">
        <v>3849</v>
      </c>
      <c r="AA192" t="s">
        <v>3850</v>
      </c>
      <c r="AB192" t="s">
        <v>3851</v>
      </c>
      <c r="AC192" t="s">
        <v>3852</v>
      </c>
      <c r="AD192" t="s">
        <v>3853</v>
      </c>
      <c r="AE192" t="s">
        <v>3854</v>
      </c>
      <c r="AF192" t="s">
        <v>74</v>
      </c>
      <c r="AG192">
        <v>40</v>
      </c>
      <c r="AH192">
        <v>29</v>
      </c>
      <c r="AI192">
        <v>35</v>
      </c>
      <c r="AJ192">
        <v>2</v>
      </c>
      <c r="AK192">
        <v>168</v>
      </c>
      <c r="AL192" t="s">
        <v>368</v>
      </c>
      <c r="AM192" t="s">
        <v>369</v>
      </c>
      <c r="AN192" t="s">
        <v>370</v>
      </c>
      <c r="AO192" t="s">
        <v>3855</v>
      </c>
      <c r="AP192" t="s">
        <v>3856</v>
      </c>
      <c r="AQ192" t="s">
        <v>74</v>
      </c>
      <c r="AR192" t="s">
        <v>3857</v>
      </c>
      <c r="AS192" t="s">
        <v>3858</v>
      </c>
      <c r="AT192" t="s">
        <v>2831</v>
      </c>
      <c r="AU192">
        <v>2013</v>
      </c>
      <c r="AV192">
        <v>82</v>
      </c>
      <c r="AW192">
        <v>4</v>
      </c>
      <c r="AX192" t="s">
        <v>74</v>
      </c>
      <c r="AY192" t="s">
        <v>74</v>
      </c>
      <c r="AZ192" t="s">
        <v>74</v>
      </c>
      <c r="BA192" t="s">
        <v>74</v>
      </c>
      <c r="BB192">
        <v>903</v>
      </c>
      <c r="BC192">
        <v>911</v>
      </c>
      <c r="BD192" t="s">
        <v>74</v>
      </c>
      <c r="BE192" t="s">
        <v>3859</v>
      </c>
      <c r="BF192" t="str">
        <f>HYPERLINK("http://dx.doi.org/10.1111/1365-2656.12059","http://dx.doi.org/10.1111/1365-2656.12059")</f>
        <v>http://dx.doi.org/10.1111/1365-2656.12059</v>
      </c>
      <c r="BG192" t="s">
        <v>74</v>
      </c>
      <c r="BH192" t="s">
        <v>74</v>
      </c>
      <c r="BI192">
        <v>9</v>
      </c>
      <c r="BJ192" t="s">
        <v>3860</v>
      </c>
      <c r="BK192" t="s">
        <v>102</v>
      </c>
      <c r="BL192" t="s">
        <v>3861</v>
      </c>
      <c r="BM192" t="s">
        <v>3862</v>
      </c>
      <c r="BN192">
        <v>23444975</v>
      </c>
      <c r="BO192" t="s">
        <v>74</v>
      </c>
      <c r="BP192" t="s">
        <v>74</v>
      </c>
      <c r="BQ192" t="s">
        <v>74</v>
      </c>
      <c r="BR192" t="s">
        <v>105</v>
      </c>
      <c r="BS192" t="s">
        <v>3863</v>
      </c>
      <c r="BT192" t="str">
        <f>HYPERLINK("https%3A%2F%2Fwww.webofscience.com%2Fwos%2Fwoscc%2Ffull-record%2FWOS:000320388700019","View Full Record in Web of Science")</f>
        <v>View Full Record in Web of Science</v>
      </c>
    </row>
    <row r="193" spans="1:72" x14ac:dyDescent="0.15">
      <c r="A193" t="s">
        <v>72</v>
      </c>
      <c r="B193" t="s">
        <v>3864</v>
      </c>
      <c r="C193" t="s">
        <v>74</v>
      </c>
      <c r="D193" t="s">
        <v>74</v>
      </c>
      <c r="E193" t="s">
        <v>74</v>
      </c>
      <c r="F193" t="s">
        <v>3865</v>
      </c>
      <c r="G193" t="s">
        <v>74</v>
      </c>
      <c r="H193" t="s">
        <v>74</v>
      </c>
      <c r="I193" t="s">
        <v>3866</v>
      </c>
      <c r="J193" t="s">
        <v>3867</v>
      </c>
      <c r="K193" t="s">
        <v>74</v>
      </c>
      <c r="L193" t="s">
        <v>74</v>
      </c>
      <c r="M193" t="s">
        <v>78</v>
      </c>
      <c r="N193" t="s">
        <v>79</v>
      </c>
      <c r="O193" t="s">
        <v>74</v>
      </c>
      <c r="P193" t="s">
        <v>74</v>
      </c>
      <c r="Q193" t="s">
        <v>74</v>
      </c>
      <c r="R193" t="s">
        <v>74</v>
      </c>
      <c r="S193" t="s">
        <v>74</v>
      </c>
      <c r="T193" t="s">
        <v>3868</v>
      </c>
      <c r="U193" t="s">
        <v>3869</v>
      </c>
      <c r="V193" t="s">
        <v>3870</v>
      </c>
      <c r="W193" t="s">
        <v>3871</v>
      </c>
      <c r="X193" t="s">
        <v>3872</v>
      </c>
      <c r="Y193" t="s">
        <v>3873</v>
      </c>
      <c r="Z193" t="s">
        <v>3874</v>
      </c>
      <c r="AA193" t="s">
        <v>3875</v>
      </c>
      <c r="AB193" t="s">
        <v>3876</v>
      </c>
      <c r="AC193" t="s">
        <v>3877</v>
      </c>
      <c r="AD193" t="s">
        <v>3878</v>
      </c>
      <c r="AE193" t="s">
        <v>3879</v>
      </c>
      <c r="AF193" t="s">
        <v>74</v>
      </c>
      <c r="AG193">
        <v>86</v>
      </c>
      <c r="AH193">
        <v>20</v>
      </c>
      <c r="AI193">
        <v>25</v>
      </c>
      <c r="AJ193">
        <v>1</v>
      </c>
      <c r="AK193">
        <v>29</v>
      </c>
      <c r="AL193" t="s">
        <v>506</v>
      </c>
      <c r="AM193" t="s">
        <v>442</v>
      </c>
      <c r="AN193" t="s">
        <v>507</v>
      </c>
      <c r="AO193" t="s">
        <v>3880</v>
      </c>
      <c r="AP193" t="s">
        <v>3881</v>
      </c>
      <c r="AQ193" t="s">
        <v>74</v>
      </c>
      <c r="AR193" t="s">
        <v>3882</v>
      </c>
      <c r="AS193" t="s">
        <v>3883</v>
      </c>
      <c r="AT193" t="s">
        <v>2831</v>
      </c>
      <c r="AU193">
        <v>2013</v>
      </c>
      <c r="AV193" t="s">
        <v>3884</v>
      </c>
      <c r="AW193" t="s">
        <v>74</v>
      </c>
      <c r="AX193" t="s">
        <v>74</v>
      </c>
      <c r="AY193" t="s">
        <v>74</v>
      </c>
      <c r="AZ193" t="s">
        <v>74</v>
      </c>
      <c r="BA193" t="s">
        <v>74</v>
      </c>
      <c r="BB193">
        <v>125</v>
      </c>
      <c r="BC193">
        <v>141</v>
      </c>
      <c r="BD193" t="s">
        <v>74</v>
      </c>
      <c r="BE193" t="s">
        <v>3885</v>
      </c>
      <c r="BF193" t="str">
        <f>HYPERLINK("http://dx.doi.org/10.1016/j.jseaes.2013.03.008","http://dx.doi.org/10.1016/j.jseaes.2013.03.008")</f>
        <v>http://dx.doi.org/10.1016/j.jseaes.2013.03.008</v>
      </c>
      <c r="BG193" t="s">
        <v>74</v>
      </c>
      <c r="BH193" t="s">
        <v>74</v>
      </c>
      <c r="BI193">
        <v>17</v>
      </c>
      <c r="BJ193" t="s">
        <v>1426</v>
      </c>
      <c r="BK193" t="s">
        <v>102</v>
      </c>
      <c r="BL193" t="s">
        <v>219</v>
      </c>
      <c r="BM193" t="s">
        <v>3886</v>
      </c>
      <c r="BN193" t="s">
        <v>74</v>
      </c>
      <c r="BO193" t="s">
        <v>74</v>
      </c>
      <c r="BP193" t="s">
        <v>74</v>
      </c>
      <c r="BQ193" t="s">
        <v>74</v>
      </c>
      <c r="BR193" t="s">
        <v>105</v>
      </c>
      <c r="BS193" t="s">
        <v>3887</v>
      </c>
      <c r="BT193" t="str">
        <f>HYPERLINK("https%3A%2F%2Fwww.webofscience.com%2Fwos%2Fwoscc%2Ffull-record%2FWOS:000320076600010","View Full Record in Web of Science")</f>
        <v>View Full Record in Web of Science</v>
      </c>
    </row>
    <row r="194" spans="1:72" x14ac:dyDescent="0.15">
      <c r="A194" t="s">
        <v>72</v>
      </c>
      <c r="B194" t="s">
        <v>3888</v>
      </c>
      <c r="C194" t="s">
        <v>74</v>
      </c>
      <c r="D194" t="s">
        <v>74</v>
      </c>
      <c r="E194" t="s">
        <v>74</v>
      </c>
      <c r="F194" t="s">
        <v>3889</v>
      </c>
      <c r="G194" t="s">
        <v>74</v>
      </c>
      <c r="H194" t="s">
        <v>74</v>
      </c>
      <c r="I194" t="s">
        <v>3890</v>
      </c>
      <c r="J194" t="s">
        <v>966</v>
      </c>
      <c r="K194" t="s">
        <v>74</v>
      </c>
      <c r="L194" t="s">
        <v>74</v>
      </c>
      <c r="M194" t="s">
        <v>78</v>
      </c>
      <c r="N194" t="s">
        <v>79</v>
      </c>
      <c r="O194" t="s">
        <v>74</v>
      </c>
      <c r="P194" t="s">
        <v>74</v>
      </c>
      <c r="Q194" t="s">
        <v>74</v>
      </c>
      <c r="R194" t="s">
        <v>74</v>
      </c>
      <c r="S194" t="s">
        <v>74</v>
      </c>
      <c r="T194" t="s">
        <v>3891</v>
      </c>
      <c r="U194" t="s">
        <v>3892</v>
      </c>
      <c r="V194" t="s">
        <v>3893</v>
      </c>
      <c r="W194" t="s">
        <v>3894</v>
      </c>
      <c r="X194" t="s">
        <v>3895</v>
      </c>
      <c r="Y194" t="s">
        <v>3896</v>
      </c>
      <c r="Z194" t="s">
        <v>3897</v>
      </c>
      <c r="AA194" t="s">
        <v>74</v>
      </c>
      <c r="AB194" t="s">
        <v>74</v>
      </c>
      <c r="AC194" t="s">
        <v>3898</v>
      </c>
      <c r="AD194" t="s">
        <v>3899</v>
      </c>
      <c r="AE194" t="s">
        <v>3900</v>
      </c>
      <c r="AF194" t="s">
        <v>74</v>
      </c>
      <c r="AG194">
        <v>56</v>
      </c>
      <c r="AH194">
        <v>6</v>
      </c>
      <c r="AI194">
        <v>6</v>
      </c>
      <c r="AJ194">
        <v>0</v>
      </c>
      <c r="AK194">
        <v>43</v>
      </c>
      <c r="AL194" t="s">
        <v>154</v>
      </c>
      <c r="AM194" t="s">
        <v>155</v>
      </c>
      <c r="AN194" t="s">
        <v>156</v>
      </c>
      <c r="AO194" t="s">
        <v>979</v>
      </c>
      <c r="AP194" t="s">
        <v>980</v>
      </c>
      <c r="AQ194" t="s">
        <v>74</v>
      </c>
      <c r="AR194" t="s">
        <v>981</v>
      </c>
      <c r="AS194" t="s">
        <v>982</v>
      </c>
      <c r="AT194" t="s">
        <v>2831</v>
      </c>
      <c r="AU194">
        <v>2013</v>
      </c>
      <c r="AV194">
        <v>381</v>
      </c>
      <c r="AW194" t="s">
        <v>74</v>
      </c>
      <c r="AX194" t="s">
        <v>74</v>
      </c>
      <c r="AY194" t="s">
        <v>74</v>
      </c>
      <c r="AZ194" t="s">
        <v>74</v>
      </c>
      <c r="BA194" t="s">
        <v>74</v>
      </c>
      <c r="BB194">
        <v>98</v>
      </c>
      <c r="BC194">
        <v>109</v>
      </c>
      <c r="BD194" t="s">
        <v>74</v>
      </c>
      <c r="BE194" t="s">
        <v>3901</v>
      </c>
      <c r="BF194" t="str">
        <f>HYPERLINK("http://dx.doi.org/10.1016/j.palaeo.2013.04.019","http://dx.doi.org/10.1016/j.palaeo.2013.04.019")</f>
        <v>http://dx.doi.org/10.1016/j.palaeo.2013.04.019</v>
      </c>
      <c r="BG194" t="s">
        <v>74</v>
      </c>
      <c r="BH194" t="s">
        <v>74</v>
      </c>
      <c r="BI194">
        <v>12</v>
      </c>
      <c r="BJ194" t="s">
        <v>984</v>
      </c>
      <c r="BK194" t="s">
        <v>102</v>
      </c>
      <c r="BL194" t="s">
        <v>985</v>
      </c>
      <c r="BM194" t="s">
        <v>3902</v>
      </c>
      <c r="BN194" t="s">
        <v>74</v>
      </c>
      <c r="BO194" t="s">
        <v>74</v>
      </c>
      <c r="BP194" t="s">
        <v>74</v>
      </c>
      <c r="BQ194" t="s">
        <v>74</v>
      </c>
      <c r="BR194" t="s">
        <v>105</v>
      </c>
      <c r="BS194" t="s">
        <v>3903</v>
      </c>
      <c r="BT194" t="str">
        <f>HYPERLINK("https%3A%2F%2Fwww.webofscience.com%2Fwos%2Fwoscc%2Ffull-record%2FWOS:000320424700009","View Full Record in Web of Science")</f>
        <v>View Full Record in Web of Science</v>
      </c>
    </row>
    <row r="195" spans="1:72" x14ac:dyDescent="0.15">
      <c r="A195" t="s">
        <v>72</v>
      </c>
      <c r="B195" t="s">
        <v>3904</v>
      </c>
      <c r="C195" t="s">
        <v>74</v>
      </c>
      <c r="D195" t="s">
        <v>74</v>
      </c>
      <c r="E195" t="s">
        <v>74</v>
      </c>
      <c r="F195" t="s">
        <v>3905</v>
      </c>
      <c r="G195" t="s">
        <v>74</v>
      </c>
      <c r="H195" t="s">
        <v>74</v>
      </c>
      <c r="I195" t="s">
        <v>3906</v>
      </c>
      <c r="J195" t="s">
        <v>919</v>
      </c>
      <c r="K195" t="s">
        <v>74</v>
      </c>
      <c r="L195" t="s">
        <v>74</v>
      </c>
      <c r="M195" t="s">
        <v>78</v>
      </c>
      <c r="N195" t="s">
        <v>79</v>
      </c>
      <c r="O195" t="s">
        <v>74</v>
      </c>
      <c r="P195" t="s">
        <v>74</v>
      </c>
      <c r="Q195" t="s">
        <v>74</v>
      </c>
      <c r="R195" t="s">
        <v>74</v>
      </c>
      <c r="S195" t="s">
        <v>74</v>
      </c>
      <c r="T195" t="s">
        <v>3907</v>
      </c>
      <c r="U195" t="s">
        <v>3908</v>
      </c>
      <c r="V195" t="s">
        <v>3909</v>
      </c>
      <c r="W195" t="s">
        <v>3910</v>
      </c>
      <c r="X195" t="s">
        <v>3911</v>
      </c>
      <c r="Y195" t="s">
        <v>3912</v>
      </c>
      <c r="Z195" t="s">
        <v>3913</v>
      </c>
      <c r="AA195" t="s">
        <v>74</v>
      </c>
      <c r="AB195" t="s">
        <v>74</v>
      </c>
      <c r="AC195" t="s">
        <v>3914</v>
      </c>
      <c r="AD195" t="s">
        <v>3915</v>
      </c>
      <c r="AE195" t="s">
        <v>3916</v>
      </c>
      <c r="AF195" t="s">
        <v>74</v>
      </c>
      <c r="AG195">
        <v>32</v>
      </c>
      <c r="AH195">
        <v>8</v>
      </c>
      <c r="AI195">
        <v>8</v>
      </c>
      <c r="AJ195">
        <v>0</v>
      </c>
      <c r="AK195">
        <v>4</v>
      </c>
      <c r="AL195" t="s">
        <v>506</v>
      </c>
      <c r="AM195" t="s">
        <v>442</v>
      </c>
      <c r="AN195" t="s">
        <v>507</v>
      </c>
      <c r="AO195" t="s">
        <v>931</v>
      </c>
      <c r="AP195" t="s">
        <v>932</v>
      </c>
      <c r="AQ195" t="s">
        <v>74</v>
      </c>
      <c r="AR195" t="s">
        <v>933</v>
      </c>
      <c r="AS195" t="s">
        <v>934</v>
      </c>
      <c r="AT195" t="s">
        <v>2831</v>
      </c>
      <c r="AU195">
        <v>2013</v>
      </c>
      <c r="AV195">
        <v>91</v>
      </c>
      <c r="AW195" t="s">
        <v>74</v>
      </c>
      <c r="AX195" t="s">
        <v>74</v>
      </c>
      <c r="AY195" t="s">
        <v>74</v>
      </c>
      <c r="AZ195" t="s">
        <v>935</v>
      </c>
      <c r="BA195" t="s">
        <v>74</v>
      </c>
      <c r="BB195">
        <v>84</v>
      </c>
      <c r="BC195">
        <v>95</v>
      </c>
      <c r="BD195" t="s">
        <v>74</v>
      </c>
      <c r="BE195" t="s">
        <v>3917</v>
      </c>
      <c r="BF195" t="str">
        <f>HYPERLINK("http://dx.doi.org/10.1016/j.dsr2.2013.02.018","http://dx.doi.org/10.1016/j.dsr2.2013.02.018")</f>
        <v>http://dx.doi.org/10.1016/j.dsr2.2013.02.018</v>
      </c>
      <c r="BG195" t="s">
        <v>74</v>
      </c>
      <c r="BH195" t="s">
        <v>74</v>
      </c>
      <c r="BI195">
        <v>12</v>
      </c>
      <c r="BJ195" t="s">
        <v>327</v>
      </c>
      <c r="BK195" t="s">
        <v>102</v>
      </c>
      <c r="BL195" t="s">
        <v>327</v>
      </c>
      <c r="BM195" t="s">
        <v>3918</v>
      </c>
      <c r="BN195" t="s">
        <v>74</v>
      </c>
      <c r="BO195" t="s">
        <v>74</v>
      </c>
      <c r="BP195" t="s">
        <v>74</v>
      </c>
      <c r="BQ195" t="s">
        <v>74</v>
      </c>
      <c r="BR195" t="s">
        <v>105</v>
      </c>
      <c r="BS195" t="s">
        <v>3919</v>
      </c>
      <c r="BT195" t="str">
        <f>HYPERLINK("https%3A%2F%2Fwww.webofscience.com%2Fwos%2Fwoscc%2Ffull-record%2FWOS:000320150800007","View Full Record in Web of Science")</f>
        <v>View Full Record in Web of Science</v>
      </c>
    </row>
    <row r="196" spans="1:72" x14ac:dyDescent="0.15">
      <c r="A196" t="s">
        <v>72</v>
      </c>
      <c r="B196" t="s">
        <v>3920</v>
      </c>
      <c r="C196" t="s">
        <v>74</v>
      </c>
      <c r="D196" t="s">
        <v>74</v>
      </c>
      <c r="E196" t="s">
        <v>74</v>
      </c>
      <c r="F196" t="s">
        <v>3921</v>
      </c>
      <c r="G196" t="s">
        <v>74</v>
      </c>
      <c r="H196" t="s">
        <v>74</v>
      </c>
      <c r="I196" t="s">
        <v>3922</v>
      </c>
      <c r="J196" t="s">
        <v>3923</v>
      </c>
      <c r="K196" t="s">
        <v>74</v>
      </c>
      <c r="L196" t="s">
        <v>74</v>
      </c>
      <c r="M196" t="s">
        <v>78</v>
      </c>
      <c r="N196" t="s">
        <v>79</v>
      </c>
      <c r="O196" t="s">
        <v>74</v>
      </c>
      <c r="P196" t="s">
        <v>74</v>
      </c>
      <c r="Q196" t="s">
        <v>74</v>
      </c>
      <c r="R196" t="s">
        <v>74</v>
      </c>
      <c r="S196" t="s">
        <v>74</v>
      </c>
      <c r="T196" t="s">
        <v>3924</v>
      </c>
      <c r="U196" t="s">
        <v>3925</v>
      </c>
      <c r="V196" t="s">
        <v>3926</v>
      </c>
      <c r="W196" t="s">
        <v>3927</v>
      </c>
      <c r="X196" t="s">
        <v>3928</v>
      </c>
      <c r="Y196" t="s">
        <v>3929</v>
      </c>
      <c r="Z196" t="s">
        <v>3930</v>
      </c>
      <c r="AA196" t="s">
        <v>3931</v>
      </c>
      <c r="AB196" t="s">
        <v>3932</v>
      </c>
      <c r="AC196" t="s">
        <v>3933</v>
      </c>
      <c r="AD196" t="s">
        <v>3934</v>
      </c>
      <c r="AE196" t="s">
        <v>3935</v>
      </c>
      <c r="AF196" t="s">
        <v>74</v>
      </c>
      <c r="AG196">
        <v>83</v>
      </c>
      <c r="AH196">
        <v>71</v>
      </c>
      <c r="AI196">
        <v>75</v>
      </c>
      <c r="AJ196">
        <v>2</v>
      </c>
      <c r="AK196">
        <v>151</v>
      </c>
      <c r="AL196" t="s">
        <v>368</v>
      </c>
      <c r="AM196" t="s">
        <v>369</v>
      </c>
      <c r="AN196" t="s">
        <v>370</v>
      </c>
      <c r="AO196" t="s">
        <v>3936</v>
      </c>
      <c r="AP196" t="s">
        <v>3937</v>
      </c>
      <c r="AQ196" t="s">
        <v>74</v>
      </c>
      <c r="AR196" t="s">
        <v>3938</v>
      </c>
      <c r="AS196" t="s">
        <v>3939</v>
      </c>
      <c r="AT196" t="s">
        <v>2831</v>
      </c>
      <c r="AU196">
        <v>2013</v>
      </c>
      <c r="AV196">
        <v>19</v>
      </c>
      <c r="AW196">
        <v>7</v>
      </c>
      <c r="AX196" t="s">
        <v>74</v>
      </c>
      <c r="AY196" t="s">
        <v>74</v>
      </c>
      <c r="AZ196" t="s">
        <v>74</v>
      </c>
      <c r="BA196" t="s">
        <v>74</v>
      </c>
      <c r="BB196">
        <v>2264</v>
      </c>
      <c r="BC196">
        <v>2275</v>
      </c>
      <c r="BD196" t="s">
        <v>74</v>
      </c>
      <c r="BE196" t="s">
        <v>3940</v>
      </c>
      <c r="BF196" t="str">
        <f>HYPERLINK("http://dx.doi.org/10.1111/gcb.12190","http://dx.doi.org/10.1111/gcb.12190")</f>
        <v>http://dx.doi.org/10.1111/gcb.12190</v>
      </c>
      <c r="BG196" t="s">
        <v>74</v>
      </c>
      <c r="BH196" t="s">
        <v>74</v>
      </c>
      <c r="BI196">
        <v>12</v>
      </c>
      <c r="BJ196" t="s">
        <v>3941</v>
      </c>
      <c r="BK196" t="s">
        <v>102</v>
      </c>
      <c r="BL196" t="s">
        <v>1159</v>
      </c>
      <c r="BM196" t="s">
        <v>3942</v>
      </c>
      <c r="BN196">
        <v>23504957</v>
      </c>
      <c r="BO196" t="s">
        <v>74</v>
      </c>
      <c r="BP196" t="s">
        <v>74</v>
      </c>
      <c r="BQ196" t="s">
        <v>74</v>
      </c>
      <c r="BR196" t="s">
        <v>105</v>
      </c>
      <c r="BS196" t="s">
        <v>3943</v>
      </c>
      <c r="BT196" t="str">
        <f>HYPERLINK("https%3A%2F%2Fwww.webofscience.com%2Fwos%2Fwoscc%2Ffull-record%2FWOS:000319963500024","View Full Record in Web of Science")</f>
        <v>View Full Record in Web of Science</v>
      </c>
    </row>
    <row r="197" spans="1:72" x14ac:dyDescent="0.15">
      <c r="A197" t="s">
        <v>72</v>
      </c>
      <c r="B197" t="s">
        <v>3944</v>
      </c>
      <c r="C197" t="s">
        <v>74</v>
      </c>
      <c r="D197" t="s">
        <v>74</v>
      </c>
      <c r="E197" t="s">
        <v>74</v>
      </c>
      <c r="F197" t="s">
        <v>3945</v>
      </c>
      <c r="G197" t="s">
        <v>74</v>
      </c>
      <c r="H197" t="s">
        <v>74</v>
      </c>
      <c r="I197" t="s">
        <v>3946</v>
      </c>
      <c r="J197" t="s">
        <v>3947</v>
      </c>
      <c r="K197" t="s">
        <v>74</v>
      </c>
      <c r="L197" t="s">
        <v>74</v>
      </c>
      <c r="M197" t="s">
        <v>78</v>
      </c>
      <c r="N197" t="s">
        <v>991</v>
      </c>
      <c r="O197" t="s">
        <v>74</v>
      </c>
      <c r="P197" t="s">
        <v>74</v>
      </c>
      <c r="Q197" t="s">
        <v>74</v>
      </c>
      <c r="R197" t="s">
        <v>74</v>
      </c>
      <c r="S197" t="s">
        <v>74</v>
      </c>
      <c r="T197" t="s">
        <v>74</v>
      </c>
      <c r="U197" t="s">
        <v>74</v>
      </c>
      <c r="V197" t="s">
        <v>74</v>
      </c>
      <c r="W197" t="s">
        <v>3948</v>
      </c>
      <c r="X197" t="s">
        <v>3949</v>
      </c>
      <c r="Y197" t="s">
        <v>3950</v>
      </c>
      <c r="Z197" t="s">
        <v>74</v>
      </c>
      <c r="AA197" t="s">
        <v>3951</v>
      </c>
      <c r="AB197" t="s">
        <v>3952</v>
      </c>
      <c r="AC197" t="s">
        <v>74</v>
      </c>
      <c r="AD197" t="s">
        <v>74</v>
      </c>
      <c r="AE197" t="s">
        <v>74</v>
      </c>
      <c r="AF197" t="s">
        <v>74</v>
      </c>
      <c r="AG197">
        <v>18</v>
      </c>
      <c r="AH197">
        <v>8</v>
      </c>
      <c r="AI197">
        <v>8</v>
      </c>
      <c r="AJ197">
        <v>0</v>
      </c>
      <c r="AK197">
        <v>16</v>
      </c>
      <c r="AL197" t="s">
        <v>506</v>
      </c>
      <c r="AM197" t="s">
        <v>442</v>
      </c>
      <c r="AN197" t="s">
        <v>507</v>
      </c>
      <c r="AO197" t="s">
        <v>3953</v>
      </c>
      <c r="AP197" t="s">
        <v>74</v>
      </c>
      <c r="AQ197" t="s">
        <v>74</v>
      </c>
      <c r="AR197" t="s">
        <v>3954</v>
      </c>
      <c r="AS197" t="s">
        <v>3955</v>
      </c>
      <c r="AT197" t="s">
        <v>2831</v>
      </c>
      <c r="AU197">
        <v>2013</v>
      </c>
      <c r="AV197">
        <v>42</v>
      </c>
      <c r="AW197" t="s">
        <v>74</v>
      </c>
      <c r="AX197" t="s">
        <v>74</v>
      </c>
      <c r="AY197" t="s">
        <v>74</v>
      </c>
      <c r="AZ197" t="s">
        <v>74</v>
      </c>
      <c r="BA197" t="s">
        <v>74</v>
      </c>
      <c r="BB197">
        <v>428</v>
      </c>
      <c r="BC197">
        <v>431</v>
      </c>
      <c r="BD197" t="s">
        <v>74</v>
      </c>
      <c r="BE197" t="s">
        <v>3956</v>
      </c>
      <c r="BF197" t="str">
        <f>HYPERLINK("http://dx.doi.org/10.1016/j.annals.2013.02.017","http://dx.doi.org/10.1016/j.annals.2013.02.017")</f>
        <v>http://dx.doi.org/10.1016/j.annals.2013.02.017</v>
      </c>
      <c r="BG197" t="s">
        <v>74</v>
      </c>
      <c r="BH197" t="s">
        <v>74</v>
      </c>
      <c r="BI197">
        <v>4</v>
      </c>
      <c r="BJ197" t="s">
        <v>3957</v>
      </c>
      <c r="BK197" t="s">
        <v>3958</v>
      </c>
      <c r="BL197" t="s">
        <v>3959</v>
      </c>
      <c r="BM197" t="s">
        <v>3960</v>
      </c>
      <c r="BN197" t="s">
        <v>74</v>
      </c>
      <c r="BO197" t="s">
        <v>426</v>
      </c>
      <c r="BP197" t="s">
        <v>74</v>
      </c>
      <c r="BQ197" t="s">
        <v>74</v>
      </c>
      <c r="BR197" t="s">
        <v>105</v>
      </c>
      <c r="BS197" t="s">
        <v>3961</v>
      </c>
      <c r="BT197" t="str">
        <f>HYPERLINK("https%3A%2F%2Fwww.webofscience.com%2Fwos%2Fwoscc%2Ffull-record%2FWOS:000321161300021","View Full Record in Web of Science")</f>
        <v>View Full Record in Web of Science</v>
      </c>
    </row>
    <row r="198" spans="1:72" x14ac:dyDescent="0.15">
      <c r="A198" t="s">
        <v>72</v>
      </c>
      <c r="B198" t="s">
        <v>3962</v>
      </c>
      <c r="C198" t="s">
        <v>74</v>
      </c>
      <c r="D198" t="s">
        <v>74</v>
      </c>
      <c r="E198" t="s">
        <v>74</v>
      </c>
      <c r="F198" t="s">
        <v>3963</v>
      </c>
      <c r="G198" t="s">
        <v>74</v>
      </c>
      <c r="H198" t="s">
        <v>74</v>
      </c>
      <c r="I198" t="s">
        <v>3964</v>
      </c>
      <c r="J198" t="s">
        <v>3639</v>
      </c>
      <c r="K198" t="s">
        <v>74</v>
      </c>
      <c r="L198" t="s">
        <v>74</v>
      </c>
      <c r="M198" t="s">
        <v>78</v>
      </c>
      <c r="N198" t="s">
        <v>79</v>
      </c>
      <c r="O198" t="s">
        <v>74</v>
      </c>
      <c r="P198" t="s">
        <v>74</v>
      </c>
      <c r="Q198" t="s">
        <v>74</v>
      </c>
      <c r="R198" t="s">
        <v>74</v>
      </c>
      <c r="S198" t="s">
        <v>74</v>
      </c>
      <c r="T198" t="s">
        <v>74</v>
      </c>
      <c r="U198" t="s">
        <v>3965</v>
      </c>
      <c r="V198" t="s">
        <v>3966</v>
      </c>
      <c r="W198" t="s">
        <v>3967</v>
      </c>
      <c r="X198" t="s">
        <v>3968</v>
      </c>
      <c r="Y198" t="s">
        <v>3969</v>
      </c>
      <c r="Z198" t="s">
        <v>3970</v>
      </c>
      <c r="AA198" t="s">
        <v>3971</v>
      </c>
      <c r="AB198" t="s">
        <v>3972</v>
      </c>
      <c r="AC198" t="s">
        <v>3973</v>
      </c>
      <c r="AD198" t="s">
        <v>3974</v>
      </c>
      <c r="AE198" t="s">
        <v>3975</v>
      </c>
      <c r="AF198" t="s">
        <v>74</v>
      </c>
      <c r="AG198">
        <v>98</v>
      </c>
      <c r="AH198">
        <v>16</v>
      </c>
      <c r="AI198">
        <v>17</v>
      </c>
      <c r="AJ198">
        <v>0</v>
      </c>
      <c r="AK198">
        <v>57</v>
      </c>
      <c r="AL198" t="s">
        <v>2961</v>
      </c>
      <c r="AM198" t="s">
        <v>369</v>
      </c>
      <c r="AN198" t="s">
        <v>370</v>
      </c>
      <c r="AO198" t="s">
        <v>3650</v>
      </c>
      <c r="AP198" t="s">
        <v>3651</v>
      </c>
      <c r="AQ198" t="s">
        <v>74</v>
      </c>
      <c r="AR198" t="s">
        <v>3639</v>
      </c>
      <c r="AS198" t="s">
        <v>3652</v>
      </c>
      <c r="AT198" t="s">
        <v>2831</v>
      </c>
      <c r="AU198">
        <v>2013</v>
      </c>
      <c r="AV198">
        <v>42</v>
      </c>
      <c r="AW198">
        <v>3</v>
      </c>
      <c r="AX198" t="s">
        <v>74</v>
      </c>
      <c r="AY198" t="s">
        <v>74</v>
      </c>
      <c r="AZ198" t="s">
        <v>74</v>
      </c>
      <c r="BA198" t="s">
        <v>74</v>
      </c>
      <c r="BB198">
        <v>471</v>
      </c>
      <c r="BC198">
        <v>490</v>
      </c>
      <c r="BD198" t="s">
        <v>74</v>
      </c>
      <c r="BE198" t="s">
        <v>3976</v>
      </c>
      <c r="BF198" t="str">
        <f>HYPERLINK("http://dx.doi.org/10.1111/j.1502-3885.2012.00300.x","http://dx.doi.org/10.1111/j.1502-3885.2012.00300.x")</f>
        <v>http://dx.doi.org/10.1111/j.1502-3885.2012.00300.x</v>
      </c>
      <c r="BG198" t="s">
        <v>74</v>
      </c>
      <c r="BH198" t="s">
        <v>74</v>
      </c>
      <c r="BI198">
        <v>20</v>
      </c>
      <c r="BJ198" t="s">
        <v>650</v>
      </c>
      <c r="BK198" t="s">
        <v>102</v>
      </c>
      <c r="BL198" t="s">
        <v>651</v>
      </c>
      <c r="BM198" t="s">
        <v>3654</v>
      </c>
      <c r="BN198" t="s">
        <v>74</v>
      </c>
      <c r="BO198" t="s">
        <v>74</v>
      </c>
      <c r="BP198" t="s">
        <v>74</v>
      </c>
      <c r="BQ198" t="s">
        <v>74</v>
      </c>
      <c r="BR198" t="s">
        <v>105</v>
      </c>
      <c r="BS198" t="s">
        <v>3977</v>
      </c>
      <c r="BT198" t="str">
        <f>HYPERLINK("https%3A%2F%2Fwww.webofscience.com%2Fwos%2Fwoscc%2Ffull-record%2FWOS:000320782800001","View Full Record in Web of Science")</f>
        <v>View Full Record in Web of Science</v>
      </c>
    </row>
    <row r="199" spans="1:72" x14ac:dyDescent="0.15">
      <c r="A199" t="s">
        <v>72</v>
      </c>
      <c r="B199" t="s">
        <v>3962</v>
      </c>
      <c r="C199" t="s">
        <v>74</v>
      </c>
      <c r="D199" t="s">
        <v>74</v>
      </c>
      <c r="E199" t="s">
        <v>74</v>
      </c>
      <c r="F199" t="s">
        <v>3963</v>
      </c>
      <c r="G199" t="s">
        <v>74</v>
      </c>
      <c r="H199" t="s">
        <v>74</v>
      </c>
      <c r="I199" t="s">
        <v>3978</v>
      </c>
      <c r="J199" t="s">
        <v>3639</v>
      </c>
      <c r="K199" t="s">
        <v>74</v>
      </c>
      <c r="L199" t="s">
        <v>74</v>
      </c>
      <c r="M199" t="s">
        <v>78</v>
      </c>
      <c r="N199" t="s">
        <v>1459</v>
      </c>
      <c r="O199" t="s">
        <v>74</v>
      </c>
      <c r="P199" t="s">
        <v>74</v>
      </c>
      <c r="Q199" t="s">
        <v>74</v>
      </c>
      <c r="R199" t="s">
        <v>74</v>
      </c>
      <c r="S199" t="s">
        <v>74</v>
      </c>
      <c r="T199" t="s">
        <v>74</v>
      </c>
      <c r="U199" t="s">
        <v>3979</v>
      </c>
      <c r="V199" t="s">
        <v>3980</v>
      </c>
      <c r="W199" t="s">
        <v>3967</v>
      </c>
      <c r="X199" t="s">
        <v>3968</v>
      </c>
      <c r="Y199" t="s">
        <v>3969</v>
      </c>
      <c r="Z199" t="s">
        <v>3970</v>
      </c>
      <c r="AA199" t="s">
        <v>3971</v>
      </c>
      <c r="AB199" t="s">
        <v>3981</v>
      </c>
      <c r="AC199" t="s">
        <v>3982</v>
      </c>
      <c r="AD199" t="s">
        <v>3983</v>
      </c>
      <c r="AE199" t="s">
        <v>3984</v>
      </c>
      <c r="AF199" t="s">
        <v>74</v>
      </c>
      <c r="AG199">
        <v>103</v>
      </c>
      <c r="AH199">
        <v>16</v>
      </c>
      <c r="AI199">
        <v>16</v>
      </c>
      <c r="AJ199">
        <v>0</v>
      </c>
      <c r="AK199">
        <v>45</v>
      </c>
      <c r="AL199" t="s">
        <v>368</v>
      </c>
      <c r="AM199" t="s">
        <v>369</v>
      </c>
      <c r="AN199" t="s">
        <v>370</v>
      </c>
      <c r="AO199" t="s">
        <v>3650</v>
      </c>
      <c r="AP199" t="s">
        <v>3651</v>
      </c>
      <c r="AQ199" t="s">
        <v>74</v>
      </c>
      <c r="AR199" t="s">
        <v>3639</v>
      </c>
      <c r="AS199" t="s">
        <v>3652</v>
      </c>
      <c r="AT199" t="s">
        <v>2831</v>
      </c>
      <c r="AU199">
        <v>2013</v>
      </c>
      <c r="AV199">
        <v>42</v>
      </c>
      <c r="AW199">
        <v>3</v>
      </c>
      <c r="AX199" t="s">
        <v>74</v>
      </c>
      <c r="AY199" t="s">
        <v>74</v>
      </c>
      <c r="AZ199" t="s">
        <v>74</v>
      </c>
      <c r="BA199" t="s">
        <v>74</v>
      </c>
      <c r="BB199">
        <v>491</v>
      </c>
      <c r="BC199">
        <v>510</v>
      </c>
      <c r="BD199" t="s">
        <v>74</v>
      </c>
      <c r="BE199" t="s">
        <v>3985</v>
      </c>
      <c r="BF199" t="str">
        <f>HYPERLINK("http://dx.doi.org/10.1111/j.1502-3885.2012.00301.x","http://dx.doi.org/10.1111/j.1502-3885.2012.00301.x")</f>
        <v>http://dx.doi.org/10.1111/j.1502-3885.2012.00301.x</v>
      </c>
      <c r="BG199" t="s">
        <v>74</v>
      </c>
      <c r="BH199" t="s">
        <v>74</v>
      </c>
      <c r="BI199">
        <v>20</v>
      </c>
      <c r="BJ199" t="s">
        <v>650</v>
      </c>
      <c r="BK199" t="s">
        <v>102</v>
      </c>
      <c r="BL199" t="s">
        <v>651</v>
      </c>
      <c r="BM199" t="s">
        <v>3654</v>
      </c>
      <c r="BN199" t="s">
        <v>74</v>
      </c>
      <c r="BO199" t="s">
        <v>104</v>
      </c>
      <c r="BP199" t="s">
        <v>74</v>
      </c>
      <c r="BQ199" t="s">
        <v>74</v>
      </c>
      <c r="BR199" t="s">
        <v>105</v>
      </c>
      <c r="BS199" t="s">
        <v>3986</v>
      </c>
      <c r="BT199" t="str">
        <f>HYPERLINK("https%3A%2F%2Fwww.webofscience.com%2Fwos%2Fwoscc%2Ffull-record%2FWOS:000320782800002","View Full Record in Web of Science")</f>
        <v>View Full Record in Web of Science</v>
      </c>
    </row>
    <row r="200" spans="1:72" x14ac:dyDescent="0.15">
      <c r="A200" t="s">
        <v>72</v>
      </c>
      <c r="B200" t="s">
        <v>3987</v>
      </c>
      <c r="C200" t="s">
        <v>74</v>
      </c>
      <c r="D200" t="s">
        <v>74</v>
      </c>
      <c r="E200" t="s">
        <v>74</v>
      </c>
      <c r="F200" t="s">
        <v>3988</v>
      </c>
      <c r="G200" t="s">
        <v>74</v>
      </c>
      <c r="H200" t="s">
        <v>74</v>
      </c>
      <c r="I200" t="s">
        <v>3989</v>
      </c>
      <c r="J200" t="s">
        <v>1257</v>
      </c>
      <c r="K200" t="s">
        <v>74</v>
      </c>
      <c r="L200" t="s">
        <v>74</v>
      </c>
      <c r="M200" t="s">
        <v>78</v>
      </c>
      <c r="N200" t="s">
        <v>79</v>
      </c>
      <c r="O200" t="s">
        <v>74</v>
      </c>
      <c r="P200" t="s">
        <v>74</v>
      </c>
      <c r="Q200" t="s">
        <v>74</v>
      </c>
      <c r="R200" t="s">
        <v>74</v>
      </c>
      <c r="S200" t="s">
        <v>74</v>
      </c>
      <c r="T200" t="s">
        <v>3990</v>
      </c>
      <c r="U200" t="s">
        <v>3991</v>
      </c>
      <c r="V200" t="s">
        <v>3992</v>
      </c>
      <c r="W200" t="s">
        <v>3993</v>
      </c>
      <c r="X200" t="s">
        <v>3994</v>
      </c>
      <c r="Y200" t="s">
        <v>3995</v>
      </c>
      <c r="Z200" t="s">
        <v>3996</v>
      </c>
      <c r="AA200" t="s">
        <v>74</v>
      </c>
      <c r="AB200" t="s">
        <v>3563</v>
      </c>
      <c r="AC200" t="s">
        <v>3997</v>
      </c>
      <c r="AD200" t="s">
        <v>3998</v>
      </c>
      <c r="AE200" t="s">
        <v>3999</v>
      </c>
      <c r="AF200" t="s">
        <v>74</v>
      </c>
      <c r="AG200">
        <v>91</v>
      </c>
      <c r="AH200">
        <v>38</v>
      </c>
      <c r="AI200">
        <v>47</v>
      </c>
      <c r="AJ200">
        <v>1</v>
      </c>
      <c r="AK200">
        <v>45</v>
      </c>
      <c r="AL200" t="s">
        <v>506</v>
      </c>
      <c r="AM200" t="s">
        <v>442</v>
      </c>
      <c r="AN200" t="s">
        <v>507</v>
      </c>
      <c r="AO200" t="s">
        <v>1269</v>
      </c>
      <c r="AP200" t="s">
        <v>74</v>
      </c>
      <c r="AQ200" t="s">
        <v>74</v>
      </c>
      <c r="AR200" t="s">
        <v>1271</v>
      </c>
      <c r="AS200" t="s">
        <v>1272</v>
      </c>
      <c r="AT200" t="s">
        <v>2831</v>
      </c>
      <c r="AU200">
        <v>2013</v>
      </c>
      <c r="AV200">
        <v>77</v>
      </c>
      <c r="AW200" t="s">
        <v>74</v>
      </c>
      <c r="AX200" t="s">
        <v>74</v>
      </c>
      <c r="AY200" t="s">
        <v>74</v>
      </c>
      <c r="AZ200" t="s">
        <v>74</v>
      </c>
      <c r="BA200" t="s">
        <v>74</v>
      </c>
      <c r="BB200">
        <v>36</v>
      </c>
      <c r="BC200">
        <v>49</v>
      </c>
      <c r="BD200" t="s">
        <v>74</v>
      </c>
      <c r="BE200" t="s">
        <v>4000</v>
      </c>
      <c r="BF200" t="str">
        <f>HYPERLINK("http://dx.doi.org/10.1016/j.dsr.2013.03.001","http://dx.doi.org/10.1016/j.dsr.2013.03.001")</f>
        <v>http://dx.doi.org/10.1016/j.dsr.2013.03.001</v>
      </c>
      <c r="BG200" t="s">
        <v>74</v>
      </c>
      <c r="BH200" t="s">
        <v>74</v>
      </c>
      <c r="BI200">
        <v>14</v>
      </c>
      <c r="BJ200" t="s">
        <v>327</v>
      </c>
      <c r="BK200" t="s">
        <v>102</v>
      </c>
      <c r="BL200" t="s">
        <v>327</v>
      </c>
      <c r="BM200" t="s">
        <v>3668</v>
      </c>
      <c r="BN200" t="s">
        <v>74</v>
      </c>
      <c r="BO200" t="s">
        <v>74</v>
      </c>
      <c r="BP200" t="s">
        <v>74</v>
      </c>
      <c r="BQ200" t="s">
        <v>74</v>
      </c>
      <c r="BR200" t="s">
        <v>105</v>
      </c>
      <c r="BS200" t="s">
        <v>4001</v>
      </c>
      <c r="BT200" t="str">
        <f>HYPERLINK("https%3A%2F%2Fwww.webofscience.com%2Fwos%2Fwoscc%2Ffull-record%2FWOS:000320494100004","View Full Record in Web of Science")</f>
        <v>View Full Record in Web of Science</v>
      </c>
    </row>
    <row r="201" spans="1:72" x14ac:dyDescent="0.15">
      <c r="A201" t="s">
        <v>72</v>
      </c>
      <c r="B201" t="s">
        <v>4002</v>
      </c>
      <c r="C201" t="s">
        <v>74</v>
      </c>
      <c r="D201" t="s">
        <v>74</v>
      </c>
      <c r="E201" t="s">
        <v>74</v>
      </c>
      <c r="F201" t="s">
        <v>4003</v>
      </c>
      <c r="G201" t="s">
        <v>74</v>
      </c>
      <c r="H201" t="s">
        <v>74</v>
      </c>
      <c r="I201" t="s">
        <v>4004</v>
      </c>
      <c r="J201" t="s">
        <v>1257</v>
      </c>
      <c r="K201" t="s">
        <v>74</v>
      </c>
      <c r="L201" t="s">
        <v>74</v>
      </c>
      <c r="M201" t="s">
        <v>78</v>
      </c>
      <c r="N201" t="s">
        <v>79</v>
      </c>
      <c r="O201" t="s">
        <v>74</v>
      </c>
      <c r="P201" t="s">
        <v>74</v>
      </c>
      <c r="Q201" t="s">
        <v>74</v>
      </c>
      <c r="R201" t="s">
        <v>74</v>
      </c>
      <c r="S201" t="s">
        <v>74</v>
      </c>
      <c r="T201" t="s">
        <v>4005</v>
      </c>
      <c r="U201" t="s">
        <v>4006</v>
      </c>
      <c r="V201" t="s">
        <v>4007</v>
      </c>
      <c r="W201" t="s">
        <v>4008</v>
      </c>
      <c r="X201" t="s">
        <v>4009</v>
      </c>
      <c r="Y201" t="s">
        <v>4010</v>
      </c>
      <c r="Z201" t="s">
        <v>4011</v>
      </c>
      <c r="AA201" t="s">
        <v>74</v>
      </c>
      <c r="AB201" t="s">
        <v>74</v>
      </c>
      <c r="AC201" t="s">
        <v>74</v>
      </c>
      <c r="AD201" t="s">
        <v>74</v>
      </c>
      <c r="AE201" t="s">
        <v>74</v>
      </c>
      <c r="AF201" t="s">
        <v>74</v>
      </c>
      <c r="AG201">
        <v>68</v>
      </c>
      <c r="AH201">
        <v>49</v>
      </c>
      <c r="AI201">
        <v>63</v>
      </c>
      <c r="AJ201">
        <v>3</v>
      </c>
      <c r="AK201">
        <v>99</v>
      </c>
      <c r="AL201" t="s">
        <v>506</v>
      </c>
      <c r="AM201" t="s">
        <v>442</v>
      </c>
      <c r="AN201" t="s">
        <v>507</v>
      </c>
      <c r="AO201" t="s">
        <v>1269</v>
      </c>
      <c r="AP201" t="s">
        <v>1270</v>
      </c>
      <c r="AQ201" t="s">
        <v>74</v>
      </c>
      <c r="AR201" t="s">
        <v>1271</v>
      </c>
      <c r="AS201" t="s">
        <v>1272</v>
      </c>
      <c r="AT201" t="s">
        <v>2831</v>
      </c>
      <c r="AU201">
        <v>2013</v>
      </c>
      <c r="AV201">
        <v>77</v>
      </c>
      <c r="AW201" t="s">
        <v>74</v>
      </c>
      <c r="AX201" t="s">
        <v>74</v>
      </c>
      <c r="AY201" t="s">
        <v>74</v>
      </c>
      <c r="AZ201" t="s">
        <v>74</v>
      </c>
      <c r="BA201" t="s">
        <v>74</v>
      </c>
      <c r="BB201">
        <v>63</v>
      </c>
      <c r="BC201">
        <v>74</v>
      </c>
      <c r="BD201" t="s">
        <v>74</v>
      </c>
      <c r="BE201" t="s">
        <v>4012</v>
      </c>
      <c r="BF201" t="str">
        <f>HYPERLINK("http://dx.doi.org/10.1016/j.dsr.2013.02.005","http://dx.doi.org/10.1016/j.dsr.2013.02.005")</f>
        <v>http://dx.doi.org/10.1016/j.dsr.2013.02.005</v>
      </c>
      <c r="BG201" t="s">
        <v>74</v>
      </c>
      <c r="BH201" t="s">
        <v>74</v>
      </c>
      <c r="BI201">
        <v>12</v>
      </c>
      <c r="BJ201" t="s">
        <v>327</v>
      </c>
      <c r="BK201" t="s">
        <v>102</v>
      </c>
      <c r="BL201" t="s">
        <v>327</v>
      </c>
      <c r="BM201" t="s">
        <v>3668</v>
      </c>
      <c r="BN201" t="s">
        <v>74</v>
      </c>
      <c r="BO201" t="s">
        <v>74</v>
      </c>
      <c r="BP201" t="s">
        <v>74</v>
      </c>
      <c r="BQ201" t="s">
        <v>74</v>
      </c>
      <c r="BR201" t="s">
        <v>105</v>
      </c>
      <c r="BS201" t="s">
        <v>4013</v>
      </c>
      <c r="BT201" t="str">
        <f>HYPERLINK("https%3A%2F%2Fwww.webofscience.com%2Fwos%2Fwoscc%2Ffull-record%2FWOS:000320494100006","View Full Record in Web of Science")</f>
        <v>View Full Record in Web of Science</v>
      </c>
    </row>
    <row r="202" spans="1:72" x14ac:dyDescent="0.15">
      <c r="A202" t="s">
        <v>72</v>
      </c>
      <c r="B202" t="s">
        <v>4014</v>
      </c>
      <c r="C202" t="s">
        <v>74</v>
      </c>
      <c r="D202" t="s">
        <v>74</v>
      </c>
      <c r="E202" t="s">
        <v>74</v>
      </c>
      <c r="F202" t="s">
        <v>4015</v>
      </c>
      <c r="G202" t="s">
        <v>74</v>
      </c>
      <c r="H202" t="s">
        <v>74</v>
      </c>
      <c r="I202" t="s">
        <v>4016</v>
      </c>
      <c r="J202" t="s">
        <v>4017</v>
      </c>
      <c r="K202" t="s">
        <v>74</v>
      </c>
      <c r="L202" t="s">
        <v>74</v>
      </c>
      <c r="M202" t="s">
        <v>78</v>
      </c>
      <c r="N202" t="s">
        <v>79</v>
      </c>
      <c r="O202" t="s">
        <v>74</v>
      </c>
      <c r="P202" t="s">
        <v>74</v>
      </c>
      <c r="Q202" t="s">
        <v>74</v>
      </c>
      <c r="R202" t="s">
        <v>74</v>
      </c>
      <c r="S202" t="s">
        <v>74</v>
      </c>
      <c r="T202" t="s">
        <v>4018</v>
      </c>
      <c r="U202" t="s">
        <v>4019</v>
      </c>
      <c r="V202" t="s">
        <v>4020</v>
      </c>
      <c r="W202" t="s">
        <v>4021</v>
      </c>
      <c r="X202" t="s">
        <v>4022</v>
      </c>
      <c r="Y202" t="s">
        <v>4023</v>
      </c>
      <c r="Z202" t="s">
        <v>4024</v>
      </c>
      <c r="AA202" t="s">
        <v>4025</v>
      </c>
      <c r="AB202" t="s">
        <v>4026</v>
      </c>
      <c r="AC202" t="s">
        <v>4027</v>
      </c>
      <c r="AD202" t="s">
        <v>4028</v>
      </c>
      <c r="AE202" t="s">
        <v>4029</v>
      </c>
      <c r="AF202" t="s">
        <v>74</v>
      </c>
      <c r="AG202">
        <v>34</v>
      </c>
      <c r="AH202">
        <v>30</v>
      </c>
      <c r="AI202">
        <v>33</v>
      </c>
      <c r="AJ202">
        <v>73</v>
      </c>
      <c r="AK202">
        <v>342</v>
      </c>
      <c r="AL202" t="s">
        <v>4030</v>
      </c>
      <c r="AM202" t="s">
        <v>2382</v>
      </c>
      <c r="AN202" t="s">
        <v>2383</v>
      </c>
      <c r="AO202" t="s">
        <v>4031</v>
      </c>
      <c r="AP202" t="s">
        <v>74</v>
      </c>
      <c r="AQ202" t="s">
        <v>74</v>
      </c>
      <c r="AR202" t="s">
        <v>4032</v>
      </c>
      <c r="AS202" t="s">
        <v>4033</v>
      </c>
      <c r="AT202" t="s">
        <v>4034</v>
      </c>
      <c r="AU202">
        <v>2013</v>
      </c>
      <c r="AV202">
        <v>8</v>
      </c>
      <c r="AW202">
        <v>3</v>
      </c>
      <c r="AX202" t="s">
        <v>74</v>
      </c>
      <c r="AY202" t="s">
        <v>74</v>
      </c>
      <c r="AZ202" t="s">
        <v>74</v>
      </c>
      <c r="BA202" t="s">
        <v>74</v>
      </c>
      <c r="BB202" t="s">
        <v>74</v>
      </c>
      <c r="BC202" t="s">
        <v>74</v>
      </c>
      <c r="BD202">
        <v>34031</v>
      </c>
      <c r="BE202" t="s">
        <v>4035</v>
      </c>
      <c r="BF202" t="str">
        <f>HYPERLINK("http://dx.doi.org/10.1088/1748-9326/8/3/034031","http://dx.doi.org/10.1088/1748-9326/8/3/034031")</f>
        <v>http://dx.doi.org/10.1088/1748-9326/8/3/034031</v>
      </c>
      <c r="BG202" t="s">
        <v>74</v>
      </c>
      <c r="BH202" t="s">
        <v>74</v>
      </c>
      <c r="BI202">
        <v>9</v>
      </c>
      <c r="BJ202" t="s">
        <v>3227</v>
      </c>
      <c r="BK202" t="s">
        <v>102</v>
      </c>
      <c r="BL202" t="s">
        <v>3228</v>
      </c>
      <c r="BM202" t="s">
        <v>4036</v>
      </c>
      <c r="BN202" t="s">
        <v>74</v>
      </c>
      <c r="BO202" t="s">
        <v>4037</v>
      </c>
      <c r="BP202" t="s">
        <v>74</v>
      </c>
      <c r="BQ202" t="s">
        <v>74</v>
      </c>
      <c r="BR202" t="s">
        <v>105</v>
      </c>
      <c r="BS202" t="s">
        <v>4038</v>
      </c>
      <c r="BT202" t="str">
        <f>HYPERLINK("https%3A%2F%2Fwww.webofscience.com%2Fwos%2Fwoscc%2Ffull-record%2FWOS:000325247100037","View Full Record in Web of Science")</f>
        <v>View Full Record in Web of Science</v>
      </c>
    </row>
    <row r="203" spans="1:72" x14ac:dyDescent="0.15">
      <c r="A203" t="s">
        <v>72</v>
      </c>
      <c r="B203" t="s">
        <v>4039</v>
      </c>
      <c r="C203" t="s">
        <v>74</v>
      </c>
      <c r="D203" t="s">
        <v>74</v>
      </c>
      <c r="E203" t="s">
        <v>74</v>
      </c>
      <c r="F203" t="s">
        <v>4040</v>
      </c>
      <c r="G203" t="s">
        <v>74</v>
      </c>
      <c r="H203" t="s">
        <v>74</v>
      </c>
      <c r="I203" t="s">
        <v>4041</v>
      </c>
      <c r="J203" t="s">
        <v>4042</v>
      </c>
      <c r="K203" t="s">
        <v>74</v>
      </c>
      <c r="L203" t="s">
        <v>74</v>
      </c>
      <c r="M203" t="s">
        <v>78</v>
      </c>
      <c r="N203" t="s">
        <v>79</v>
      </c>
      <c r="O203" t="s">
        <v>74</v>
      </c>
      <c r="P203" t="s">
        <v>74</v>
      </c>
      <c r="Q203" t="s">
        <v>74</v>
      </c>
      <c r="R203" t="s">
        <v>74</v>
      </c>
      <c r="S203" t="s">
        <v>74</v>
      </c>
      <c r="T203" t="s">
        <v>4043</v>
      </c>
      <c r="U203" t="s">
        <v>4044</v>
      </c>
      <c r="V203" t="s">
        <v>4045</v>
      </c>
      <c r="W203" t="s">
        <v>4046</v>
      </c>
      <c r="X203" t="s">
        <v>4047</v>
      </c>
      <c r="Y203" t="s">
        <v>4048</v>
      </c>
      <c r="Z203" t="s">
        <v>4049</v>
      </c>
      <c r="AA203" t="s">
        <v>4050</v>
      </c>
      <c r="AB203" t="s">
        <v>4051</v>
      </c>
      <c r="AC203" t="s">
        <v>4052</v>
      </c>
      <c r="AD203" t="s">
        <v>4053</v>
      </c>
      <c r="AE203" t="s">
        <v>4054</v>
      </c>
      <c r="AF203" t="s">
        <v>74</v>
      </c>
      <c r="AG203">
        <v>41</v>
      </c>
      <c r="AH203">
        <v>31</v>
      </c>
      <c r="AI203">
        <v>34</v>
      </c>
      <c r="AJ203">
        <v>2</v>
      </c>
      <c r="AK203">
        <v>10</v>
      </c>
      <c r="AL203" t="s">
        <v>529</v>
      </c>
      <c r="AM203" t="s">
        <v>391</v>
      </c>
      <c r="AN203" t="s">
        <v>1220</v>
      </c>
      <c r="AO203" t="s">
        <v>4055</v>
      </c>
      <c r="AP203" t="s">
        <v>4056</v>
      </c>
      <c r="AQ203" t="s">
        <v>74</v>
      </c>
      <c r="AR203" t="s">
        <v>4057</v>
      </c>
      <c r="AS203" t="s">
        <v>4058</v>
      </c>
      <c r="AT203" t="s">
        <v>2831</v>
      </c>
      <c r="AU203">
        <v>2013</v>
      </c>
      <c r="AV203">
        <v>36</v>
      </c>
      <c r="AW203">
        <v>4</v>
      </c>
      <c r="AX203" t="s">
        <v>74</v>
      </c>
      <c r="AY203" t="s">
        <v>74</v>
      </c>
      <c r="AZ203" t="s">
        <v>74</v>
      </c>
      <c r="BA203" t="s">
        <v>74</v>
      </c>
      <c r="BB203">
        <v>728</v>
      </c>
      <c r="BC203">
        <v>736</v>
      </c>
      <c r="BD203" t="s">
        <v>74</v>
      </c>
      <c r="BE203" t="s">
        <v>4059</v>
      </c>
      <c r="BF203" t="str">
        <f>HYPERLINK("http://dx.doi.org/10.1007/s12237-013-9591-6","http://dx.doi.org/10.1007/s12237-013-9591-6")</f>
        <v>http://dx.doi.org/10.1007/s12237-013-9591-6</v>
      </c>
      <c r="BG203" t="s">
        <v>74</v>
      </c>
      <c r="BH203" t="s">
        <v>74</v>
      </c>
      <c r="BI203">
        <v>9</v>
      </c>
      <c r="BJ203" t="s">
        <v>4060</v>
      </c>
      <c r="BK203" t="s">
        <v>102</v>
      </c>
      <c r="BL203" t="s">
        <v>163</v>
      </c>
      <c r="BM203" t="s">
        <v>4061</v>
      </c>
      <c r="BN203" t="s">
        <v>74</v>
      </c>
      <c r="BO203" t="s">
        <v>74</v>
      </c>
      <c r="BP203" t="s">
        <v>74</v>
      </c>
      <c r="BQ203" t="s">
        <v>74</v>
      </c>
      <c r="BR203" t="s">
        <v>105</v>
      </c>
      <c r="BS203" t="s">
        <v>4062</v>
      </c>
      <c r="BT203" t="str">
        <f>HYPERLINK("https%3A%2F%2Fwww.webofscience.com%2Fwos%2Fwoscc%2Ffull-record%2FWOS:000319882400005","View Full Record in Web of Science")</f>
        <v>View Full Record in Web of Science</v>
      </c>
    </row>
    <row r="204" spans="1:72" x14ac:dyDescent="0.15">
      <c r="A204" t="s">
        <v>72</v>
      </c>
      <c r="B204" t="s">
        <v>4063</v>
      </c>
      <c r="C204" t="s">
        <v>74</v>
      </c>
      <c r="D204" t="s">
        <v>74</v>
      </c>
      <c r="E204" t="s">
        <v>74</v>
      </c>
      <c r="F204" t="s">
        <v>4064</v>
      </c>
      <c r="G204" t="s">
        <v>74</v>
      </c>
      <c r="H204" t="s">
        <v>74</v>
      </c>
      <c r="I204" t="s">
        <v>4065</v>
      </c>
      <c r="J204" t="s">
        <v>4066</v>
      </c>
      <c r="K204" t="s">
        <v>74</v>
      </c>
      <c r="L204" t="s">
        <v>74</v>
      </c>
      <c r="M204" t="s">
        <v>78</v>
      </c>
      <c r="N204" t="s">
        <v>79</v>
      </c>
      <c r="O204" t="s">
        <v>74</v>
      </c>
      <c r="P204" t="s">
        <v>74</v>
      </c>
      <c r="Q204" t="s">
        <v>74</v>
      </c>
      <c r="R204" t="s">
        <v>74</v>
      </c>
      <c r="S204" t="s">
        <v>74</v>
      </c>
      <c r="T204" t="s">
        <v>4067</v>
      </c>
      <c r="U204" t="s">
        <v>4068</v>
      </c>
      <c r="V204" t="s">
        <v>4069</v>
      </c>
      <c r="W204" t="s">
        <v>4070</v>
      </c>
      <c r="X204" t="s">
        <v>2692</v>
      </c>
      <c r="Y204" t="s">
        <v>4071</v>
      </c>
      <c r="Z204" t="s">
        <v>3094</v>
      </c>
      <c r="AA204" t="s">
        <v>4072</v>
      </c>
      <c r="AB204" t="s">
        <v>4073</v>
      </c>
      <c r="AC204" t="s">
        <v>4074</v>
      </c>
      <c r="AD204" t="s">
        <v>2157</v>
      </c>
      <c r="AE204" t="s">
        <v>4075</v>
      </c>
      <c r="AF204" t="s">
        <v>74</v>
      </c>
      <c r="AG204">
        <v>82</v>
      </c>
      <c r="AH204">
        <v>86</v>
      </c>
      <c r="AI204">
        <v>99</v>
      </c>
      <c r="AJ204">
        <v>6</v>
      </c>
      <c r="AK204">
        <v>98</v>
      </c>
      <c r="AL204" t="s">
        <v>441</v>
      </c>
      <c r="AM204" t="s">
        <v>442</v>
      </c>
      <c r="AN204" t="s">
        <v>443</v>
      </c>
      <c r="AO204" t="s">
        <v>4076</v>
      </c>
      <c r="AP204" t="s">
        <v>4077</v>
      </c>
      <c r="AQ204" t="s">
        <v>74</v>
      </c>
      <c r="AR204" t="s">
        <v>4078</v>
      </c>
      <c r="AS204" t="s">
        <v>4079</v>
      </c>
      <c r="AT204" t="s">
        <v>2831</v>
      </c>
      <c r="AU204">
        <v>2013</v>
      </c>
      <c r="AV204">
        <v>85</v>
      </c>
      <c r="AW204">
        <v>1</v>
      </c>
      <c r="AX204" t="s">
        <v>74</v>
      </c>
      <c r="AY204" t="s">
        <v>74</v>
      </c>
      <c r="AZ204" t="s">
        <v>74</v>
      </c>
      <c r="BA204" t="s">
        <v>74</v>
      </c>
      <c r="BB204">
        <v>128</v>
      </c>
      <c r="BC204">
        <v>142</v>
      </c>
      <c r="BD204" t="s">
        <v>74</v>
      </c>
      <c r="BE204" t="s">
        <v>4080</v>
      </c>
      <c r="BF204" t="str">
        <f>HYPERLINK("http://dx.doi.org/10.1111/1574-6941.12105","http://dx.doi.org/10.1111/1574-6941.12105")</f>
        <v>http://dx.doi.org/10.1111/1574-6941.12105</v>
      </c>
      <c r="BG204" t="s">
        <v>74</v>
      </c>
      <c r="BH204" t="s">
        <v>74</v>
      </c>
      <c r="BI204">
        <v>15</v>
      </c>
      <c r="BJ204" t="s">
        <v>3107</v>
      </c>
      <c r="BK204" t="s">
        <v>102</v>
      </c>
      <c r="BL204" t="s">
        <v>3107</v>
      </c>
      <c r="BM204" t="s">
        <v>4081</v>
      </c>
      <c r="BN204">
        <v>23480659</v>
      </c>
      <c r="BO204" t="s">
        <v>104</v>
      </c>
      <c r="BP204" t="s">
        <v>74</v>
      </c>
      <c r="BQ204" t="s">
        <v>74</v>
      </c>
      <c r="BR204" t="s">
        <v>105</v>
      </c>
      <c r="BS204" t="s">
        <v>4082</v>
      </c>
      <c r="BT204" t="str">
        <f>HYPERLINK("https%3A%2F%2Fwww.webofscience.com%2Fwos%2Fwoscc%2Ffull-record%2FWOS:000320556500012","View Full Record in Web of Science")</f>
        <v>View Full Record in Web of Science</v>
      </c>
    </row>
    <row r="205" spans="1:72" x14ac:dyDescent="0.15">
      <c r="A205" t="s">
        <v>72</v>
      </c>
      <c r="B205" t="s">
        <v>4083</v>
      </c>
      <c r="C205" t="s">
        <v>74</v>
      </c>
      <c r="D205" t="s">
        <v>74</v>
      </c>
      <c r="E205" t="s">
        <v>74</v>
      </c>
      <c r="F205" t="s">
        <v>4084</v>
      </c>
      <c r="G205" t="s">
        <v>74</v>
      </c>
      <c r="H205" t="s">
        <v>74</v>
      </c>
      <c r="I205" t="s">
        <v>4085</v>
      </c>
      <c r="J205" t="s">
        <v>4086</v>
      </c>
      <c r="K205" t="s">
        <v>74</v>
      </c>
      <c r="L205" t="s">
        <v>74</v>
      </c>
      <c r="M205" t="s">
        <v>78</v>
      </c>
      <c r="N205" t="s">
        <v>79</v>
      </c>
      <c r="O205" t="s">
        <v>74</v>
      </c>
      <c r="P205" t="s">
        <v>74</v>
      </c>
      <c r="Q205" t="s">
        <v>74</v>
      </c>
      <c r="R205" t="s">
        <v>74</v>
      </c>
      <c r="S205" t="s">
        <v>74</v>
      </c>
      <c r="T205" t="s">
        <v>4087</v>
      </c>
      <c r="U205" t="s">
        <v>4088</v>
      </c>
      <c r="V205" t="s">
        <v>4089</v>
      </c>
      <c r="W205" t="s">
        <v>4090</v>
      </c>
      <c r="X205" t="s">
        <v>4091</v>
      </c>
      <c r="Y205" t="s">
        <v>4092</v>
      </c>
      <c r="Z205" t="s">
        <v>4093</v>
      </c>
      <c r="AA205" t="s">
        <v>4094</v>
      </c>
      <c r="AB205" t="s">
        <v>74</v>
      </c>
      <c r="AC205" t="s">
        <v>4095</v>
      </c>
      <c r="AD205" t="s">
        <v>4096</v>
      </c>
      <c r="AE205" t="s">
        <v>4097</v>
      </c>
      <c r="AF205" t="s">
        <v>74</v>
      </c>
      <c r="AG205">
        <v>22</v>
      </c>
      <c r="AH205">
        <v>7</v>
      </c>
      <c r="AI205">
        <v>7</v>
      </c>
      <c r="AJ205">
        <v>4</v>
      </c>
      <c r="AK205">
        <v>51</v>
      </c>
      <c r="AL205" t="s">
        <v>4098</v>
      </c>
      <c r="AM205" t="s">
        <v>1826</v>
      </c>
      <c r="AN205" t="s">
        <v>4099</v>
      </c>
      <c r="AO205" t="s">
        <v>4100</v>
      </c>
      <c r="AP205" t="s">
        <v>74</v>
      </c>
      <c r="AQ205" t="s">
        <v>74</v>
      </c>
      <c r="AR205" t="s">
        <v>4101</v>
      </c>
      <c r="AS205" t="s">
        <v>4102</v>
      </c>
      <c r="AT205" t="s">
        <v>2831</v>
      </c>
      <c r="AU205">
        <v>2013</v>
      </c>
      <c r="AV205">
        <v>14</v>
      </c>
      <c r="AW205">
        <v>7</v>
      </c>
      <c r="AX205" t="s">
        <v>74</v>
      </c>
      <c r="AY205" t="s">
        <v>74</v>
      </c>
      <c r="AZ205" t="s">
        <v>74</v>
      </c>
      <c r="BA205" t="s">
        <v>74</v>
      </c>
      <c r="BB205">
        <v>1134</v>
      </c>
      <c r="BC205">
        <v>1140</v>
      </c>
      <c r="BD205" t="s">
        <v>74</v>
      </c>
      <c r="BE205" t="s">
        <v>4103</v>
      </c>
      <c r="BF205" t="str">
        <f>HYPERLINK("http://dx.doi.org/10.1007/s12221-013-1134-z","http://dx.doi.org/10.1007/s12221-013-1134-z")</f>
        <v>http://dx.doi.org/10.1007/s12221-013-1134-z</v>
      </c>
      <c r="BG205" t="s">
        <v>74</v>
      </c>
      <c r="BH205" t="s">
        <v>74</v>
      </c>
      <c r="BI205">
        <v>7</v>
      </c>
      <c r="BJ205" t="s">
        <v>4104</v>
      </c>
      <c r="BK205" t="s">
        <v>102</v>
      </c>
      <c r="BL205" t="s">
        <v>4105</v>
      </c>
      <c r="BM205" t="s">
        <v>4106</v>
      </c>
      <c r="BN205" t="s">
        <v>74</v>
      </c>
      <c r="BO205" t="s">
        <v>74</v>
      </c>
      <c r="BP205" t="s">
        <v>74</v>
      </c>
      <c r="BQ205" t="s">
        <v>74</v>
      </c>
      <c r="BR205" t="s">
        <v>105</v>
      </c>
      <c r="BS205" t="s">
        <v>4107</v>
      </c>
      <c r="BT205" t="str">
        <f>HYPERLINK("https%3A%2F%2Fwww.webofscience.com%2Fwos%2Fwoscc%2Ffull-record%2FWOS:000322414700011","View Full Record in Web of Science")</f>
        <v>View Full Record in Web of Science</v>
      </c>
    </row>
    <row r="206" spans="1:72" x14ac:dyDescent="0.15">
      <c r="A206" t="s">
        <v>72</v>
      </c>
      <c r="B206" t="s">
        <v>4108</v>
      </c>
      <c r="C206" t="s">
        <v>74</v>
      </c>
      <c r="D206" t="s">
        <v>74</v>
      </c>
      <c r="E206" t="s">
        <v>74</v>
      </c>
      <c r="F206" t="s">
        <v>4109</v>
      </c>
      <c r="G206" t="s">
        <v>74</v>
      </c>
      <c r="H206" t="s">
        <v>74</v>
      </c>
      <c r="I206" t="s">
        <v>4110</v>
      </c>
      <c r="J206" t="s">
        <v>4111</v>
      </c>
      <c r="K206" t="s">
        <v>74</v>
      </c>
      <c r="L206" t="s">
        <v>74</v>
      </c>
      <c r="M206" t="s">
        <v>78</v>
      </c>
      <c r="N206" t="s">
        <v>1459</v>
      </c>
      <c r="O206" t="s">
        <v>74</v>
      </c>
      <c r="P206" t="s">
        <v>74</v>
      </c>
      <c r="Q206" t="s">
        <v>74</v>
      </c>
      <c r="R206" t="s">
        <v>74</v>
      </c>
      <c r="S206" t="s">
        <v>74</v>
      </c>
      <c r="T206" t="s">
        <v>74</v>
      </c>
      <c r="U206" t="s">
        <v>4112</v>
      </c>
      <c r="V206" t="s">
        <v>4113</v>
      </c>
      <c r="W206" t="s">
        <v>4114</v>
      </c>
      <c r="X206" t="s">
        <v>4115</v>
      </c>
      <c r="Y206" t="s">
        <v>4116</v>
      </c>
      <c r="Z206" t="s">
        <v>4117</v>
      </c>
      <c r="AA206" t="s">
        <v>4118</v>
      </c>
      <c r="AB206" t="s">
        <v>4119</v>
      </c>
      <c r="AC206" t="s">
        <v>4120</v>
      </c>
      <c r="AD206" t="s">
        <v>4120</v>
      </c>
      <c r="AE206" t="s">
        <v>4121</v>
      </c>
      <c r="AF206" t="s">
        <v>74</v>
      </c>
      <c r="AG206">
        <v>114</v>
      </c>
      <c r="AH206">
        <v>32</v>
      </c>
      <c r="AI206">
        <v>39</v>
      </c>
      <c r="AJ206">
        <v>4</v>
      </c>
      <c r="AK206">
        <v>119</v>
      </c>
      <c r="AL206" t="s">
        <v>368</v>
      </c>
      <c r="AM206" t="s">
        <v>369</v>
      </c>
      <c r="AN206" t="s">
        <v>370</v>
      </c>
      <c r="AO206" t="s">
        <v>4122</v>
      </c>
      <c r="AP206" t="s">
        <v>4123</v>
      </c>
      <c r="AQ206" t="s">
        <v>74</v>
      </c>
      <c r="AR206" t="s">
        <v>4111</v>
      </c>
      <c r="AS206" t="s">
        <v>4124</v>
      </c>
      <c r="AT206" t="s">
        <v>2831</v>
      </c>
      <c r="AU206">
        <v>2013</v>
      </c>
      <c r="AV206">
        <v>11</v>
      </c>
      <c r="AW206">
        <v>4</v>
      </c>
      <c r="AX206" t="s">
        <v>74</v>
      </c>
      <c r="AY206" t="s">
        <v>74</v>
      </c>
      <c r="AZ206" t="s">
        <v>74</v>
      </c>
      <c r="BA206" t="s">
        <v>74</v>
      </c>
      <c r="BB206">
        <v>377</v>
      </c>
      <c r="BC206">
        <v>395</v>
      </c>
      <c r="BD206" t="s">
        <v>74</v>
      </c>
      <c r="BE206" t="s">
        <v>4125</v>
      </c>
      <c r="BF206" t="str">
        <f>HYPERLINK("http://dx.doi.org/10.1111/gbi.12042","http://dx.doi.org/10.1111/gbi.12042")</f>
        <v>http://dx.doi.org/10.1111/gbi.12042</v>
      </c>
      <c r="BG206" t="s">
        <v>74</v>
      </c>
      <c r="BH206" t="s">
        <v>74</v>
      </c>
      <c r="BI206">
        <v>19</v>
      </c>
      <c r="BJ206" t="s">
        <v>4126</v>
      </c>
      <c r="BK206" t="s">
        <v>102</v>
      </c>
      <c r="BL206" t="s">
        <v>4127</v>
      </c>
      <c r="BM206" t="s">
        <v>4128</v>
      </c>
      <c r="BN206">
        <v>23682649</v>
      </c>
      <c r="BO206" t="s">
        <v>74</v>
      </c>
      <c r="BP206" t="s">
        <v>74</v>
      </c>
      <c r="BQ206" t="s">
        <v>74</v>
      </c>
      <c r="BR206" t="s">
        <v>105</v>
      </c>
      <c r="BS206" t="s">
        <v>4129</v>
      </c>
      <c r="BT206" t="str">
        <f>HYPERLINK("https%3A%2F%2Fwww.webofscience.com%2Fwos%2Fwoscc%2Ffull-record%2FWOS:000320552800006","View Full Record in Web of Science")</f>
        <v>View Full Record in Web of Science</v>
      </c>
    </row>
    <row r="207" spans="1:72" x14ac:dyDescent="0.15">
      <c r="A207" t="s">
        <v>72</v>
      </c>
      <c r="B207" t="s">
        <v>4130</v>
      </c>
      <c r="C207" t="s">
        <v>74</v>
      </c>
      <c r="D207" t="s">
        <v>74</v>
      </c>
      <c r="E207" t="s">
        <v>74</v>
      </c>
      <c r="F207" t="s">
        <v>4131</v>
      </c>
      <c r="G207" t="s">
        <v>74</v>
      </c>
      <c r="H207" t="s">
        <v>74</v>
      </c>
      <c r="I207" t="s">
        <v>4132</v>
      </c>
      <c r="J207" t="s">
        <v>3923</v>
      </c>
      <c r="K207" t="s">
        <v>74</v>
      </c>
      <c r="L207" t="s">
        <v>74</v>
      </c>
      <c r="M207" t="s">
        <v>78</v>
      </c>
      <c r="N207" t="s">
        <v>79</v>
      </c>
      <c r="O207" t="s">
        <v>74</v>
      </c>
      <c r="P207" t="s">
        <v>74</v>
      </c>
      <c r="Q207" t="s">
        <v>74</v>
      </c>
      <c r="R207" t="s">
        <v>74</v>
      </c>
      <c r="S207" t="s">
        <v>74</v>
      </c>
      <c r="T207" t="s">
        <v>4133</v>
      </c>
      <c r="U207" t="s">
        <v>4134</v>
      </c>
      <c r="V207" t="s">
        <v>4135</v>
      </c>
      <c r="W207" t="s">
        <v>4136</v>
      </c>
      <c r="X207" t="s">
        <v>4137</v>
      </c>
      <c r="Y207" t="s">
        <v>4138</v>
      </c>
      <c r="Z207" t="s">
        <v>4139</v>
      </c>
      <c r="AA207" t="s">
        <v>4140</v>
      </c>
      <c r="AB207" t="s">
        <v>4141</v>
      </c>
      <c r="AC207" t="s">
        <v>4142</v>
      </c>
      <c r="AD207" t="s">
        <v>4143</v>
      </c>
      <c r="AE207" t="s">
        <v>4144</v>
      </c>
      <c r="AF207" t="s">
        <v>74</v>
      </c>
      <c r="AG207">
        <v>89</v>
      </c>
      <c r="AH207">
        <v>67</v>
      </c>
      <c r="AI207">
        <v>75</v>
      </c>
      <c r="AJ207">
        <v>1</v>
      </c>
      <c r="AK207">
        <v>110</v>
      </c>
      <c r="AL207" t="s">
        <v>368</v>
      </c>
      <c r="AM207" t="s">
        <v>369</v>
      </c>
      <c r="AN207" t="s">
        <v>370</v>
      </c>
      <c r="AO207" t="s">
        <v>3936</v>
      </c>
      <c r="AP207" t="s">
        <v>3937</v>
      </c>
      <c r="AQ207" t="s">
        <v>74</v>
      </c>
      <c r="AR207" t="s">
        <v>3938</v>
      </c>
      <c r="AS207" t="s">
        <v>3939</v>
      </c>
      <c r="AT207" t="s">
        <v>2831</v>
      </c>
      <c r="AU207">
        <v>2013</v>
      </c>
      <c r="AV207">
        <v>19</v>
      </c>
      <c r="AW207">
        <v>7</v>
      </c>
      <c r="AX207" t="s">
        <v>74</v>
      </c>
      <c r="AY207" t="s">
        <v>74</v>
      </c>
      <c r="AZ207" t="s">
        <v>74</v>
      </c>
      <c r="BA207" t="s">
        <v>74</v>
      </c>
      <c r="BB207">
        <v>2251</v>
      </c>
      <c r="BC207">
        <v>2263</v>
      </c>
      <c r="BD207" t="s">
        <v>74</v>
      </c>
      <c r="BE207" t="s">
        <v>4145</v>
      </c>
      <c r="BF207" t="str">
        <f>HYPERLINK("http://dx.doi.org/10.1111/gcb.12197","http://dx.doi.org/10.1111/gcb.12197")</f>
        <v>http://dx.doi.org/10.1111/gcb.12197</v>
      </c>
      <c r="BG207" t="s">
        <v>74</v>
      </c>
      <c r="BH207" t="s">
        <v>74</v>
      </c>
      <c r="BI207">
        <v>13</v>
      </c>
      <c r="BJ207" t="s">
        <v>3941</v>
      </c>
      <c r="BK207" t="s">
        <v>102</v>
      </c>
      <c r="BL207" t="s">
        <v>1159</v>
      </c>
      <c r="BM207" t="s">
        <v>3942</v>
      </c>
      <c r="BN207">
        <v>23505025</v>
      </c>
      <c r="BO207" t="s">
        <v>4146</v>
      </c>
      <c r="BP207" t="s">
        <v>74</v>
      </c>
      <c r="BQ207" t="s">
        <v>74</v>
      </c>
      <c r="BR207" t="s">
        <v>105</v>
      </c>
      <c r="BS207" t="s">
        <v>4147</v>
      </c>
      <c r="BT207" t="str">
        <f>HYPERLINK("https%3A%2F%2Fwww.webofscience.com%2Fwos%2Fwoscc%2Ffull-record%2FWOS:000319963500023","View Full Record in Web of Science")</f>
        <v>View Full Record in Web of Science</v>
      </c>
    </row>
    <row r="208" spans="1:72" x14ac:dyDescent="0.15">
      <c r="A208" t="s">
        <v>72</v>
      </c>
      <c r="B208" t="s">
        <v>4148</v>
      </c>
      <c r="C208" t="s">
        <v>74</v>
      </c>
      <c r="D208" t="s">
        <v>74</v>
      </c>
      <c r="E208" t="s">
        <v>74</v>
      </c>
      <c r="F208" t="s">
        <v>4149</v>
      </c>
      <c r="G208" t="s">
        <v>74</v>
      </c>
      <c r="H208" t="s">
        <v>74</v>
      </c>
      <c r="I208" t="s">
        <v>4150</v>
      </c>
      <c r="J208" t="s">
        <v>657</v>
      </c>
      <c r="K208" t="s">
        <v>74</v>
      </c>
      <c r="L208" t="s">
        <v>74</v>
      </c>
      <c r="M208" t="s">
        <v>78</v>
      </c>
      <c r="N208" t="s">
        <v>79</v>
      </c>
      <c r="O208" t="s">
        <v>74</v>
      </c>
      <c r="P208" t="s">
        <v>74</v>
      </c>
      <c r="Q208" t="s">
        <v>74</v>
      </c>
      <c r="R208" t="s">
        <v>74</v>
      </c>
      <c r="S208" t="s">
        <v>74</v>
      </c>
      <c r="T208" t="s">
        <v>4151</v>
      </c>
      <c r="U208" t="s">
        <v>4152</v>
      </c>
      <c r="V208" t="s">
        <v>4153</v>
      </c>
      <c r="W208" t="s">
        <v>4154</v>
      </c>
      <c r="X208" t="s">
        <v>4155</v>
      </c>
      <c r="Y208" t="s">
        <v>4156</v>
      </c>
      <c r="Z208" t="s">
        <v>4157</v>
      </c>
      <c r="AA208" t="s">
        <v>4158</v>
      </c>
      <c r="AB208" t="s">
        <v>4159</v>
      </c>
      <c r="AC208" t="s">
        <v>4160</v>
      </c>
      <c r="AD208" t="s">
        <v>4161</v>
      </c>
      <c r="AE208" t="s">
        <v>4162</v>
      </c>
      <c r="AF208" t="s">
        <v>74</v>
      </c>
      <c r="AG208">
        <v>62</v>
      </c>
      <c r="AH208">
        <v>123</v>
      </c>
      <c r="AI208">
        <v>137</v>
      </c>
      <c r="AJ208">
        <v>2</v>
      </c>
      <c r="AK208">
        <v>68</v>
      </c>
      <c r="AL208" t="s">
        <v>4163</v>
      </c>
      <c r="AM208" t="s">
        <v>643</v>
      </c>
      <c r="AN208" t="s">
        <v>4164</v>
      </c>
      <c r="AO208" t="s">
        <v>672</v>
      </c>
      <c r="AP208" t="s">
        <v>4165</v>
      </c>
      <c r="AQ208" t="s">
        <v>74</v>
      </c>
      <c r="AR208" t="s">
        <v>673</v>
      </c>
      <c r="AS208" t="s">
        <v>674</v>
      </c>
      <c r="AT208" t="s">
        <v>2831</v>
      </c>
      <c r="AU208">
        <v>2013</v>
      </c>
      <c r="AV208">
        <v>7</v>
      </c>
      <c r="AW208">
        <v>7</v>
      </c>
      <c r="AX208" t="s">
        <v>74</v>
      </c>
      <c r="AY208" t="s">
        <v>74</v>
      </c>
      <c r="AZ208" t="s">
        <v>74</v>
      </c>
      <c r="BA208" t="s">
        <v>74</v>
      </c>
      <c r="BB208">
        <v>1434</v>
      </c>
      <c r="BC208">
        <v>1451</v>
      </c>
      <c r="BD208" t="s">
        <v>74</v>
      </c>
      <c r="BE208" t="s">
        <v>4166</v>
      </c>
      <c r="BF208" t="str">
        <f>HYPERLINK("http://dx.doi.org/10.1038/ismej.2013.77","http://dx.doi.org/10.1038/ismej.2013.77")</f>
        <v>http://dx.doi.org/10.1038/ismej.2013.77</v>
      </c>
      <c r="BG208" t="s">
        <v>74</v>
      </c>
      <c r="BH208" t="s">
        <v>74</v>
      </c>
      <c r="BI208">
        <v>18</v>
      </c>
      <c r="BJ208" t="s">
        <v>676</v>
      </c>
      <c r="BK208" t="s">
        <v>102</v>
      </c>
      <c r="BL208" t="s">
        <v>677</v>
      </c>
      <c r="BM208" t="s">
        <v>4167</v>
      </c>
      <c r="BN208">
        <v>23702515</v>
      </c>
      <c r="BO208" t="s">
        <v>1589</v>
      </c>
      <c r="BP208" t="s">
        <v>74</v>
      </c>
      <c r="BQ208" t="s">
        <v>74</v>
      </c>
      <c r="BR208" t="s">
        <v>105</v>
      </c>
      <c r="BS208" t="s">
        <v>4168</v>
      </c>
      <c r="BT208" t="str">
        <f>HYPERLINK("https%3A%2F%2Fwww.webofscience.com%2Fwos%2Fwoscc%2Ffull-record%2FWOS:000320852100018","View Full Record in Web of Science")</f>
        <v>View Full Record in Web of Science</v>
      </c>
    </row>
    <row r="209" spans="1:72" x14ac:dyDescent="0.15">
      <c r="A209" t="s">
        <v>72</v>
      </c>
      <c r="B209" t="s">
        <v>4169</v>
      </c>
      <c r="C209" t="s">
        <v>74</v>
      </c>
      <c r="D209" t="s">
        <v>74</v>
      </c>
      <c r="E209" t="s">
        <v>74</v>
      </c>
      <c r="F209" t="s">
        <v>4170</v>
      </c>
      <c r="G209" t="s">
        <v>74</v>
      </c>
      <c r="H209" t="s">
        <v>74</v>
      </c>
      <c r="I209" t="s">
        <v>4171</v>
      </c>
      <c r="J209" t="s">
        <v>4172</v>
      </c>
      <c r="K209" t="s">
        <v>74</v>
      </c>
      <c r="L209" t="s">
        <v>74</v>
      </c>
      <c r="M209" t="s">
        <v>78</v>
      </c>
      <c r="N209" t="s">
        <v>79</v>
      </c>
      <c r="O209" t="s">
        <v>74</v>
      </c>
      <c r="P209" t="s">
        <v>74</v>
      </c>
      <c r="Q209" t="s">
        <v>74</v>
      </c>
      <c r="R209" t="s">
        <v>74</v>
      </c>
      <c r="S209" t="s">
        <v>74</v>
      </c>
      <c r="T209" t="s">
        <v>4173</v>
      </c>
      <c r="U209" t="s">
        <v>4174</v>
      </c>
      <c r="V209" t="s">
        <v>4175</v>
      </c>
      <c r="W209" t="s">
        <v>4176</v>
      </c>
      <c r="X209" t="s">
        <v>4177</v>
      </c>
      <c r="Y209" t="s">
        <v>4178</v>
      </c>
      <c r="Z209" t="s">
        <v>74</v>
      </c>
      <c r="AA209" t="s">
        <v>4179</v>
      </c>
      <c r="AB209" t="s">
        <v>4180</v>
      </c>
      <c r="AC209" t="s">
        <v>4181</v>
      </c>
      <c r="AD209" t="s">
        <v>4182</v>
      </c>
      <c r="AE209" t="s">
        <v>4183</v>
      </c>
      <c r="AF209" t="s">
        <v>74</v>
      </c>
      <c r="AG209">
        <v>61</v>
      </c>
      <c r="AH209">
        <v>36</v>
      </c>
      <c r="AI209">
        <v>38</v>
      </c>
      <c r="AJ209">
        <v>0</v>
      </c>
      <c r="AK209">
        <v>22</v>
      </c>
      <c r="AL209" t="s">
        <v>92</v>
      </c>
      <c r="AM209" t="s">
        <v>93</v>
      </c>
      <c r="AN209" t="s">
        <v>94</v>
      </c>
      <c r="AO209" t="s">
        <v>74</v>
      </c>
      <c r="AP209" t="s">
        <v>4184</v>
      </c>
      <c r="AQ209" t="s">
        <v>74</v>
      </c>
      <c r="AR209" t="s">
        <v>4185</v>
      </c>
      <c r="AS209" t="s">
        <v>4186</v>
      </c>
      <c r="AT209" t="s">
        <v>2831</v>
      </c>
      <c r="AU209">
        <v>2013</v>
      </c>
      <c r="AV209">
        <v>5</v>
      </c>
      <c r="AW209">
        <v>3</v>
      </c>
      <c r="AX209" t="s">
        <v>74</v>
      </c>
      <c r="AY209" t="s">
        <v>74</v>
      </c>
      <c r="AZ209" t="s">
        <v>74</v>
      </c>
      <c r="BA209" t="s">
        <v>74</v>
      </c>
      <c r="BB209">
        <v>542</v>
      </c>
      <c r="BC209">
        <v>557</v>
      </c>
      <c r="BD209" t="s">
        <v>74</v>
      </c>
      <c r="BE209" t="s">
        <v>4187</v>
      </c>
      <c r="BF209" t="str">
        <f>HYPERLINK("http://dx.doi.org/10.1002/jame.20039","http://dx.doi.org/10.1002/jame.20039")</f>
        <v>http://dx.doi.org/10.1002/jame.20039</v>
      </c>
      <c r="BG209" t="s">
        <v>74</v>
      </c>
      <c r="BH209" t="s">
        <v>74</v>
      </c>
      <c r="BI209">
        <v>16</v>
      </c>
      <c r="BJ209" t="s">
        <v>305</v>
      </c>
      <c r="BK209" t="s">
        <v>102</v>
      </c>
      <c r="BL209" t="s">
        <v>305</v>
      </c>
      <c r="BM209" t="s">
        <v>4188</v>
      </c>
      <c r="BN209" t="s">
        <v>74</v>
      </c>
      <c r="BO209" t="s">
        <v>4189</v>
      </c>
      <c r="BP209" t="s">
        <v>74</v>
      </c>
      <c r="BQ209" t="s">
        <v>74</v>
      </c>
      <c r="BR209" t="s">
        <v>105</v>
      </c>
      <c r="BS209" t="s">
        <v>4190</v>
      </c>
      <c r="BT209" t="str">
        <f>HYPERLINK("https%3A%2F%2Fwww.webofscience.com%2Fwos%2Fwoscc%2Ffull-record%2FWOS:000325934100005","View Full Record in Web of Science")</f>
        <v>View Full Record in Web of Science</v>
      </c>
    </row>
    <row r="210" spans="1:72" x14ac:dyDescent="0.15">
      <c r="A210" t="s">
        <v>72</v>
      </c>
      <c r="B210" t="s">
        <v>4191</v>
      </c>
      <c r="C210" t="s">
        <v>74</v>
      </c>
      <c r="D210" t="s">
        <v>74</v>
      </c>
      <c r="E210" t="s">
        <v>74</v>
      </c>
      <c r="F210" t="s">
        <v>4192</v>
      </c>
      <c r="G210" t="s">
        <v>74</v>
      </c>
      <c r="H210" t="s">
        <v>74</v>
      </c>
      <c r="I210" t="s">
        <v>4193</v>
      </c>
      <c r="J210" t="s">
        <v>542</v>
      </c>
      <c r="K210" t="s">
        <v>74</v>
      </c>
      <c r="L210" t="s">
        <v>74</v>
      </c>
      <c r="M210" t="s">
        <v>78</v>
      </c>
      <c r="N210" t="s">
        <v>1459</v>
      </c>
      <c r="O210" t="s">
        <v>74</v>
      </c>
      <c r="P210" t="s">
        <v>74</v>
      </c>
      <c r="Q210" t="s">
        <v>74</v>
      </c>
      <c r="R210" t="s">
        <v>74</v>
      </c>
      <c r="S210" t="s">
        <v>74</v>
      </c>
      <c r="T210" t="s">
        <v>4194</v>
      </c>
      <c r="U210" t="s">
        <v>4195</v>
      </c>
      <c r="V210" t="s">
        <v>4196</v>
      </c>
      <c r="W210" t="s">
        <v>4197</v>
      </c>
      <c r="X210" t="s">
        <v>4198</v>
      </c>
      <c r="Y210" t="s">
        <v>4199</v>
      </c>
      <c r="Z210" t="s">
        <v>4200</v>
      </c>
      <c r="AA210" t="s">
        <v>4201</v>
      </c>
      <c r="AB210" t="s">
        <v>4202</v>
      </c>
      <c r="AC210" t="s">
        <v>4203</v>
      </c>
      <c r="AD210" t="s">
        <v>4204</v>
      </c>
      <c r="AE210" t="s">
        <v>4205</v>
      </c>
      <c r="AF210" t="s">
        <v>74</v>
      </c>
      <c r="AG210">
        <v>132</v>
      </c>
      <c r="AH210">
        <v>152</v>
      </c>
      <c r="AI210">
        <v>158</v>
      </c>
      <c r="AJ210">
        <v>3</v>
      </c>
      <c r="AK210">
        <v>142</v>
      </c>
      <c r="AL210" t="s">
        <v>237</v>
      </c>
      <c r="AM210" t="s">
        <v>238</v>
      </c>
      <c r="AN210" t="s">
        <v>239</v>
      </c>
      <c r="AO210" t="s">
        <v>555</v>
      </c>
      <c r="AP210" t="s">
        <v>575</v>
      </c>
      <c r="AQ210" t="s">
        <v>74</v>
      </c>
      <c r="AR210" t="s">
        <v>556</v>
      </c>
      <c r="AS210" t="s">
        <v>557</v>
      </c>
      <c r="AT210" t="s">
        <v>2831</v>
      </c>
      <c r="AU210">
        <v>2013</v>
      </c>
      <c r="AV210">
        <v>26</v>
      </c>
      <c r="AW210">
        <v>13</v>
      </c>
      <c r="AX210" t="s">
        <v>74</v>
      </c>
      <c r="AY210" t="s">
        <v>74</v>
      </c>
      <c r="AZ210" t="s">
        <v>74</v>
      </c>
      <c r="BA210" t="s">
        <v>74</v>
      </c>
      <c r="BB210">
        <v>4476</v>
      </c>
      <c r="BC210">
        <v>4499</v>
      </c>
      <c r="BD210" t="s">
        <v>74</v>
      </c>
      <c r="BE210" t="s">
        <v>4206</v>
      </c>
      <c r="BF210" t="str">
        <f>HYPERLINK("http://dx.doi.org/10.1175/JCLI-D-12-00319.1","http://dx.doi.org/10.1175/JCLI-D-12-00319.1")</f>
        <v>http://dx.doi.org/10.1175/JCLI-D-12-00319.1</v>
      </c>
      <c r="BG210" t="s">
        <v>74</v>
      </c>
      <c r="BH210" t="s">
        <v>74</v>
      </c>
      <c r="BI210">
        <v>24</v>
      </c>
      <c r="BJ210" t="s">
        <v>305</v>
      </c>
      <c r="BK210" t="s">
        <v>102</v>
      </c>
      <c r="BL210" t="s">
        <v>305</v>
      </c>
      <c r="BM210" t="s">
        <v>4207</v>
      </c>
      <c r="BN210" t="s">
        <v>74</v>
      </c>
      <c r="BO210" t="s">
        <v>4208</v>
      </c>
      <c r="BP210" t="s">
        <v>74</v>
      </c>
      <c r="BQ210" t="s">
        <v>74</v>
      </c>
      <c r="BR210" t="s">
        <v>105</v>
      </c>
      <c r="BS210" t="s">
        <v>4209</v>
      </c>
      <c r="BT210" t="str">
        <f>HYPERLINK("https%3A%2F%2Fwww.webofscience.com%2Fwos%2Fwoscc%2Ffull-record%2FWOS:000321259000006","View Full Record in Web of Science")</f>
        <v>View Full Record in Web of Science</v>
      </c>
    </row>
    <row r="211" spans="1:72" x14ac:dyDescent="0.15">
      <c r="A211" t="s">
        <v>72</v>
      </c>
      <c r="B211" t="s">
        <v>4210</v>
      </c>
      <c r="C211" t="s">
        <v>74</v>
      </c>
      <c r="D211" t="s">
        <v>74</v>
      </c>
      <c r="E211" t="s">
        <v>74</v>
      </c>
      <c r="F211" t="s">
        <v>4211</v>
      </c>
      <c r="G211" t="s">
        <v>74</v>
      </c>
      <c r="H211" t="s">
        <v>74</v>
      </c>
      <c r="I211" t="s">
        <v>4212</v>
      </c>
      <c r="J211" t="s">
        <v>542</v>
      </c>
      <c r="K211" t="s">
        <v>74</v>
      </c>
      <c r="L211" t="s">
        <v>74</v>
      </c>
      <c r="M211" t="s">
        <v>78</v>
      </c>
      <c r="N211" t="s">
        <v>79</v>
      </c>
      <c r="O211" t="s">
        <v>74</v>
      </c>
      <c r="P211" t="s">
        <v>74</v>
      </c>
      <c r="Q211" t="s">
        <v>74</v>
      </c>
      <c r="R211" t="s">
        <v>74</v>
      </c>
      <c r="S211" t="s">
        <v>74</v>
      </c>
      <c r="T211" t="s">
        <v>74</v>
      </c>
      <c r="U211" t="s">
        <v>4213</v>
      </c>
      <c r="V211" t="s">
        <v>4214</v>
      </c>
      <c r="W211" t="s">
        <v>4215</v>
      </c>
      <c r="X211" t="s">
        <v>4216</v>
      </c>
      <c r="Y211" t="s">
        <v>4217</v>
      </c>
      <c r="Z211" t="s">
        <v>4218</v>
      </c>
      <c r="AA211" t="s">
        <v>4219</v>
      </c>
      <c r="AB211" t="s">
        <v>4220</v>
      </c>
      <c r="AC211" t="s">
        <v>4221</v>
      </c>
      <c r="AD211" t="s">
        <v>4222</v>
      </c>
      <c r="AE211" t="s">
        <v>4223</v>
      </c>
      <c r="AF211" t="s">
        <v>74</v>
      </c>
      <c r="AG211">
        <v>88</v>
      </c>
      <c r="AH211">
        <v>21</v>
      </c>
      <c r="AI211">
        <v>23</v>
      </c>
      <c r="AJ211">
        <v>0</v>
      </c>
      <c r="AK211">
        <v>9</v>
      </c>
      <c r="AL211" t="s">
        <v>237</v>
      </c>
      <c r="AM211" t="s">
        <v>238</v>
      </c>
      <c r="AN211" t="s">
        <v>1197</v>
      </c>
      <c r="AO211" t="s">
        <v>555</v>
      </c>
      <c r="AP211" t="s">
        <v>575</v>
      </c>
      <c r="AQ211" t="s">
        <v>74</v>
      </c>
      <c r="AR211" t="s">
        <v>556</v>
      </c>
      <c r="AS211" t="s">
        <v>557</v>
      </c>
      <c r="AT211" t="s">
        <v>2831</v>
      </c>
      <c r="AU211">
        <v>2013</v>
      </c>
      <c r="AV211">
        <v>26</v>
      </c>
      <c r="AW211">
        <v>14</v>
      </c>
      <c r="AX211" t="s">
        <v>74</v>
      </c>
      <c r="AY211" t="s">
        <v>74</v>
      </c>
      <c r="AZ211" t="s">
        <v>74</v>
      </c>
      <c r="BA211" t="s">
        <v>74</v>
      </c>
      <c r="BB211">
        <v>5102</v>
      </c>
      <c r="BC211">
        <v>5123</v>
      </c>
      <c r="BD211" t="s">
        <v>74</v>
      </c>
      <c r="BE211" t="s">
        <v>4224</v>
      </c>
      <c r="BF211" t="str">
        <f>HYPERLINK("http://dx.doi.org/10.1175/JCLI-D-12-00346.1","http://dx.doi.org/10.1175/JCLI-D-12-00346.1")</f>
        <v>http://dx.doi.org/10.1175/JCLI-D-12-00346.1</v>
      </c>
      <c r="BG211" t="s">
        <v>74</v>
      </c>
      <c r="BH211" t="s">
        <v>74</v>
      </c>
      <c r="BI211">
        <v>22</v>
      </c>
      <c r="BJ211" t="s">
        <v>305</v>
      </c>
      <c r="BK211" t="s">
        <v>102</v>
      </c>
      <c r="BL211" t="s">
        <v>305</v>
      </c>
      <c r="BM211" t="s">
        <v>2849</v>
      </c>
      <c r="BN211" t="s">
        <v>74</v>
      </c>
      <c r="BO211" t="s">
        <v>4225</v>
      </c>
      <c r="BP211" t="s">
        <v>74</v>
      </c>
      <c r="BQ211" t="s">
        <v>74</v>
      </c>
      <c r="BR211" t="s">
        <v>105</v>
      </c>
      <c r="BS211" t="s">
        <v>4226</v>
      </c>
      <c r="BT211" t="str">
        <f>HYPERLINK("https%3A%2F%2Fwww.webofscience.com%2Fwos%2Fwoscc%2Ffull-record%2FWOS:000330515400014","View Full Record in Web of Science")</f>
        <v>View Full Record in Web of Science</v>
      </c>
    </row>
    <row r="212" spans="1:72" x14ac:dyDescent="0.15">
      <c r="A212" t="s">
        <v>72</v>
      </c>
      <c r="B212" t="s">
        <v>4227</v>
      </c>
      <c r="C212" t="s">
        <v>74</v>
      </c>
      <c r="D212" t="s">
        <v>74</v>
      </c>
      <c r="E212" t="s">
        <v>74</v>
      </c>
      <c r="F212" t="s">
        <v>4228</v>
      </c>
      <c r="G212" t="s">
        <v>74</v>
      </c>
      <c r="H212" t="s">
        <v>74</v>
      </c>
      <c r="I212" t="s">
        <v>4229</v>
      </c>
      <c r="J212" t="s">
        <v>542</v>
      </c>
      <c r="K212" t="s">
        <v>74</v>
      </c>
      <c r="L212" t="s">
        <v>74</v>
      </c>
      <c r="M212" t="s">
        <v>78</v>
      </c>
      <c r="N212" t="s">
        <v>79</v>
      </c>
      <c r="O212" t="s">
        <v>74</v>
      </c>
      <c r="P212" t="s">
        <v>74</v>
      </c>
      <c r="Q212" t="s">
        <v>74</v>
      </c>
      <c r="R212" t="s">
        <v>74</v>
      </c>
      <c r="S212" t="s">
        <v>74</v>
      </c>
      <c r="T212" t="s">
        <v>74</v>
      </c>
      <c r="U212" t="s">
        <v>4230</v>
      </c>
      <c r="V212" t="s">
        <v>4231</v>
      </c>
      <c r="W212" t="s">
        <v>4232</v>
      </c>
      <c r="X212" t="s">
        <v>1300</v>
      </c>
      <c r="Y212" t="s">
        <v>4233</v>
      </c>
      <c r="Z212" t="s">
        <v>4234</v>
      </c>
      <c r="AA212" t="s">
        <v>74</v>
      </c>
      <c r="AB212" t="s">
        <v>74</v>
      </c>
      <c r="AC212" t="s">
        <v>4235</v>
      </c>
      <c r="AD212" t="s">
        <v>4236</v>
      </c>
      <c r="AE212" t="s">
        <v>4237</v>
      </c>
      <c r="AF212" t="s">
        <v>74</v>
      </c>
      <c r="AG212">
        <v>32</v>
      </c>
      <c r="AH212">
        <v>38</v>
      </c>
      <c r="AI212">
        <v>41</v>
      </c>
      <c r="AJ212">
        <v>0</v>
      </c>
      <c r="AK212">
        <v>24</v>
      </c>
      <c r="AL212" t="s">
        <v>237</v>
      </c>
      <c r="AM212" t="s">
        <v>238</v>
      </c>
      <c r="AN212" t="s">
        <v>239</v>
      </c>
      <c r="AO212" t="s">
        <v>555</v>
      </c>
      <c r="AP212" t="s">
        <v>575</v>
      </c>
      <c r="AQ212" t="s">
        <v>74</v>
      </c>
      <c r="AR212" t="s">
        <v>556</v>
      </c>
      <c r="AS212" t="s">
        <v>557</v>
      </c>
      <c r="AT212" t="s">
        <v>2831</v>
      </c>
      <c r="AU212">
        <v>2013</v>
      </c>
      <c r="AV212">
        <v>26</v>
      </c>
      <c r="AW212">
        <v>14</v>
      </c>
      <c r="AX212" t="s">
        <v>74</v>
      </c>
      <c r="AY212" t="s">
        <v>74</v>
      </c>
      <c r="AZ212" t="s">
        <v>74</v>
      </c>
      <c r="BA212" t="s">
        <v>74</v>
      </c>
      <c r="BB212">
        <v>5196</v>
      </c>
      <c r="BC212">
        <v>5204</v>
      </c>
      <c r="BD212" t="s">
        <v>74</v>
      </c>
      <c r="BE212" t="s">
        <v>4238</v>
      </c>
      <c r="BF212" t="str">
        <f>HYPERLINK("http://dx.doi.org/10.1175/JCLI-D-12-00671.1","http://dx.doi.org/10.1175/JCLI-D-12-00671.1")</f>
        <v>http://dx.doi.org/10.1175/JCLI-D-12-00671.1</v>
      </c>
      <c r="BG212" t="s">
        <v>74</v>
      </c>
      <c r="BH212" t="s">
        <v>74</v>
      </c>
      <c r="BI212">
        <v>9</v>
      </c>
      <c r="BJ212" t="s">
        <v>305</v>
      </c>
      <c r="BK212" t="s">
        <v>102</v>
      </c>
      <c r="BL212" t="s">
        <v>305</v>
      </c>
      <c r="BM212" t="s">
        <v>2849</v>
      </c>
      <c r="BN212" t="s">
        <v>74</v>
      </c>
      <c r="BO212" t="s">
        <v>4146</v>
      </c>
      <c r="BP212" t="s">
        <v>74</v>
      </c>
      <c r="BQ212" t="s">
        <v>74</v>
      </c>
      <c r="BR212" t="s">
        <v>105</v>
      </c>
      <c r="BS212" t="s">
        <v>4239</v>
      </c>
      <c r="BT212" t="str">
        <f>HYPERLINK("https%3A%2F%2Fwww.webofscience.com%2Fwos%2Fwoscc%2Ffull-record%2FWOS:000330515400020","View Full Record in Web of Science")</f>
        <v>View Full Record in Web of Science</v>
      </c>
    </row>
    <row r="213" spans="1:72" x14ac:dyDescent="0.15">
      <c r="A213" t="s">
        <v>72</v>
      </c>
      <c r="B213" t="s">
        <v>4240</v>
      </c>
      <c r="C213" t="s">
        <v>74</v>
      </c>
      <c r="D213" t="s">
        <v>74</v>
      </c>
      <c r="E213" t="s">
        <v>74</v>
      </c>
      <c r="F213" t="s">
        <v>4241</v>
      </c>
      <c r="G213" t="s">
        <v>74</v>
      </c>
      <c r="H213" t="s">
        <v>74</v>
      </c>
      <c r="I213" t="s">
        <v>4242</v>
      </c>
      <c r="J213" t="s">
        <v>1710</v>
      </c>
      <c r="K213" t="s">
        <v>74</v>
      </c>
      <c r="L213" t="s">
        <v>74</v>
      </c>
      <c r="M213" t="s">
        <v>78</v>
      </c>
      <c r="N213" t="s">
        <v>79</v>
      </c>
      <c r="O213" t="s">
        <v>74</v>
      </c>
      <c r="P213" t="s">
        <v>74</v>
      </c>
      <c r="Q213" t="s">
        <v>74</v>
      </c>
      <c r="R213" t="s">
        <v>74</v>
      </c>
      <c r="S213" t="s">
        <v>74</v>
      </c>
      <c r="T213" t="s">
        <v>4243</v>
      </c>
      <c r="U213" t="s">
        <v>4244</v>
      </c>
      <c r="V213" t="s">
        <v>4245</v>
      </c>
      <c r="W213" t="s">
        <v>4246</v>
      </c>
      <c r="X213" t="s">
        <v>4247</v>
      </c>
      <c r="Y213" t="s">
        <v>4248</v>
      </c>
      <c r="Z213" t="s">
        <v>4249</v>
      </c>
      <c r="AA213" t="s">
        <v>4250</v>
      </c>
      <c r="AB213" t="s">
        <v>4251</v>
      </c>
      <c r="AC213" t="s">
        <v>4252</v>
      </c>
      <c r="AD213" t="s">
        <v>4253</v>
      </c>
      <c r="AE213" t="s">
        <v>4254</v>
      </c>
      <c r="AF213" t="s">
        <v>74</v>
      </c>
      <c r="AG213">
        <v>33</v>
      </c>
      <c r="AH213">
        <v>144</v>
      </c>
      <c r="AI213">
        <v>157</v>
      </c>
      <c r="AJ213">
        <v>3</v>
      </c>
      <c r="AK213">
        <v>47</v>
      </c>
      <c r="AL213" t="s">
        <v>92</v>
      </c>
      <c r="AM213" t="s">
        <v>93</v>
      </c>
      <c r="AN213" t="s">
        <v>94</v>
      </c>
      <c r="AO213" t="s">
        <v>1723</v>
      </c>
      <c r="AP213" t="s">
        <v>1724</v>
      </c>
      <c r="AQ213" t="s">
        <v>74</v>
      </c>
      <c r="AR213" t="s">
        <v>1725</v>
      </c>
      <c r="AS213" t="s">
        <v>1726</v>
      </c>
      <c r="AT213" t="s">
        <v>2831</v>
      </c>
      <c r="AU213">
        <v>2013</v>
      </c>
      <c r="AV213">
        <v>118</v>
      </c>
      <c r="AW213">
        <v>7</v>
      </c>
      <c r="AX213" t="s">
        <v>74</v>
      </c>
      <c r="AY213" t="s">
        <v>74</v>
      </c>
      <c r="AZ213" t="s">
        <v>74</v>
      </c>
      <c r="BA213" t="s">
        <v>74</v>
      </c>
      <c r="BB213">
        <v>3694</v>
      </c>
      <c r="BC213">
        <v>3703</v>
      </c>
      <c r="BD213" t="s">
        <v>74</v>
      </c>
      <c r="BE213" t="s">
        <v>4255</v>
      </c>
      <c r="BF213" t="str">
        <f>HYPERLINK("http://dx.doi.org/10.1002/jgrc.20270","http://dx.doi.org/10.1002/jgrc.20270")</f>
        <v>http://dx.doi.org/10.1002/jgrc.20270</v>
      </c>
      <c r="BG213" t="s">
        <v>74</v>
      </c>
      <c r="BH213" t="s">
        <v>74</v>
      </c>
      <c r="BI213">
        <v>10</v>
      </c>
      <c r="BJ213" t="s">
        <v>327</v>
      </c>
      <c r="BK213" t="s">
        <v>102</v>
      </c>
      <c r="BL213" t="s">
        <v>327</v>
      </c>
      <c r="BM213" t="s">
        <v>4256</v>
      </c>
      <c r="BN213" t="s">
        <v>74</v>
      </c>
      <c r="BO213" t="s">
        <v>4257</v>
      </c>
      <c r="BP213" t="s">
        <v>74</v>
      </c>
      <c r="BQ213" t="s">
        <v>74</v>
      </c>
      <c r="BR213" t="s">
        <v>105</v>
      </c>
      <c r="BS213" t="s">
        <v>4258</v>
      </c>
      <c r="BT213" t="str">
        <f>HYPERLINK("https%3A%2F%2Fwww.webofscience.com%2Fwos%2Fwoscc%2Ffull-record%2FWOS:000324885400030","View Full Record in Web of Science")</f>
        <v>View Full Record in Web of Science</v>
      </c>
    </row>
    <row r="214" spans="1:72" x14ac:dyDescent="0.15">
      <c r="A214" t="s">
        <v>72</v>
      </c>
      <c r="B214" t="s">
        <v>4259</v>
      </c>
      <c r="C214" t="s">
        <v>74</v>
      </c>
      <c r="D214" t="s">
        <v>74</v>
      </c>
      <c r="E214" t="s">
        <v>74</v>
      </c>
      <c r="F214" t="s">
        <v>4260</v>
      </c>
      <c r="G214" t="s">
        <v>74</v>
      </c>
      <c r="H214" t="s">
        <v>74</v>
      </c>
      <c r="I214" t="s">
        <v>4261</v>
      </c>
      <c r="J214" t="s">
        <v>77</v>
      </c>
      <c r="K214" t="s">
        <v>74</v>
      </c>
      <c r="L214" t="s">
        <v>74</v>
      </c>
      <c r="M214" t="s">
        <v>78</v>
      </c>
      <c r="N214" t="s">
        <v>79</v>
      </c>
      <c r="O214" t="s">
        <v>74</v>
      </c>
      <c r="P214" t="s">
        <v>74</v>
      </c>
      <c r="Q214" t="s">
        <v>74</v>
      </c>
      <c r="R214" t="s">
        <v>74</v>
      </c>
      <c r="S214" t="s">
        <v>74</v>
      </c>
      <c r="T214" t="s">
        <v>4262</v>
      </c>
      <c r="U214" t="s">
        <v>4263</v>
      </c>
      <c r="V214" t="s">
        <v>4264</v>
      </c>
      <c r="W214" t="s">
        <v>4265</v>
      </c>
      <c r="X214" t="s">
        <v>4266</v>
      </c>
      <c r="Y214" t="s">
        <v>4267</v>
      </c>
      <c r="Z214" t="s">
        <v>4268</v>
      </c>
      <c r="AA214" t="s">
        <v>4269</v>
      </c>
      <c r="AB214" t="s">
        <v>4270</v>
      </c>
      <c r="AC214" t="s">
        <v>4271</v>
      </c>
      <c r="AD214" t="s">
        <v>4272</v>
      </c>
      <c r="AE214" t="s">
        <v>4273</v>
      </c>
      <c r="AF214" t="s">
        <v>74</v>
      </c>
      <c r="AG214">
        <v>43</v>
      </c>
      <c r="AH214">
        <v>33</v>
      </c>
      <c r="AI214">
        <v>33</v>
      </c>
      <c r="AJ214">
        <v>0</v>
      </c>
      <c r="AK214">
        <v>2</v>
      </c>
      <c r="AL214" t="s">
        <v>92</v>
      </c>
      <c r="AM214" t="s">
        <v>93</v>
      </c>
      <c r="AN214" t="s">
        <v>94</v>
      </c>
      <c r="AO214" t="s">
        <v>95</v>
      </c>
      <c r="AP214" t="s">
        <v>96</v>
      </c>
      <c r="AQ214" t="s">
        <v>74</v>
      </c>
      <c r="AR214" t="s">
        <v>97</v>
      </c>
      <c r="AS214" t="s">
        <v>98</v>
      </c>
      <c r="AT214" t="s">
        <v>2831</v>
      </c>
      <c r="AU214">
        <v>2013</v>
      </c>
      <c r="AV214">
        <v>118</v>
      </c>
      <c r="AW214">
        <v>7</v>
      </c>
      <c r="AX214" t="s">
        <v>74</v>
      </c>
      <c r="AY214" t="s">
        <v>74</v>
      </c>
      <c r="AZ214" t="s">
        <v>74</v>
      </c>
      <c r="BA214" t="s">
        <v>74</v>
      </c>
      <c r="BB214">
        <v>4210</v>
      </c>
      <c r="BC214">
        <v>4220</v>
      </c>
      <c r="BD214" t="s">
        <v>74</v>
      </c>
      <c r="BE214" t="s">
        <v>4274</v>
      </c>
      <c r="BF214" t="str">
        <f>HYPERLINK("http://dx.doi.org/10.1002/jgra.50406","http://dx.doi.org/10.1002/jgra.50406")</f>
        <v>http://dx.doi.org/10.1002/jgra.50406</v>
      </c>
      <c r="BG214" t="s">
        <v>74</v>
      </c>
      <c r="BH214" t="s">
        <v>74</v>
      </c>
      <c r="BI214">
        <v>11</v>
      </c>
      <c r="BJ214" t="s">
        <v>101</v>
      </c>
      <c r="BK214" t="s">
        <v>102</v>
      </c>
      <c r="BL214" t="s">
        <v>101</v>
      </c>
      <c r="BM214" t="s">
        <v>4275</v>
      </c>
      <c r="BN214" t="s">
        <v>74</v>
      </c>
      <c r="BO214" t="s">
        <v>2011</v>
      </c>
      <c r="BP214" t="s">
        <v>74</v>
      </c>
      <c r="BQ214" t="s">
        <v>74</v>
      </c>
      <c r="BR214" t="s">
        <v>105</v>
      </c>
      <c r="BS214" t="s">
        <v>4276</v>
      </c>
      <c r="BT214" t="str">
        <f>HYPERLINK("https%3A%2F%2Fwww.webofscience.com%2Fwos%2Fwoscc%2Ffull-record%2FWOS:000325073600024","View Full Record in Web of Science")</f>
        <v>View Full Record in Web of Science</v>
      </c>
    </row>
    <row r="215" spans="1:72" x14ac:dyDescent="0.15">
      <c r="A215" t="s">
        <v>72</v>
      </c>
      <c r="B215" t="s">
        <v>4277</v>
      </c>
      <c r="C215" t="s">
        <v>74</v>
      </c>
      <c r="D215" t="s">
        <v>74</v>
      </c>
      <c r="E215" t="s">
        <v>74</v>
      </c>
      <c r="F215" t="s">
        <v>4278</v>
      </c>
      <c r="G215" t="s">
        <v>74</v>
      </c>
      <c r="H215" t="s">
        <v>74</v>
      </c>
      <c r="I215" t="s">
        <v>4279</v>
      </c>
      <c r="J215" t="s">
        <v>311</v>
      </c>
      <c r="K215" t="s">
        <v>74</v>
      </c>
      <c r="L215" t="s">
        <v>74</v>
      </c>
      <c r="M215" t="s">
        <v>78</v>
      </c>
      <c r="N215" t="s">
        <v>79</v>
      </c>
      <c r="O215" t="s">
        <v>74</v>
      </c>
      <c r="P215" t="s">
        <v>74</v>
      </c>
      <c r="Q215" t="s">
        <v>74</v>
      </c>
      <c r="R215" t="s">
        <v>74</v>
      </c>
      <c r="S215" t="s">
        <v>74</v>
      </c>
      <c r="T215" t="s">
        <v>4280</v>
      </c>
      <c r="U215" t="s">
        <v>4281</v>
      </c>
      <c r="V215" t="s">
        <v>4282</v>
      </c>
      <c r="W215" t="s">
        <v>4283</v>
      </c>
      <c r="X215" t="s">
        <v>4284</v>
      </c>
      <c r="Y215" t="s">
        <v>4285</v>
      </c>
      <c r="Z215" t="s">
        <v>4286</v>
      </c>
      <c r="AA215" t="s">
        <v>74</v>
      </c>
      <c r="AB215" t="s">
        <v>74</v>
      </c>
      <c r="AC215" t="s">
        <v>4287</v>
      </c>
      <c r="AD215" t="s">
        <v>4288</v>
      </c>
      <c r="AE215" t="s">
        <v>4289</v>
      </c>
      <c r="AF215" t="s">
        <v>74</v>
      </c>
      <c r="AG215">
        <v>24</v>
      </c>
      <c r="AH215">
        <v>41</v>
      </c>
      <c r="AI215">
        <v>45</v>
      </c>
      <c r="AJ215">
        <v>0</v>
      </c>
      <c r="AK215">
        <v>28</v>
      </c>
      <c r="AL215" t="s">
        <v>237</v>
      </c>
      <c r="AM215" t="s">
        <v>238</v>
      </c>
      <c r="AN215" t="s">
        <v>239</v>
      </c>
      <c r="AO215" t="s">
        <v>322</v>
      </c>
      <c r="AP215" t="s">
        <v>323</v>
      </c>
      <c r="AQ215" t="s">
        <v>74</v>
      </c>
      <c r="AR215" t="s">
        <v>324</v>
      </c>
      <c r="AS215" t="s">
        <v>325</v>
      </c>
      <c r="AT215" t="s">
        <v>2831</v>
      </c>
      <c r="AU215">
        <v>2013</v>
      </c>
      <c r="AV215">
        <v>43</v>
      </c>
      <c r="AW215">
        <v>7</v>
      </c>
      <c r="AX215" t="s">
        <v>74</v>
      </c>
      <c r="AY215" t="s">
        <v>74</v>
      </c>
      <c r="AZ215" t="s">
        <v>74</v>
      </c>
      <c r="BA215" t="s">
        <v>74</v>
      </c>
      <c r="BB215">
        <v>1241</v>
      </c>
      <c r="BC215">
        <v>1253</v>
      </c>
      <c r="BD215" t="s">
        <v>74</v>
      </c>
      <c r="BE215" t="s">
        <v>4290</v>
      </c>
      <c r="BF215" t="str">
        <f>HYPERLINK("http://dx.doi.org/10.1175/JPO-D-12-0187.1","http://dx.doi.org/10.1175/JPO-D-12-0187.1")</f>
        <v>http://dx.doi.org/10.1175/JPO-D-12-0187.1</v>
      </c>
      <c r="BG215" t="s">
        <v>74</v>
      </c>
      <c r="BH215" t="s">
        <v>74</v>
      </c>
      <c r="BI215">
        <v>13</v>
      </c>
      <c r="BJ215" t="s">
        <v>327</v>
      </c>
      <c r="BK215" t="s">
        <v>102</v>
      </c>
      <c r="BL215" t="s">
        <v>327</v>
      </c>
      <c r="BM215" t="s">
        <v>4291</v>
      </c>
      <c r="BN215" t="s">
        <v>74</v>
      </c>
      <c r="BO215" t="s">
        <v>248</v>
      </c>
      <c r="BP215" t="s">
        <v>74</v>
      </c>
      <c r="BQ215" t="s">
        <v>74</v>
      </c>
      <c r="BR215" t="s">
        <v>105</v>
      </c>
      <c r="BS215" t="s">
        <v>4292</v>
      </c>
      <c r="BT215" t="str">
        <f>HYPERLINK("https%3A%2F%2Fwww.webofscience.com%2Fwos%2Fwoscc%2Ffull-record%2FWOS:000329778000001","View Full Record in Web of Science")</f>
        <v>View Full Record in Web of Science</v>
      </c>
    </row>
    <row r="216" spans="1:72" x14ac:dyDescent="0.15">
      <c r="A216" t="s">
        <v>72</v>
      </c>
      <c r="B216" t="s">
        <v>4293</v>
      </c>
      <c r="C216" t="s">
        <v>74</v>
      </c>
      <c r="D216" t="s">
        <v>74</v>
      </c>
      <c r="E216" t="s">
        <v>74</v>
      </c>
      <c r="F216" t="s">
        <v>4294</v>
      </c>
      <c r="G216" t="s">
        <v>74</v>
      </c>
      <c r="H216" t="s">
        <v>74</v>
      </c>
      <c r="I216" t="s">
        <v>4295</v>
      </c>
      <c r="J216" t="s">
        <v>311</v>
      </c>
      <c r="K216" t="s">
        <v>74</v>
      </c>
      <c r="L216" t="s">
        <v>74</v>
      </c>
      <c r="M216" t="s">
        <v>78</v>
      </c>
      <c r="N216" t="s">
        <v>79</v>
      </c>
      <c r="O216" t="s">
        <v>74</v>
      </c>
      <c r="P216" t="s">
        <v>74</v>
      </c>
      <c r="Q216" t="s">
        <v>74</v>
      </c>
      <c r="R216" t="s">
        <v>74</v>
      </c>
      <c r="S216" t="s">
        <v>74</v>
      </c>
      <c r="T216" t="s">
        <v>4296</v>
      </c>
      <c r="U216" t="s">
        <v>4297</v>
      </c>
      <c r="V216" t="s">
        <v>4298</v>
      </c>
      <c r="W216" t="s">
        <v>4299</v>
      </c>
      <c r="X216" t="s">
        <v>4300</v>
      </c>
      <c r="Y216" t="s">
        <v>4301</v>
      </c>
      <c r="Z216" t="s">
        <v>4302</v>
      </c>
      <c r="AA216" t="s">
        <v>74</v>
      </c>
      <c r="AB216" t="s">
        <v>4303</v>
      </c>
      <c r="AC216" t="s">
        <v>4304</v>
      </c>
      <c r="AD216" t="s">
        <v>4305</v>
      </c>
      <c r="AE216" t="s">
        <v>4306</v>
      </c>
      <c r="AF216" t="s">
        <v>74</v>
      </c>
      <c r="AG216">
        <v>74</v>
      </c>
      <c r="AH216">
        <v>63</v>
      </c>
      <c r="AI216">
        <v>69</v>
      </c>
      <c r="AJ216">
        <v>0</v>
      </c>
      <c r="AK216">
        <v>24</v>
      </c>
      <c r="AL216" t="s">
        <v>237</v>
      </c>
      <c r="AM216" t="s">
        <v>238</v>
      </c>
      <c r="AN216" t="s">
        <v>239</v>
      </c>
      <c r="AO216" t="s">
        <v>322</v>
      </c>
      <c r="AP216" t="s">
        <v>323</v>
      </c>
      <c r="AQ216" t="s">
        <v>74</v>
      </c>
      <c r="AR216" t="s">
        <v>324</v>
      </c>
      <c r="AS216" t="s">
        <v>325</v>
      </c>
      <c r="AT216" t="s">
        <v>2831</v>
      </c>
      <c r="AU216">
        <v>2013</v>
      </c>
      <c r="AV216">
        <v>43</v>
      </c>
      <c r="AW216">
        <v>7</v>
      </c>
      <c r="AX216" t="s">
        <v>74</v>
      </c>
      <c r="AY216" t="s">
        <v>74</v>
      </c>
      <c r="AZ216" t="s">
        <v>74</v>
      </c>
      <c r="BA216" t="s">
        <v>74</v>
      </c>
      <c r="BB216">
        <v>1453</v>
      </c>
      <c r="BC216">
        <v>1471</v>
      </c>
      <c r="BD216" t="s">
        <v>74</v>
      </c>
      <c r="BE216" t="s">
        <v>4307</v>
      </c>
      <c r="BF216" t="str">
        <f>HYPERLINK("http://dx.doi.org/10.1175/JPO-D-12-0205.1","http://dx.doi.org/10.1175/JPO-D-12-0205.1")</f>
        <v>http://dx.doi.org/10.1175/JPO-D-12-0205.1</v>
      </c>
      <c r="BG216" t="s">
        <v>74</v>
      </c>
      <c r="BH216" t="s">
        <v>74</v>
      </c>
      <c r="BI216">
        <v>19</v>
      </c>
      <c r="BJ216" t="s">
        <v>327</v>
      </c>
      <c r="BK216" t="s">
        <v>102</v>
      </c>
      <c r="BL216" t="s">
        <v>327</v>
      </c>
      <c r="BM216" t="s">
        <v>4291</v>
      </c>
      <c r="BN216" t="s">
        <v>74</v>
      </c>
      <c r="BO216" t="s">
        <v>4146</v>
      </c>
      <c r="BP216" t="s">
        <v>74</v>
      </c>
      <c r="BQ216" t="s">
        <v>74</v>
      </c>
      <c r="BR216" t="s">
        <v>105</v>
      </c>
      <c r="BS216" t="s">
        <v>4308</v>
      </c>
      <c r="BT216" t="str">
        <f>HYPERLINK("https%3A%2F%2Fwww.webofscience.com%2Fwos%2Fwoscc%2Ffull-record%2FWOS:000329778000015","View Full Record in Web of Science")</f>
        <v>View Full Record in Web of Science</v>
      </c>
    </row>
    <row r="217" spans="1:72" x14ac:dyDescent="0.15">
      <c r="A217" t="s">
        <v>72</v>
      </c>
      <c r="B217" t="s">
        <v>4309</v>
      </c>
      <c r="C217" t="s">
        <v>74</v>
      </c>
      <c r="D217" t="s">
        <v>74</v>
      </c>
      <c r="E217" t="s">
        <v>74</v>
      </c>
      <c r="F217" t="s">
        <v>4310</v>
      </c>
      <c r="G217" t="s">
        <v>74</v>
      </c>
      <c r="H217" t="s">
        <v>74</v>
      </c>
      <c r="I217" t="s">
        <v>4311</v>
      </c>
      <c r="J217" t="s">
        <v>311</v>
      </c>
      <c r="K217" t="s">
        <v>74</v>
      </c>
      <c r="L217" t="s">
        <v>74</v>
      </c>
      <c r="M217" t="s">
        <v>78</v>
      </c>
      <c r="N217" t="s">
        <v>79</v>
      </c>
      <c r="O217" t="s">
        <v>74</v>
      </c>
      <c r="P217" t="s">
        <v>74</v>
      </c>
      <c r="Q217" t="s">
        <v>74</v>
      </c>
      <c r="R217" t="s">
        <v>74</v>
      </c>
      <c r="S217" t="s">
        <v>74</v>
      </c>
      <c r="T217" t="s">
        <v>4312</v>
      </c>
      <c r="U217" t="s">
        <v>4313</v>
      </c>
      <c r="V217" t="s">
        <v>4314</v>
      </c>
      <c r="W217" t="s">
        <v>4315</v>
      </c>
      <c r="X217" t="s">
        <v>4316</v>
      </c>
      <c r="Y217" t="s">
        <v>4317</v>
      </c>
      <c r="Z217" t="s">
        <v>4318</v>
      </c>
      <c r="AA217" t="s">
        <v>4319</v>
      </c>
      <c r="AB217" t="s">
        <v>4320</v>
      </c>
      <c r="AC217" t="s">
        <v>4321</v>
      </c>
      <c r="AD217" t="s">
        <v>4322</v>
      </c>
      <c r="AE217" t="s">
        <v>4323</v>
      </c>
      <c r="AF217" t="s">
        <v>74</v>
      </c>
      <c r="AG217">
        <v>43</v>
      </c>
      <c r="AH217">
        <v>14</v>
      </c>
      <c r="AI217">
        <v>17</v>
      </c>
      <c r="AJ217">
        <v>0</v>
      </c>
      <c r="AK217">
        <v>13</v>
      </c>
      <c r="AL217" t="s">
        <v>237</v>
      </c>
      <c r="AM217" t="s">
        <v>238</v>
      </c>
      <c r="AN217" t="s">
        <v>239</v>
      </c>
      <c r="AO217" t="s">
        <v>322</v>
      </c>
      <c r="AP217" t="s">
        <v>323</v>
      </c>
      <c r="AQ217" t="s">
        <v>74</v>
      </c>
      <c r="AR217" t="s">
        <v>324</v>
      </c>
      <c r="AS217" t="s">
        <v>325</v>
      </c>
      <c r="AT217" t="s">
        <v>2831</v>
      </c>
      <c r="AU217">
        <v>2013</v>
      </c>
      <c r="AV217">
        <v>43</v>
      </c>
      <c r="AW217">
        <v>7</v>
      </c>
      <c r="AX217" t="s">
        <v>74</v>
      </c>
      <c r="AY217" t="s">
        <v>74</v>
      </c>
      <c r="AZ217" t="s">
        <v>74</v>
      </c>
      <c r="BA217" t="s">
        <v>74</v>
      </c>
      <c r="BB217">
        <v>1472</v>
      </c>
      <c r="BC217">
        <v>1484</v>
      </c>
      <c r="BD217" t="s">
        <v>74</v>
      </c>
      <c r="BE217" t="s">
        <v>4324</v>
      </c>
      <c r="BF217" t="str">
        <f>HYPERLINK("http://dx.doi.org/10.1175/JPO-D-12-0216.1","http://dx.doi.org/10.1175/JPO-D-12-0216.1")</f>
        <v>http://dx.doi.org/10.1175/JPO-D-12-0216.1</v>
      </c>
      <c r="BG217" t="s">
        <v>74</v>
      </c>
      <c r="BH217" t="s">
        <v>74</v>
      </c>
      <c r="BI217">
        <v>13</v>
      </c>
      <c r="BJ217" t="s">
        <v>327</v>
      </c>
      <c r="BK217" t="s">
        <v>102</v>
      </c>
      <c r="BL217" t="s">
        <v>327</v>
      </c>
      <c r="BM217" t="s">
        <v>4291</v>
      </c>
      <c r="BN217" t="s">
        <v>74</v>
      </c>
      <c r="BO217" t="s">
        <v>104</v>
      </c>
      <c r="BP217" t="s">
        <v>74</v>
      </c>
      <c r="BQ217" t="s">
        <v>74</v>
      </c>
      <c r="BR217" t="s">
        <v>105</v>
      </c>
      <c r="BS217" t="s">
        <v>4325</v>
      </c>
      <c r="BT217" t="str">
        <f>HYPERLINK("https%3A%2F%2Fwww.webofscience.com%2Fwos%2Fwoscc%2Ffull-record%2FWOS:000329778000016","View Full Record in Web of Science")</f>
        <v>View Full Record in Web of Science</v>
      </c>
    </row>
    <row r="218" spans="1:72" x14ac:dyDescent="0.15">
      <c r="A218" t="s">
        <v>72</v>
      </c>
      <c r="B218" t="s">
        <v>4326</v>
      </c>
      <c r="C218" t="s">
        <v>74</v>
      </c>
      <c r="D218" t="s">
        <v>74</v>
      </c>
      <c r="E218" t="s">
        <v>74</v>
      </c>
      <c r="F218" t="s">
        <v>4327</v>
      </c>
      <c r="G218" t="s">
        <v>74</v>
      </c>
      <c r="H218" t="s">
        <v>74</v>
      </c>
      <c r="I218" t="s">
        <v>4328</v>
      </c>
      <c r="J218" t="s">
        <v>4329</v>
      </c>
      <c r="K218" t="s">
        <v>74</v>
      </c>
      <c r="L218" t="s">
        <v>74</v>
      </c>
      <c r="M218" t="s">
        <v>78</v>
      </c>
      <c r="N218" t="s">
        <v>79</v>
      </c>
      <c r="O218" t="s">
        <v>74</v>
      </c>
      <c r="P218" t="s">
        <v>74</v>
      </c>
      <c r="Q218" t="s">
        <v>74</v>
      </c>
      <c r="R218" t="s">
        <v>74</v>
      </c>
      <c r="S218" t="s">
        <v>74</v>
      </c>
      <c r="T218" t="s">
        <v>4330</v>
      </c>
      <c r="U218" t="s">
        <v>4331</v>
      </c>
      <c r="V218" t="s">
        <v>4332</v>
      </c>
      <c r="W218" t="s">
        <v>4333</v>
      </c>
      <c r="X218" t="s">
        <v>4334</v>
      </c>
      <c r="Y218" t="s">
        <v>4335</v>
      </c>
      <c r="Z218" t="s">
        <v>4336</v>
      </c>
      <c r="AA218" t="s">
        <v>4337</v>
      </c>
      <c r="AB218" t="s">
        <v>4338</v>
      </c>
      <c r="AC218" t="s">
        <v>4339</v>
      </c>
      <c r="AD218" t="s">
        <v>4340</v>
      </c>
      <c r="AE218" t="s">
        <v>4341</v>
      </c>
      <c r="AF218" t="s">
        <v>74</v>
      </c>
      <c r="AG218">
        <v>65</v>
      </c>
      <c r="AH218">
        <v>21</v>
      </c>
      <c r="AI218">
        <v>22</v>
      </c>
      <c r="AJ218">
        <v>1</v>
      </c>
      <c r="AK218">
        <v>48</v>
      </c>
      <c r="AL218" t="s">
        <v>506</v>
      </c>
      <c r="AM218" t="s">
        <v>442</v>
      </c>
      <c r="AN218" t="s">
        <v>507</v>
      </c>
      <c r="AO218" t="s">
        <v>4342</v>
      </c>
      <c r="AP218" t="s">
        <v>74</v>
      </c>
      <c r="AQ218" t="s">
        <v>74</v>
      </c>
      <c r="AR218" t="s">
        <v>4343</v>
      </c>
      <c r="AS218" t="s">
        <v>4344</v>
      </c>
      <c r="AT218" t="s">
        <v>2831</v>
      </c>
      <c r="AU218">
        <v>2013</v>
      </c>
      <c r="AV218">
        <v>38</v>
      </c>
      <c r="AW218">
        <v>5</v>
      </c>
      <c r="AX218" t="s">
        <v>74</v>
      </c>
      <c r="AY218" t="s">
        <v>74</v>
      </c>
      <c r="AZ218" t="s">
        <v>74</v>
      </c>
      <c r="BA218" t="s">
        <v>74</v>
      </c>
      <c r="BB218">
        <v>264</v>
      </c>
      <c r="BC218">
        <v>271</v>
      </c>
      <c r="BD218" t="s">
        <v>74</v>
      </c>
      <c r="BE218" t="s">
        <v>4345</v>
      </c>
      <c r="BF218" t="str">
        <f>HYPERLINK("http://dx.doi.org/10.1016/j.jtherbio.2013.02.006","http://dx.doi.org/10.1016/j.jtherbio.2013.02.006")</f>
        <v>http://dx.doi.org/10.1016/j.jtherbio.2013.02.006</v>
      </c>
      <c r="BG218" t="s">
        <v>74</v>
      </c>
      <c r="BH218" t="s">
        <v>74</v>
      </c>
      <c r="BI218">
        <v>8</v>
      </c>
      <c r="BJ218" t="s">
        <v>4346</v>
      </c>
      <c r="BK218" t="s">
        <v>102</v>
      </c>
      <c r="BL218" t="s">
        <v>4347</v>
      </c>
      <c r="BM218" t="s">
        <v>4348</v>
      </c>
      <c r="BN218" t="s">
        <v>74</v>
      </c>
      <c r="BO218" t="s">
        <v>1063</v>
      </c>
      <c r="BP218" t="s">
        <v>74</v>
      </c>
      <c r="BQ218" t="s">
        <v>74</v>
      </c>
      <c r="BR218" t="s">
        <v>105</v>
      </c>
      <c r="BS218" t="s">
        <v>4349</v>
      </c>
      <c r="BT218" t="str">
        <f>HYPERLINK("https%3A%2F%2Fwww.webofscience.com%2Fwos%2Fwoscc%2Ffull-record%2FWOS:000319486100009","View Full Record in Web of Science")</f>
        <v>View Full Record in Web of Science</v>
      </c>
    </row>
    <row r="219" spans="1:72" x14ac:dyDescent="0.15">
      <c r="A219" t="s">
        <v>72</v>
      </c>
      <c r="B219" t="s">
        <v>4350</v>
      </c>
      <c r="C219" t="s">
        <v>74</v>
      </c>
      <c r="D219" t="s">
        <v>74</v>
      </c>
      <c r="E219" t="s">
        <v>74</v>
      </c>
      <c r="F219" t="s">
        <v>4351</v>
      </c>
      <c r="G219" t="s">
        <v>74</v>
      </c>
      <c r="H219" t="s">
        <v>74</v>
      </c>
      <c r="I219" t="s">
        <v>4352</v>
      </c>
      <c r="J219" t="s">
        <v>3712</v>
      </c>
      <c r="K219" t="s">
        <v>74</v>
      </c>
      <c r="L219" t="s">
        <v>74</v>
      </c>
      <c r="M219" t="s">
        <v>78</v>
      </c>
      <c r="N219" t="s">
        <v>79</v>
      </c>
      <c r="O219" t="s">
        <v>74</v>
      </c>
      <c r="P219" t="s">
        <v>74</v>
      </c>
      <c r="Q219" t="s">
        <v>74</v>
      </c>
      <c r="R219" t="s">
        <v>74</v>
      </c>
      <c r="S219" t="s">
        <v>74</v>
      </c>
      <c r="T219" t="s">
        <v>74</v>
      </c>
      <c r="U219" t="s">
        <v>4353</v>
      </c>
      <c r="V219" t="s">
        <v>4354</v>
      </c>
      <c r="W219" t="s">
        <v>4355</v>
      </c>
      <c r="X219" t="s">
        <v>4356</v>
      </c>
      <c r="Y219" t="s">
        <v>4357</v>
      </c>
      <c r="Z219" t="s">
        <v>4358</v>
      </c>
      <c r="AA219" t="s">
        <v>4359</v>
      </c>
      <c r="AB219" t="s">
        <v>4360</v>
      </c>
      <c r="AC219" t="s">
        <v>4361</v>
      </c>
      <c r="AD219" t="s">
        <v>4362</v>
      </c>
      <c r="AE219" t="s">
        <v>4363</v>
      </c>
      <c r="AF219" t="s">
        <v>74</v>
      </c>
      <c r="AG219">
        <v>50</v>
      </c>
      <c r="AH219">
        <v>20</v>
      </c>
      <c r="AI219">
        <v>22</v>
      </c>
      <c r="AJ219">
        <v>0</v>
      </c>
      <c r="AK219">
        <v>47</v>
      </c>
      <c r="AL219" t="s">
        <v>3724</v>
      </c>
      <c r="AM219" t="s">
        <v>3725</v>
      </c>
      <c r="AN219" t="s">
        <v>3726</v>
      </c>
      <c r="AO219" t="s">
        <v>3727</v>
      </c>
      <c r="AP219" t="s">
        <v>3728</v>
      </c>
      <c r="AQ219" t="s">
        <v>74</v>
      </c>
      <c r="AR219" t="s">
        <v>3729</v>
      </c>
      <c r="AS219" t="s">
        <v>3730</v>
      </c>
      <c r="AT219" t="s">
        <v>2831</v>
      </c>
      <c r="AU219">
        <v>2013</v>
      </c>
      <c r="AV219">
        <v>160</v>
      </c>
      <c r="AW219">
        <v>7</v>
      </c>
      <c r="AX219" t="s">
        <v>74</v>
      </c>
      <c r="AY219" t="s">
        <v>74</v>
      </c>
      <c r="AZ219" t="s">
        <v>74</v>
      </c>
      <c r="BA219" t="s">
        <v>74</v>
      </c>
      <c r="BB219">
        <v>1597</v>
      </c>
      <c r="BC219">
        <v>1606</v>
      </c>
      <c r="BD219" t="s">
        <v>74</v>
      </c>
      <c r="BE219" t="s">
        <v>4364</v>
      </c>
      <c r="BF219" t="str">
        <f>HYPERLINK("http://dx.doi.org/10.1007/s00227-013-2212-x","http://dx.doi.org/10.1007/s00227-013-2212-x")</f>
        <v>http://dx.doi.org/10.1007/s00227-013-2212-x</v>
      </c>
      <c r="BG219" t="s">
        <v>74</v>
      </c>
      <c r="BH219" t="s">
        <v>74</v>
      </c>
      <c r="BI219">
        <v>10</v>
      </c>
      <c r="BJ219" t="s">
        <v>1809</v>
      </c>
      <c r="BK219" t="s">
        <v>102</v>
      </c>
      <c r="BL219" t="s">
        <v>1809</v>
      </c>
      <c r="BM219" t="s">
        <v>3732</v>
      </c>
      <c r="BN219" t="s">
        <v>74</v>
      </c>
      <c r="BO219" t="s">
        <v>1063</v>
      </c>
      <c r="BP219" t="s">
        <v>74</v>
      </c>
      <c r="BQ219" t="s">
        <v>74</v>
      </c>
      <c r="BR219" t="s">
        <v>105</v>
      </c>
      <c r="BS219" t="s">
        <v>4365</v>
      </c>
      <c r="BT219" t="str">
        <f>HYPERLINK("https%3A%2F%2Fwww.webofscience.com%2Fwos%2Fwoscc%2Ffull-record%2FWOS:000320791000006","View Full Record in Web of Science")</f>
        <v>View Full Record in Web of Science</v>
      </c>
    </row>
    <row r="220" spans="1:72" x14ac:dyDescent="0.15">
      <c r="A220" t="s">
        <v>72</v>
      </c>
      <c r="B220" t="s">
        <v>4366</v>
      </c>
      <c r="C220" t="s">
        <v>74</v>
      </c>
      <c r="D220" t="s">
        <v>74</v>
      </c>
      <c r="E220" t="s">
        <v>74</v>
      </c>
      <c r="F220" t="s">
        <v>4367</v>
      </c>
      <c r="G220" t="s">
        <v>74</v>
      </c>
      <c r="H220" t="s">
        <v>74</v>
      </c>
      <c r="I220" t="s">
        <v>4368</v>
      </c>
      <c r="J220" t="s">
        <v>3712</v>
      </c>
      <c r="K220" t="s">
        <v>74</v>
      </c>
      <c r="L220" t="s">
        <v>74</v>
      </c>
      <c r="M220" t="s">
        <v>78</v>
      </c>
      <c r="N220" t="s">
        <v>79</v>
      </c>
      <c r="O220" t="s">
        <v>74</v>
      </c>
      <c r="P220" t="s">
        <v>74</v>
      </c>
      <c r="Q220" t="s">
        <v>74</v>
      </c>
      <c r="R220" t="s">
        <v>74</v>
      </c>
      <c r="S220" t="s">
        <v>74</v>
      </c>
      <c r="T220" t="s">
        <v>74</v>
      </c>
      <c r="U220" t="s">
        <v>4369</v>
      </c>
      <c r="V220" t="s">
        <v>4370</v>
      </c>
      <c r="W220" t="s">
        <v>4371</v>
      </c>
      <c r="X220" t="s">
        <v>4372</v>
      </c>
      <c r="Y220" t="s">
        <v>4373</v>
      </c>
      <c r="Z220" t="s">
        <v>4374</v>
      </c>
      <c r="AA220" t="s">
        <v>4375</v>
      </c>
      <c r="AB220" t="s">
        <v>74</v>
      </c>
      <c r="AC220" t="s">
        <v>4376</v>
      </c>
      <c r="AD220" t="s">
        <v>4377</v>
      </c>
      <c r="AE220" t="s">
        <v>4378</v>
      </c>
      <c r="AF220" t="s">
        <v>74</v>
      </c>
      <c r="AG220">
        <v>61</v>
      </c>
      <c r="AH220">
        <v>13</v>
      </c>
      <c r="AI220">
        <v>17</v>
      </c>
      <c r="AJ220">
        <v>1</v>
      </c>
      <c r="AK220">
        <v>36</v>
      </c>
      <c r="AL220" t="s">
        <v>3724</v>
      </c>
      <c r="AM220" t="s">
        <v>3725</v>
      </c>
      <c r="AN220" t="s">
        <v>3726</v>
      </c>
      <c r="AO220" t="s">
        <v>3727</v>
      </c>
      <c r="AP220" t="s">
        <v>3728</v>
      </c>
      <c r="AQ220" t="s">
        <v>74</v>
      </c>
      <c r="AR220" t="s">
        <v>3729</v>
      </c>
      <c r="AS220" t="s">
        <v>3730</v>
      </c>
      <c r="AT220" t="s">
        <v>2831</v>
      </c>
      <c r="AU220">
        <v>2013</v>
      </c>
      <c r="AV220">
        <v>160</v>
      </c>
      <c r="AW220">
        <v>7</v>
      </c>
      <c r="AX220" t="s">
        <v>74</v>
      </c>
      <c r="AY220" t="s">
        <v>74</v>
      </c>
      <c r="AZ220" t="s">
        <v>74</v>
      </c>
      <c r="BA220" t="s">
        <v>74</v>
      </c>
      <c r="BB220">
        <v>1723</v>
      </c>
      <c r="BC220">
        <v>1736</v>
      </c>
      <c r="BD220" t="s">
        <v>74</v>
      </c>
      <c r="BE220" t="s">
        <v>4379</v>
      </c>
      <c r="BF220" t="str">
        <f>HYPERLINK("http://dx.doi.org/10.1007/s00227-013-2224-6","http://dx.doi.org/10.1007/s00227-013-2224-6")</f>
        <v>http://dx.doi.org/10.1007/s00227-013-2224-6</v>
      </c>
      <c r="BG220" t="s">
        <v>74</v>
      </c>
      <c r="BH220" t="s">
        <v>74</v>
      </c>
      <c r="BI220">
        <v>14</v>
      </c>
      <c r="BJ220" t="s">
        <v>1809</v>
      </c>
      <c r="BK220" t="s">
        <v>102</v>
      </c>
      <c r="BL220" t="s">
        <v>1809</v>
      </c>
      <c r="BM220" t="s">
        <v>3732</v>
      </c>
      <c r="BN220" t="s">
        <v>74</v>
      </c>
      <c r="BO220" t="s">
        <v>74</v>
      </c>
      <c r="BP220" t="s">
        <v>74</v>
      </c>
      <c r="BQ220" t="s">
        <v>74</v>
      </c>
      <c r="BR220" t="s">
        <v>105</v>
      </c>
      <c r="BS220" t="s">
        <v>4380</v>
      </c>
      <c r="BT220" t="str">
        <f>HYPERLINK("https%3A%2F%2Fwww.webofscience.com%2Fwos%2Fwoscc%2Ffull-record%2FWOS:000320791000016","View Full Record in Web of Science")</f>
        <v>View Full Record in Web of Science</v>
      </c>
    </row>
    <row r="221" spans="1:72" x14ac:dyDescent="0.15">
      <c r="A221" t="s">
        <v>72</v>
      </c>
      <c r="B221" t="s">
        <v>4381</v>
      </c>
      <c r="C221" t="s">
        <v>74</v>
      </c>
      <c r="D221" t="s">
        <v>74</v>
      </c>
      <c r="E221" t="s">
        <v>74</v>
      </c>
      <c r="F221" t="s">
        <v>4382</v>
      </c>
      <c r="G221" t="s">
        <v>74</v>
      </c>
      <c r="H221" t="s">
        <v>74</v>
      </c>
      <c r="I221" t="s">
        <v>4383</v>
      </c>
      <c r="J221" t="s">
        <v>4384</v>
      </c>
      <c r="K221" t="s">
        <v>74</v>
      </c>
      <c r="L221" t="s">
        <v>74</v>
      </c>
      <c r="M221" t="s">
        <v>78</v>
      </c>
      <c r="N221" t="s">
        <v>3042</v>
      </c>
      <c r="O221" t="s">
        <v>4385</v>
      </c>
      <c r="P221" t="s">
        <v>4386</v>
      </c>
      <c r="Q221" t="s">
        <v>4387</v>
      </c>
      <c r="R221" t="s">
        <v>74</v>
      </c>
      <c r="S221" t="s">
        <v>74</v>
      </c>
      <c r="T221" t="s">
        <v>4388</v>
      </c>
      <c r="U221" t="s">
        <v>4389</v>
      </c>
      <c r="V221" t="s">
        <v>4390</v>
      </c>
      <c r="W221" t="s">
        <v>4391</v>
      </c>
      <c r="X221" t="s">
        <v>4392</v>
      </c>
      <c r="Y221" t="s">
        <v>4393</v>
      </c>
      <c r="Z221" t="s">
        <v>4394</v>
      </c>
      <c r="AA221" t="s">
        <v>4395</v>
      </c>
      <c r="AB221" t="s">
        <v>4396</v>
      </c>
      <c r="AC221" t="s">
        <v>74</v>
      </c>
      <c r="AD221" t="s">
        <v>74</v>
      </c>
      <c r="AE221" t="s">
        <v>74</v>
      </c>
      <c r="AF221" t="s">
        <v>74</v>
      </c>
      <c r="AG221">
        <v>46</v>
      </c>
      <c r="AH221">
        <v>20</v>
      </c>
      <c r="AI221">
        <v>20</v>
      </c>
      <c r="AJ221">
        <v>0</v>
      </c>
      <c r="AK221">
        <v>39</v>
      </c>
      <c r="AL221" t="s">
        <v>195</v>
      </c>
      <c r="AM221" t="s">
        <v>155</v>
      </c>
      <c r="AN221" t="s">
        <v>196</v>
      </c>
      <c r="AO221" t="s">
        <v>4397</v>
      </c>
      <c r="AP221" t="s">
        <v>4398</v>
      </c>
      <c r="AQ221" t="s">
        <v>74</v>
      </c>
      <c r="AR221" t="s">
        <v>4399</v>
      </c>
      <c r="AS221" t="s">
        <v>4400</v>
      </c>
      <c r="AT221" t="s">
        <v>2831</v>
      </c>
      <c r="AU221">
        <v>2013</v>
      </c>
      <c r="AV221">
        <v>109</v>
      </c>
      <c r="AW221" t="s">
        <v>74</v>
      </c>
      <c r="AX221" t="s">
        <v>74</v>
      </c>
      <c r="AY221" t="s">
        <v>74</v>
      </c>
      <c r="AZ221" t="s">
        <v>935</v>
      </c>
      <c r="BA221" t="s">
        <v>74</v>
      </c>
      <c r="BB221">
        <v>165</v>
      </c>
      <c r="BC221">
        <v>169</v>
      </c>
      <c r="BD221" t="s">
        <v>74</v>
      </c>
      <c r="BE221" t="s">
        <v>4401</v>
      </c>
      <c r="BF221" t="str">
        <f>HYPERLINK("http://dx.doi.org/10.1016/j.microc.2012.03.007","http://dx.doi.org/10.1016/j.microc.2012.03.007")</f>
        <v>http://dx.doi.org/10.1016/j.microc.2012.03.007</v>
      </c>
      <c r="BG221" t="s">
        <v>74</v>
      </c>
      <c r="BH221" t="s">
        <v>74</v>
      </c>
      <c r="BI221">
        <v>5</v>
      </c>
      <c r="BJ221" t="s">
        <v>349</v>
      </c>
      <c r="BK221" t="s">
        <v>2934</v>
      </c>
      <c r="BL221" t="s">
        <v>350</v>
      </c>
      <c r="BM221" t="s">
        <v>4402</v>
      </c>
      <c r="BN221" t="s">
        <v>74</v>
      </c>
      <c r="BO221" t="s">
        <v>248</v>
      </c>
      <c r="BP221" t="s">
        <v>74</v>
      </c>
      <c r="BQ221" t="s">
        <v>74</v>
      </c>
      <c r="BR221" t="s">
        <v>105</v>
      </c>
      <c r="BS221" t="s">
        <v>4403</v>
      </c>
      <c r="BT221" t="str">
        <f>HYPERLINK("https%3A%2F%2Fwww.webofscience.com%2Fwos%2Fwoscc%2Ffull-record%2FWOS:000318665300028","View Full Record in Web of Science")</f>
        <v>View Full Record in Web of Science</v>
      </c>
    </row>
    <row r="222" spans="1:72" x14ac:dyDescent="0.15">
      <c r="A222" t="s">
        <v>72</v>
      </c>
      <c r="B222" t="s">
        <v>4404</v>
      </c>
      <c r="C222" t="s">
        <v>74</v>
      </c>
      <c r="D222" t="s">
        <v>74</v>
      </c>
      <c r="E222" t="s">
        <v>74</v>
      </c>
      <c r="F222" t="s">
        <v>4405</v>
      </c>
      <c r="G222" t="s">
        <v>74</v>
      </c>
      <c r="H222" t="s">
        <v>74</v>
      </c>
      <c r="I222" t="s">
        <v>4406</v>
      </c>
      <c r="J222" t="s">
        <v>4407</v>
      </c>
      <c r="K222" t="s">
        <v>74</v>
      </c>
      <c r="L222" t="s">
        <v>74</v>
      </c>
      <c r="M222" t="s">
        <v>78</v>
      </c>
      <c r="N222" t="s">
        <v>79</v>
      </c>
      <c r="O222" t="s">
        <v>74</v>
      </c>
      <c r="P222" t="s">
        <v>74</v>
      </c>
      <c r="Q222" t="s">
        <v>74</v>
      </c>
      <c r="R222" t="s">
        <v>74</v>
      </c>
      <c r="S222" t="s">
        <v>74</v>
      </c>
      <c r="T222" t="s">
        <v>4408</v>
      </c>
      <c r="U222" t="s">
        <v>4409</v>
      </c>
      <c r="V222" t="s">
        <v>4410</v>
      </c>
      <c r="W222" t="s">
        <v>4411</v>
      </c>
      <c r="X222" t="s">
        <v>4412</v>
      </c>
      <c r="Y222" t="s">
        <v>4413</v>
      </c>
      <c r="Z222" t="s">
        <v>4414</v>
      </c>
      <c r="AA222" t="s">
        <v>4415</v>
      </c>
      <c r="AB222" t="s">
        <v>4416</v>
      </c>
      <c r="AC222" t="s">
        <v>4417</v>
      </c>
      <c r="AD222" t="s">
        <v>4418</v>
      </c>
      <c r="AE222" t="s">
        <v>4419</v>
      </c>
      <c r="AF222" t="s">
        <v>74</v>
      </c>
      <c r="AG222">
        <v>38</v>
      </c>
      <c r="AH222">
        <v>167</v>
      </c>
      <c r="AI222">
        <v>191</v>
      </c>
      <c r="AJ222">
        <v>2</v>
      </c>
      <c r="AK222">
        <v>207</v>
      </c>
      <c r="AL222" t="s">
        <v>368</v>
      </c>
      <c r="AM222" t="s">
        <v>369</v>
      </c>
      <c r="AN222" t="s">
        <v>370</v>
      </c>
      <c r="AO222" t="s">
        <v>4420</v>
      </c>
      <c r="AP222" t="s">
        <v>4421</v>
      </c>
      <c r="AQ222" t="s">
        <v>74</v>
      </c>
      <c r="AR222" t="s">
        <v>4422</v>
      </c>
      <c r="AS222" t="s">
        <v>4423</v>
      </c>
      <c r="AT222" t="s">
        <v>2831</v>
      </c>
      <c r="AU222">
        <v>2013</v>
      </c>
      <c r="AV222">
        <v>13</v>
      </c>
      <c r="AW222">
        <v>4</v>
      </c>
      <c r="AX222" t="s">
        <v>74</v>
      </c>
      <c r="AY222" t="s">
        <v>74</v>
      </c>
      <c r="AZ222" t="s">
        <v>74</v>
      </c>
      <c r="BA222" t="s">
        <v>74</v>
      </c>
      <c r="BB222">
        <v>620</v>
      </c>
      <c r="BC222">
        <v>633</v>
      </c>
      <c r="BD222" t="s">
        <v>74</v>
      </c>
      <c r="BE222" t="s">
        <v>4424</v>
      </c>
      <c r="BF222" t="str">
        <f>HYPERLINK("http://dx.doi.org/10.1111/1755-0998.12103","http://dx.doi.org/10.1111/1755-0998.12103")</f>
        <v>http://dx.doi.org/10.1111/1755-0998.12103</v>
      </c>
      <c r="BG222" t="s">
        <v>74</v>
      </c>
      <c r="BH222" t="s">
        <v>74</v>
      </c>
      <c r="BI222">
        <v>14</v>
      </c>
      <c r="BJ222" t="s">
        <v>623</v>
      </c>
      <c r="BK222" t="s">
        <v>102</v>
      </c>
      <c r="BL222" t="s">
        <v>624</v>
      </c>
      <c r="BM222" t="s">
        <v>4425</v>
      </c>
      <c r="BN222">
        <v>23590207</v>
      </c>
      <c r="BO222" t="s">
        <v>74</v>
      </c>
      <c r="BP222" t="s">
        <v>74</v>
      </c>
      <c r="BQ222" t="s">
        <v>74</v>
      </c>
      <c r="BR222" t="s">
        <v>105</v>
      </c>
      <c r="BS222" t="s">
        <v>4426</v>
      </c>
      <c r="BT222" t="str">
        <f>HYPERLINK("https%3A%2F%2Fwww.webofscience.com%2Fwos%2Fwoscc%2Ffull-record%2FWOS:000320396300007","View Full Record in Web of Science")</f>
        <v>View Full Record in Web of Science</v>
      </c>
    </row>
    <row r="223" spans="1:72" x14ac:dyDescent="0.15">
      <c r="A223" t="s">
        <v>72</v>
      </c>
      <c r="B223" t="s">
        <v>4427</v>
      </c>
      <c r="C223" t="s">
        <v>74</v>
      </c>
      <c r="D223" t="s">
        <v>74</v>
      </c>
      <c r="E223" t="s">
        <v>74</v>
      </c>
      <c r="F223" t="s">
        <v>4428</v>
      </c>
      <c r="G223" t="s">
        <v>74</v>
      </c>
      <c r="H223" t="s">
        <v>74</v>
      </c>
      <c r="I223" t="s">
        <v>4429</v>
      </c>
      <c r="J223" t="s">
        <v>4430</v>
      </c>
      <c r="K223" t="s">
        <v>74</v>
      </c>
      <c r="L223" t="s">
        <v>74</v>
      </c>
      <c r="M223" t="s">
        <v>78</v>
      </c>
      <c r="N223" t="s">
        <v>79</v>
      </c>
      <c r="O223" t="s">
        <v>74</v>
      </c>
      <c r="P223" t="s">
        <v>74</v>
      </c>
      <c r="Q223" t="s">
        <v>74</v>
      </c>
      <c r="R223" t="s">
        <v>74</v>
      </c>
      <c r="S223" t="s">
        <v>74</v>
      </c>
      <c r="T223" t="s">
        <v>4431</v>
      </c>
      <c r="U223" t="s">
        <v>4432</v>
      </c>
      <c r="V223" t="s">
        <v>4433</v>
      </c>
      <c r="W223" t="s">
        <v>4434</v>
      </c>
      <c r="X223" t="s">
        <v>4435</v>
      </c>
      <c r="Y223" t="s">
        <v>4436</v>
      </c>
      <c r="Z223" t="s">
        <v>4437</v>
      </c>
      <c r="AA223" t="s">
        <v>4438</v>
      </c>
      <c r="AB223" t="s">
        <v>4439</v>
      </c>
      <c r="AC223" t="s">
        <v>4440</v>
      </c>
      <c r="AD223" t="s">
        <v>4441</v>
      </c>
      <c r="AE223" t="s">
        <v>4442</v>
      </c>
      <c r="AF223" t="s">
        <v>74</v>
      </c>
      <c r="AG223">
        <v>58</v>
      </c>
      <c r="AH223">
        <v>61</v>
      </c>
      <c r="AI223">
        <v>69</v>
      </c>
      <c r="AJ223">
        <v>0</v>
      </c>
      <c r="AK223">
        <v>70</v>
      </c>
      <c r="AL223" t="s">
        <v>954</v>
      </c>
      <c r="AM223" t="s">
        <v>955</v>
      </c>
      <c r="AN223" t="s">
        <v>956</v>
      </c>
      <c r="AO223" t="s">
        <v>4443</v>
      </c>
      <c r="AP223" t="s">
        <v>4444</v>
      </c>
      <c r="AQ223" t="s">
        <v>74</v>
      </c>
      <c r="AR223" t="s">
        <v>4445</v>
      </c>
      <c r="AS223" t="s">
        <v>4446</v>
      </c>
      <c r="AT223" t="s">
        <v>2831</v>
      </c>
      <c r="AU223">
        <v>2013</v>
      </c>
      <c r="AV223">
        <v>68</v>
      </c>
      <c r="AW223">
        <v>1</v>
      </c>
      <c r="AX223" t="s">
        <v>74</v>
      </c>
      <c r="AY223" t="s">
        <v>74</v>
      </c>
      <c r="AZ223" t="s">
        <v>74</v>
      </c>
      <c r="BA223" t="s">
        <v>74</v>
      </c>
      <c r="BB223">
        <v>81</v>
      </c>
      <c r="BC223">
        <v>92</v>
      </c>
      <c r="BD223" t="s">
        <v>74</v>
      </c>
      <c r="BE223" t="s">
        <v>4447</v>
      </c>
      <c r="BF223" t="str">
        <f>HYPERLINK("http://dx.doi.org/10.1016/j.ympev.2013.03.017","http://dx.doi.org/10.1016/j.ympev.2013.03.017")</f>
        <v>http://dx.doi.org/10.1016/j.ympev.2013.03.017</v>
      </c>
      <c r="BG223" t="s">
        <v>74</v>
      </c>
      <c r="BH223" t="s">
        <v>74</v>
      </c>
      <c r="BI223">
        <v>12</v>
      </c>
      <c r="BJ223" t="s">
        <v>4448</v>
      </c>
      <c r="BK223" t="s">
        <v>102</v>
      </c>
      <c r="BL223" t="s">
        <v>4448</v>
      </c>
      <c r="BM223" t="s">
        <v>4449</v>
      </c>
      <c r="BN223">
        <v>23542001</v>
      </c>
      <c r="BO223" t="s">
        <v>74</v>
      </c>
      <c r="BP223" t="s">
        <v>74</v>
      </c>
      <c r="BQ223" t="s">
        <v>74</v>
      </c>
      <c r="BR223" t="s">
        <v>105</v>
      </c>
      <c r="BS223" t="s">
        <v>4450</v>
      </c>
      <c r="BT223" t="str">
        <f>HYPERLINK("https%3A%2F%2Fwww.webofscience.com%2Fwos%2Fwoscc%2Ffull-record%2FWOS:000318377800008","View Full Record in Web of Science")</f>
        <v>View Full Record in Web of Science</v>
      </c>
    </row>
    <row r="224" spans="1:72" x14ac:dyDescent="0.15">
      <c r="A224" t="s">
        <v>72</v>
      </c>
      <c r="B224" t="s">
        <v>4451</v>
      </c>
      <c r="C224" t="s">
        <v>74</v>
      </c>
      <c r="D224" t="s">
        <v>74</v>
      </c>
      <c r="E224" t="s">
        <v>74</v>
      </c>
      <c r="F224" t="s">
        <v>4452</v>
      </c>
      <c r="G224" t="s">
        <v>74</v>
      </c>
      <c r="H224" t="s">
        <v>74</v>
      </c>
      <c r="I224" t="s">
        <v>4453</v>
      </c>
      <c r="J224" t="s">
        <v>4454</v>
      </c>
      <c r="K224" t="s">
        <v>74</v>
      </c>
      <c r="L224" t="s">
        <v>74</v>
      </c>
      <c r="M224" t="s">
        <v>78</v>
      </c>
      <c r="N224" t="s">
        <v>79</v>
      </c>
      <c r="O224" t="s">
        <v>74</v>
      </c>
      <c r="P224" t="s">
        <v>74</v>
      </c>
      <c r="Q224" t="s">
        <v>74</v>
      </c>
      <c r="R224" t="s">
        <v>74</v>
      </c>
      <c r="S224" t="s">
        <v>74</v>
      </c>
      <c r="T224" t="s">
        <v>74</v>
      </c>
      <c r="U224" t="s">
        <v>4455</v>
      </c>
      <c r="V224" t="s">
        <v>4456</v>
      </c>
      <c r="W224" t="s">
        <v>4457</v>
      </c>
      <c r="X224" t="s">
        <v>4458</v>
      </c>
      <c r="Y224" t="s">
        <v>4459</v>
      </c>
      <c r="Z224" t="s">
        <v>4460</v>
      </c>
      <c r="AA224" t="s">
        <v>4461</v>
      </c>
      <c r="AB224" t="s">
        <v>4462</v>
      </c>
      <c r="AC224" t="s">
        <v>4463</v>
      </c>
      <c r="AD224" t="s">
        <v>4463</v>
      </c>
      <c r="AE224" t="s">
        <v>4464</v>
      </c>
      <c r="AF224" t="s">
        <v>74</v>
      </c>
      <c r="AG224">
        <v>32</v>
      </c>
      <c r="AH224">
        <v>36</v>
      </c>
      <c r="AI224">
        <v>39</v>
      </c>
      <c r="AJ224">
        <v>0</v>
      </c>
      <c r="AK224">
        <v>25</v>
      </c>
      <c r="AL224" t="s">
        <v>1850</v>
      </c>
      <c r="AM224" t="s">
        <v>1851</v>
      </c>
      <c r="AN224" t="s">
        <v>1852</v>
      </c>
      <c r="AO224" t="s">
        <v>4465</v>
      </c>
      <c r="AP224" t="s">
        <v>4466</v>
      </c>
      <c r="AQ224" t="s">
        <v>74</v>
      </c>
      <c r="AR224" t="s">
        <v>4467</v>
      </c>
      <c r="AS224" t="s">
        <v>4468</v>
      </c>
      <c r="AT224" t="s">
        <v>2831</v>
      </c>
      <c r="AU224">
        <v>2013</v>
      </c>
      <c r="AV224">
        <v>3</v>
      </c>
      <c r="AW224">
        <v>7</v>
      </c>
      <c r="AX224" t="s">
        <v>74</v>
      </c>
      <c r="AY224" t="s">
        <v>74</v>
      </c>
      <c r="AZ224" t="s">
        <v>74</v>
      </c>
      <c r="BA224" t="s">
        <v>74</v>
      </c>
      <c r="BB224">
        <v>654</v>
      </c>
      <c r="BC224">
        <v>659</v>
      </c>
      <c r="BD224" t="s">
        <v>74</v>
      </c>
      <c r="BE224" t="s">
        <v>4469</v>
      </c>
      <c r="BF224" t="str">
        <f>HYPERLINK("http://dx.doi.org/10.1038/NCLIMATE1845","http://dx.doi.org/10.1038/NCLIMATE1845")</f>
        <v>http://dx.doi.org/10.1038/NCLIMATE1845</v>
      </c>
      <c r="BG224" t="s">
        <v>74</v>
      </c>
      <c r="BH224" t="s">
        <v>74</v>
      </c>
      <c r="BI224">
        <v>6</v>
      </c>
      <c r="BJ224" t="s">
        <v>4470</v>
      </c>
      <c r="BK224" t="s">
        <v>3246</v>
      </c>
      <c r="BL224" t="s">
        <v>3228</v>
      </c>
      <c r="BM224" t="s">
        <v>4471</v>
      </c>
      <c r="BN224" t="s">
        <v>74</v>
      </c>
      <c r="BO224" t="s">
        <v>74</v>
      </c>
      <c r="BP224" t="s">
        <v>74</v>
      </c>
      <c r="BQ224" t="s">
        <v>74</v>
      </c>
      <c r="BR224" t="s">
        <v>105</v>
      </c>
      <c r="BS224" t="s">
        <v>4472</v>
      </c>
      <c r="BT224" t="str">
        <f>HYPERLINK("https%3A%2F%2Fwww.webofscience.com%2Fwos%2Fwoscc%2Ffull-record%2FWOS:000324486300021","View Full Record in Web of Science")</f>
        <v>View Full Record in Web of Science</v>
      </c>
    </row>
    <row r="225" spans="1:72" x14ac:dyDescent="0.15">
      <c r="A225" t="s">
        <v>72</v>
      </c>
      <c r="B225" t="s">
        <v>4473</v>
      </c>
      <c r="C225" t="s">
        <v>74</v>
      </c>
      <c r="D225" t="s">
        <v>74</v>
      </c>
      <c r="E225" t="s">
        <v>74</v>
      </c>
      <c r="F225" t="s">
        <v>4474</v>
      </c>
      <c r="G225" t="s">
        <v>74</v>
      </c>
      <c r="H225" t="s">
        <v>74</v>
      </c>
      <c r="I225" t="s">
        <v>4475</v>
      </c>
      <c r="J225" t="s">
        <v>4476</v>
      </c>
      <c r="K225" t="s">
        <v>74</v>
      </c>
      <c r="L225" t="s">
        <v>74</v>
      </c>
      <c r="M225" t="s">
        <v>4477</v>
      </c>
      <c r="N225" t="s">
        <v>79</v>
      </c>
      <c r="O225" t="s">
        <v>74</v>
      </c>
      <c r="P225" t="s">
        <v>74</v>
      </c>
      <c r="Q225" t="s">
        <v>74</v>
      </c>
      <c r="R225" t="s">
        <v>74</v>
      </c>
      <c r="S225" t="s">
        <v>74</v>
      </c>
      <c r="T225" t="s">
        <v>4478</v>
      </c>
      <c r="U225" t="s">
        <v>74</v>
      </c>
      <c r="V225" t="s">
        <v>4479</v>
      </c>
      <c r="W225" t="s">
        <v>4480</v>
      </c>
      <c r="X225" t="s">
        <v>4481</v>
      </c>
      <c r="Y225" t="s">
        <v>4482</v>
      </c>
      <c r="Z225" t="s">
        <v>74</v>
      </c>
      <c r="AA225" t="s">
        <v>4483</v>
      </c>
      <c r="AB225" t="s">
        <v>4484</v>
      </c>
      <c r="AC225" t="s">
        <v>74</v>
      </c>
      <c r="AD225" t="s">
        <v>74</v>
      </c>
      <c r="AE225" t="s">
        <v>74</v>
      </c>
      <c r="AF225" t="s">
        <v>74</v>
      </c>
      <c r="AG225">
        <v>15</v>
      </c>
      <c r="AH225">
        <v>0</v>
      </c>
      <c r="AI225">
        <v>0</v>
      </c>
      <c r="AJ225">
        <v>0</v>
      </c>
      <c r="AK225">
        <v>0</v>
      </c>
      <c r="AL225" t="s">
        <v>4485</v>
      </c>
      <c r="AM225" t="s">
        <v>4486</v>
      </c>
      <c r="AN225" t="s">
        <v>4487</v>
      </c>
      <c r="AO225" t="s">
        <v>4488</v>
      </c>
      <c r="AP225" t="s">
        <v>74</v>
      </c>
      <c r="AQ225" t="s">
        <v>74</v>
      </c>
      <c r="AR225" t="s">
        <v>4489</v>
      </c>
      <c r="AS225" t="s">
        <v>4490</v>
      </c>
      <c r="AT225" t="s">
        <v>4491</v>
      </c>
      <c r="AU225">
        <v>2013</v>
      </c>
      <c r="AV225">
        <v>3</v>
      </c>
      <c r="AW225">
        <v>2</v>
      </c>
      <c r="AX225" t="s">
        <v>74</v>
      </c>
      <c r="AY225" t="s">
        <v>74</v>
      </c>
      <c r="AZ225" t="s">
        <v>74</v>
      </c>
      <c r="BA225" t="s">
        <v>74</v>
      </c>
      <c r="BB225">
        <v>143</v>
      </c>
      <c r="BC225">
        <v>151</v>
      </c>
      <c r="BD225" t="s">
        <v>74</v>
      </c>
      <c r="BE225" t="s">
        <v>74</v>
      </c>
      <c r="BF225" t="s">
        <v>74</v>
      </c>
      <c r="BG225" t="s">
        <v>74</v>
      </c>
      <c r="BH225" t="s">
        <v>74</v>
      </c>
      <c r="BI225">
        <v>9</v>
      </c>
      <c r="BJ225" t="s">
        <v>4492</v>
      </c>
      <c r="BK225" t="s">
        <v>1452</v>
      </c>
      <c r="BL225" t="s">
        <v>4493</v>
      </c>
      <c r="BM225" t="s">
        <v>4494</v>
      </c>
      <c r="BN225" t="s">
        <v>74</v>
      </c>
      <c r="BO225" t="s">
        <v>74</v>
      </c>
      <c r="BP225" t="s">
        <v>74</v>
      </c>
      <c r="BQ225" t="s">
        <v>74</v>
      </c>
      <c r="BR225" t="s">
        <v>105</v>
      </c>
      <c r="BS225" t="s">
        <v>4495</v>
      </c>
      <c r="BT225" t="str">
        <f>HYPERLINK("https%3A%2F%2Fwww.webofscience.com%2Fwos%2Fwoscc%2Ffull-record%2FWOS:000215866300014","View Full Record in Web of Science")</f>
        <v>View Full Record in Web of Science</v>
      </c>
    </row>
    <row r="226" spans="1:72" x14ac:dyDescent="0.15">
      <c r="A226" t="s">
        <v>72</v>
      </c>
      <c r="B226" t="s">
        <v>4496</v>
      </c>
      <c r="C226" t="s">
        <v>74</v>
      </c>
      <c r="D226" t="s">
        <v>74</v>
      </c>
      <c r="E226" t="s">
        <v>74</v>
      </c>
      <c r="F226" t="s">
        <v>4497</v>
      </c>
      <c r="G226" t="s">
        <v>74</v>
      </c>
      <c r="H226" t="s">
        <v>74</v>
      </c>
      <c r="I226" t="s">
        <v>4498</v>
      </c>
      <c r="J226" t="s">
        <v>1909</v>
      </c>
      <c r="K226" t="s">
        <v>74</v>
      </c>
      <c r="L226" t="s">
        <v>74</v>
      </c>
      <c r="M226" t="s">
        <v>78</v>
      </c>
      <c r="N226" t="s">
        <v>79</v>
      </c>
      <c r="O226" t="s">
        <v>74</v>
      </c>
      <c r="P226" t="s">
        <v>74</v>
      </c>
      <c r="Q226" t="s">
        <v>74</v>
      </c>
      <c r="R226" t="s">
        <v>74</v>
      </c>
      <c r="S226" t="s">
        <v>74</v>
      </c>
      <c r="T226" t="s">
        <v>4499</v>
      </c>
      <c r="U226" t="s">
        <v>4500</v>
      </c>
      <c r="V226" t="s">
        <v>4501</v>
      </c>
      <c r="W226" t="s">
        <v>4502</v>
      </c>
      <c r="X226" t="s">
        <v>4503</v>
      </c>
      <c r="Y226" t="s">
        <v>4504</v>
      </c>
      <c r="Z226" t="s">
        <v>4505</v>
      </c>
      <c r="AA226" t="s">
        <v>4506</v>
      </c>
      <c r="AB226" t="s">
        <v>4507</v>
      </c>
      <c r="AC226" t="s">
        <v>4508</v>
      </c>
      <c r="AD226" t="s">
        <v>4509</v>
      </c>
      <c r="AE226" t="s">
        <v>4510</v>
      </c>
      <c r="AF226" t="s">
        <v>74</v>
      </c>
      <c r="AG226">
        <v>52</v>
      </c>
      <c r="AH226">
        <v>17</v>
      </c>
      <c r="AI226">
        <v>18</v>
      </c>
      <c r="AJ226">
        <v>0</v>
      </c>
      <c r="AK226">
        <v>21</v>
      </c>
      <c r="AL226" t="s">
        <v>1515</v>
      </c>
      <c r="AM226" t="s">
        <v>442</v>
      </c>
      <c r="AN226" t="s">
        <v>1516</v>
      </c>
      <c r="AO226" t="s">
        <v>1922</v>
      </c>
      <c r="AP226" t="s">
        <v>1923</v>
      </c>
      <c r="AQ226" t="s">
        <v>74</v>
      </c>
      <c r="AR226" t="s">
        <v>1924</v>
      </c>
      <c r="AS226" t="s">
        <v>1925</v>
      </c>
      <c r="AT226" t="s">
        <v>2831</v>
      </c>
      <c r="AU226">
        <v>2013</v>
      </c>
      <c r="AV226">
        <v>67</v>
      </c>
      <c r="AW226" t="s">
        <v>74</v>
      </c>
      <c r="AX226" t="s">
        <v>74</v>
      </c>
      <c r="AY226" t="s">
        <v>74</v>
      </c>
      <c r="AZ226" t="s">
        <v>74</v>
      </c>
      <c r="BA226" t="s">
        <v>74</v>
      </c>
      <c r="BB226">
        <v>39</v>
      </c>
      <c r="BC226">
        <v>51</v>
      </c>
      <c r="BD226" t="s">
        <v>74</v>
      </c>
      <c r="BE226" t="s">
        <v>4511</v>
      </c>
      <c r="BF226" t="str">
        <f>HYPERLINK("http://dx.doi.org/10.1016/j.ocemod.2013.03.004","http://dx.doi.org/10.1016/j.ocemod.2013.03.004")</f>
        <v>http://dx.doi.org/10.1016/j.ocemod.2013.03.004</v>
      </c>
      <c r="BG226" t="s">
        <v>74</v>
      </c>
      <c r="BH226" t="s">
        <v>74</v>
      </c>
      <c r="BI226">
        <v>13</v>
      </c>
      <c r="BJ226" t="s">
        <v>1927</v>
      </c>
      <c r="BK226" t="s">
        <v>102</v>
      </c>
      <c r="BL226" t="s">
        <v>1927</v>
      </c>
      <c r="BM226" t="s">
        <v>4512</v>
      </c>
      <c r="BN226" t="s">
        <v>74</v>
      </c>
      <c r="BO226" t="s">
        <v>74</v>
      </c>
      <c r="BP226" t="s">
        <v>74</v>
      </c>
      <c r="BQ226" t="s">
        <v>74</v>
      </c>
      <c r="BR226" t="s">
        <v>105</v>
      </c>
      <c r="BS226" t="s">
        <v>4513</v>
      </c>
      <c r="BT226" t="str">
        <f>HYPERLINK("https%3A%2F%2Fwww.webofscience.com%2Fwos%2Fwoscc%2Ffull-record%2FWOS:000320477100004","View Full Record in Web of Science")</f>
        <v>View Full Record in Web of Science</v>
      </c>
    </row>
    <row r="227" spans="1:72" x14ac:dyDescent="0.15">
      <c r="A227" t="s">
        <v>72</v>
      </c>
      <c r="B227" t="s">
        <v>4514</v>
      </c>
      <c r="C227" t="s">
        <v>74</v>
      </c>
      <c r="D227" t="s">
        <v>74</v>
      </c>
      <c r="E227" t="s">
        <v>74</v>
      </c>
      <c r="F227" t="s">
        <v>4515</v>
      </c>
      <c r="G227" t="s">
        <v>74</v>
      </c>
      <c r="H227" t="s">
        <v>74</v>
      </c>
      <c r="I227" t="s">
        <v>4516</v>
      </c>
      <c r="J227" t="s">
        <v>4517</v>
      </c>
      <c r="K227" t="s">
        <v>74</v>
      </c>
      <c r="L227" t="s">
        <v>74</v>
      </c>
      <c r="M227" t="s">
        <v>78</v>
      </c>
      <c r="N227" t="s">
        <v>79</v>
      </c>
      <c r="O227" t="s">
        <v>74</v>
      </c>
      <c r="P227" t="s">
        <v>74</v>
      </c>
      <c r="Q227" t="s">
        <v>74</v>
      </c>
      <c r="R227" t="s">
        <v>74</v>
      </c>
      <c r="S227" t="s">
        <v>74</v>
      </c>
      <c r="T227" t="s">
        <v>4518</v>
      </c>
      <c r="U227" t="s">
        <v>4519</v>
      </c>
      <c r="V227" t="s">
        <v>4520</v>
      </c>
      <c r="W227" t="s">
        <v>4521</v>
      </c>
      <c r="X227" t="s">
        <v>4522</v>
      </c>
      <c r="Y227" t="s">
        <v>4523</v>
      </c>
      <c r="Z227" t="s">
        <v>4524</v>
      </c>
      <c r="AA227" t="s">
        <v>4525</v>
      </c>
      <c r="AB227" t="s">
        <v>4526</v>
      </c>
      <c r="AC227" t="s">
        <v>4527</v>
      </c>
      <c r="AD227" t="s">
        <v>4528</v>
      </c>
      <c r="AE227" t="s">
        <v>4529</v>
      </c>
      <c r="AF227" t="s">
        <v>74</v>
      </c>
      <c r="AG227">
        <v>60</v>
      </c>
      <c r="AH227">
        <v>40</v>
      </c>
      <c r="AI227">
        <v>42</v>
      </c>
      <c r="AJ227">
        <v>0</v>
      </c>
      <c r="AK227">
        <v>39</v>
      </c>
      <c r="AL227" t="s">
        <v>368</v>
      </c>
      <c r="AM227" t="s">
        <v>369</v>
      </c>
      <c r="AN227" t="s">
        <v>370</v>
      </c>
      <c r="AO227" t="s">
        <v>4530</v>
      </c>
      <c r="AP227" t="s">
        <v>4531</v>
      </c>
      <c r="AQ227" t="s">
        <v>74</v>
      </c>
      <c r="AR227" t="s">
        <v>4532</v>
      </c>
      <c r="AS227" t="s">
        <v>4533</v>
      </c>
      <c r="AT227" t="s">
        <v>2831</v>
      </c>
      <c r="AU227">
        <v>2013</v>
      </c>
      <c r="AV227">
        <v>24</v>
      </c>
      <c r="AW227">
        <v>3</v>
      </c>
      <c r="AX227" t="s">
        <v>74</v>
      </c>
      <c r="AY227" t="s">
        <v>74</v>
      </c>
      <c r="AZ227" t="s">
        <v>74</v>
      </c>
      <c r="BA227" t="s">
        <v>74</v>
      </c>
      <c r="BB227">
        <v>160</v>
      </c>
      <c r="BC227">
        <v>174</v>
      </c>
      <c r="BD227" t="s">
        <v>74</v>
      </c>
      <c r="BE227" t="s">
        <v>4534</v>
      </c>
      <c r="BF227" t="str">
        <f>HYPERLINK("http://dx.doi.org/10.1002/ppp.1769","http://dx.doi.org/10.1002/ppp.1769")</f>
        <v>http://dx.doi.org/10.1002/ppp.1769</v>
      </c>
      <c r="BG227" t="s">
        <v>74</v>
      </c>
      <c r="BH227" t="s">
        <v>74</v>
      </c>
      <c r="BI227">
        <v>15</v>
      </c>
      <c r="BJ227" t="s">
        <v>4535</v>
      </c>
      <c r="BK227" t="s">
        <v>102</v>
      </c>
      <c r="BL227" t="s">
        <v>651</v>
      </c>
      <c r="BM227" t="s">
        <v>4536</v>
      </c>
      <c r="BN227" t="s">
        <v>74</v>
      </c>
      <c r="BO227" t="s">
        <v>74</v>
      </c>
      <c r="BP227" t="s">
        <v>74</v>
      </c>
      <c r="BQ227" t="s">
        <v>74</v>
      </c>
      <c r="BR227" t="s">
        <v>105</v>
      </c>
      <c r="BS227" t="s">
        <v>4537</v>
      </c>
      <c r="BT227" t="str">
        <f>HYPERLINK("https%3A%2F%2Fwww.webofscience.com%2Fwos%2Fwoscc%2Ffull-record%2FWOS:000323843700002","View Full Record in Web of Science")</f>
        <v>View Full Record in Web of Science</v>
      </c>
    </row>
    <row r="228" spans="1:72" x14ac:dyDescent="0.15">
      <c r="A228" t="s">
        <v>72</v>
      </c>
      <c r="B228" t="s">
        <v>4538</v>
      </c>
      <c r="C228" t="s">
        <v>74</v>
      </c>
      <c r="D228" t="s">
        <v>74</v>
      </c>
      <c r="E228" t="s">
        <v>74</v>
      </c>
      <c r="F228" t="s">
        <v>4539</v>
      </c>
      <c r="G228" t="s">
        <v>74</v>
      </c>
      <c r="H228" t="s">
        <v>74</v>
      </c>
      <c r="I228" t="s">
        <v>4540</v>
      </c>
      <c r="J228" t="s">
        <v>2997</v>
      </c>
      <c r="K228" t="s">
        <v>74</v>
      </c>
      <c r="L228" t="s">
        <v>74</v>
      </c>
      <c r="M228" t="s">
        <v>78</v>
      </c>
      <c r="N228" t="s">
        <v>79</v>
      </c>
      <c r="O228" t="s">
        <v>74</v>
      </c>
      <c r="P228" t="s">
        <v>74</v>
      </c>
      <c r="Q228" t="s">
        <v>74</v>
      </c>
      <c r="R228" t="s">
        <v>74</v>
      </c>
      <c r="S228" t="s">
        <v>74</v>
      </c>
      <c r="T228" t="s">
        <v>4541</v>
      </c>
      <c r="U228" t="s">
        <v>4542</v>
      </c>
      <c r="V228" t="s">
        <v>4543</v>
      </c>
      <c r="W228" t="s">
        <v>4544</v>
      </c>
      <c r="X228" t="s">
        <v>147</v>
      </c>
      <c r="Y228" t="s">
        <v>4545</v>
      </c>
      <c r="Z228" t="s">
        <v>4546</v>
      </c>
      <c r="AA228" t="s">
        <v>4547</v>
      </c>
      <c r="AB228" t="s">
        <v>4548</v>
      </c>
      <c r="AC228" t="s">
        <v>74</v>
      </c>
      <c r="AD228" t="s">
        <v>74</v>
      </c>
      <c r="AE228" t="s">
        <v>74</v>
      </c>
      <c r="AF228" t="s">
        <v>74</v>
      </c>
      <c r="AG228">
        <v>42</v>
      </c>
      <c r="AH228">
        <v>25</v>
      </c>
      <c r="AI228">
        <v>26</v>
      </c>
      <c r="AJ228">
        <v>1</v>
      </c>
      <c r="AK228">
        <v>21</v>
      </c>
      <c r="AL228" t="s">
        <v>1080</v>
      </c>
      <c r="AM228" t="s">
        <v>1081</v>
      </c>
      <c r="AN228" t="s">
        <v>1082</v>
      </c>
      <c r="AO228" t="s">
        <v>3005</v>
      </c>
      <c r="AP228" t="s">
        <v>4549</v>
      </c>
      <c r="AQ228" t="s">
        <v>74</v>
      </c>
      <c r="AR228" t="s">
        <v>2997</v>
      </c>
      <c r="AS228" t="s">
        <v>3006</v>
      </c>
      <c r="AT228" t="s">
        <v>2831</v>
      </c>
      <c r="AU228">
        <v>2013</v>
      </c>
      <c r="AV228">
        <v>52</v>
      </c>
      <c r="AW228">
        <v>4</v>
      </c>
      <c r="AX228" t="s">
        <v>74</v>
      </c>
      <c r="AY228" t="s">
        <v>74</v>
      </c>
      <c r="AZ228" t="s">
        <v>74</v>
      </c>
      <c r="BA228" t="s">
        <v>74</v>
      </c>
      <c r="BB228">
        <v>368</v>
      </c>
      <c r="BC228">
        <v>374</v>
      </c>
      <c r="BD228" t="s">
        <v>74</v>
      </c>
      <c r="BE228" t="s">
        <v>4550</v>
      </c>
      <c r="BF228" t="str">
        <f>HYPERLINK("http://dx.doi.org/10.2216/12-111.1","http://dx.doi.org/10.2216/12-111.1")</f>
        <v>http://dx.doi.org/10.2216/12-111.1</v>
      </c>
      <c r="BG228" t="s">
        <v>74</v>
      </c>
      <c r="BH228" t="s">
        <v>74</v>
      </c>
      <c r="BI228">
        <v>7</v>
      </c>
      <c r="BJ228" t="s">
        <v>1748</v>
      </c>
      <c r="BK228" t="s">
        <v>102</v>
      </c>
      <c r="BL228" t="s">
        <v>1748</v>
      </c>
      <c r="BM228" t="s">
        <v>4551</v>
      </c>
      <c r="BN228" t="s">
        <v>74</v>
      </c>
      <c r="BO228" t="s">
        <v>74</v>
      </c>
      <c r="BP228" t="s">
        <v>74</v>
      </c>
      <c r="BQ228" t="s">
        <v>74</v>
      </c>
      <c r="BR228" t="s">
        <v>105</v>
      </c>
      <c r="BS228" t="s">
        <v>4552</v>
      </c>
      <c r="BT228" t="str">
        <f>HYPERLINK("https%3A%2F%2Fwww.webofscience.com%2Fwos%2Fwoscc%2Ffull-record%2FWOS:000325964600007","View Full Record in Web of Science")</f>
        <v>View Full Record in Web of Science</v>
      </c>
    </row>
    <row r="229" spans="1:72" x14ac:dyDescent="0.15">
      <c r="A229" t="s">
        <v>72</v>
      </c>
      <c r="B229" t="s">
        <v>2088</v>
      </c>
      <c r="C229" t="s">
        <v>74</v>
      </c>
      <c r="D229" t="s">
        <v>74</v>
      </c>
      <c r="E229" t="s">
        <v>74</v>
      </c>
      <c r="F229" t="s">
        <v>2088</v>
      </c>
      <c r="G229" t="s">
        <v>74</v>
      </c>
      <c r="H229" t="s">
        <v>74</v>
      </c>
      <c r="I229" t="s">
        <v>4553</v>
      </c>
      <c r="J229" t="s">
        <v>4554</v>
      </c>
      <c r="K229" t="s">
        <v>74</v>
      </c>
      <c r="L229" t="s">
        <v>74</v>
      </c>
      <c r="M229" t="s">
        <v>78</v>
      </c>
      <c r="N229" t="s">
        <v>991</v>
      </c>
      <c r="O229" t="s">
        <v>74</v>
      </c>
      <c r="P229" t="s">
        <v>74</v>
      </c>
      <c r="Q229" t="s">
        <v>74</v>
      </c>
      <c r="R229" t="s">
        <v>74</v>
      </c>
      <c r="S229" t="s">
        <v>74</v>
      </c>
      <c r="T229" t="s">
        <v>74</v>
      </c>
      <c r="U229" t="s">
        <v>74</v>
      </c>
      <c r="V229" t="s">
        <v>74</v>
      </c>
      <c r="W229" t="s">
        <v>74</v>
      </c>
      <c r="X229" t="s">
        <v>74</v>
      </c>
      <c r="Y229" t="s">
        <v>74</v>
      </c>
      <c r="Z229" t="s">
        <v>74</v>
      </c>
      <c r="AA229" t="s">
        <v>74</v>
      </c>
      <c r="AB229" t="s">
        <v>74</v>
      </c>
      <c r="AC229" t="s">
        <v>74</v>
      </c>
      <c r="AD229" t="s">
        <v>74</v>
      </c>
      <c r="AE229" t="s">
        <v>74</v>
      </c>
      <c r="AF229" t="s">
        <v>74</v>
      </c>
      <c r="AG229">
        <v>1</v>
      </c>
      <c r="AH229">
        <v>0</v>
      </c>
      <c r="AI229">
        <v>0</v>
      </c>
      <c r="AJ229">
        <v>0</v>
      </c>
      <c r="AK229">
        <v>1</v>
      </c>
      <c r="AL229" t="s">
        <v>4555</v>
      </c>
      <c r="AM229" t="s">
        <v>4556</v>
      </c>
      <c r="AN229" t="s">
        <v>4557</v>
      </c>
      <c r="AO229" t="s">
        <v>4558</v>
      </c>
      <c r="AP229" t="s">
        <v>4559</v>
      </c>
      <c r="AQ229" t="s">
        <v>74</v>
      </c>
      <c r="AR229" t="s">
        <v>4560</v>
      </c>
      <c r="AS229" t="s">
        <v>4561</v>
      </c>
      <c r="AT229" t="s">
        <v>2831</v>
      </c>
      <c r="AU229">
        <v>2013</v>
      </c>
      <c r="AV229">
        <v>66</v>
      </c>
      <c r="AW229">
        <v>7</v>
      </c>
      <c r="AX229" t="s">
        <v>74</v>
      </c>
      <c r="AY229" t="s">
        <v>74</v>
      </c>
      <c r="AZ229" t="s">
        <v>74</v>
      </c>
      <c r="BA229" t="s">
        <v>74</v>
      </c>
      <c r="BB229">
        <v>72</v>
      </c>
      <c r="BC229">
        <v>72</v>
      </c>
      <c r="BD229" t="s">
        <v>74</v>
      </c>
      <c r="BE229" t="s">
        <v>74</v>
      </c>
      <c r="BF229" t="s">
        <v>74</v>
      </c>
      <c r="BG229" t="s">
        <v>74</v>
      </c>
      <c r="BH229" t="s">
        <v>74</v>
      </c>
      <c r="BI229">
        <v>1</v>
      </c>
      <c r="BJ229" t="s">
        <v>4562</v>
      </c>
      <c r="BK229" t="s">
        <v>102</v>
      </c>
      <c r="BL229" t="s">
        <v>2683</v>
      </c>
      <c r="BM229" t="s">
        <v>4563</v>
      </c>
      <c r="BN229" t="s">
        <v>74</v>
      </c>
      <c r="BO229" t="s">
        <v>74</v>
      </c>
      <c r="BP229" t="s">
        <v>74</v>
      </c>
      <c r="BQ229" t="s">
        <v>74</v>
      </c>
      <c r="BR229" t="s">
        <v>105</v>
      </c>
      <c r="BS229" t="s">
        <v>4564</v>
      </c>
      <c r="BT229" t="str">
        <f>HYPERLINK("https%3A%2F%2Fwww.webofscience.com%2Fwos%2Fwoscc%2Ffull-record%2FWOS:000327027700024","View Full Record in Web of Science")</f>
        <v>View Full Record in Web of Science</v>
      </c>
    </row>
    <row r="230" spans="1:72" x14ac:dyDescent="0.15">
      <c r="A230" t="s">
        <v>72</v>
      </c>
      <c r="B230" t="s">
        <v>4565</v>
      </c>
      <c r="C230" t="s">
        <v>74</v>
      </c>
      <c r="D230" t="s">
        <v>74</v>
      </c>
      <c r="E230" t="s">
        <v>74</v>
      </c>
      <c r="F230" t="s">
        <v>4566</v>
      </c>
      <c r="G230" t="s">
        <v>74</v>
      </c>
      <c r="H230" t="s">
        <v>74</v>
      </c>
      <c r="I230" t="s">
        <v>4567</v>
      </c>
      <c r="J230" t="s">
        <v>3345</v>
      </c>
      <c r="K230" t="s">
        <v>74</v>
      </c>
      <c r="L230" t="s">
        <v>74</v>
      </c>
      <c r="M230" t="s">
        <v>78</v>
      </c>
      <c r="N230" t="s">
        <v>79</v>
      </c>
      <c r="O230" t="s">
        <v>74</v>
      </c>
      <c r="P230" t="s">
        <v>74</v>
      </c>
      <c r="Q230" t="s">
        <v>74</v>
      </c>
      <c r="R230" t="s">
        <v>74</v>
      </c>
      <c r="S230" t="s">
        <v>74</v>
      </c>
      <c r="T230" t="s">
        <v>4568</v>
      </c>
      <c r="U230" t="s">
        <v>4569</v>
      </c>
      <c r="V230" t="s">
        <v>4570</v>
      </c>
      <c r="W230" t="s">
        <v>4571</v>
      </c>
      <c r="X230" t="s">
        <v>4572</v>
      </c>
      <c r="Y230" t="s">
        <v>4573</v>
      </c>
      <c r="Z230" t="s">
        <v>4574</v>
      </c>
      <c r="AA230" t="s">
        <v>4575</v>
      </c>
      <c r="AB230" t="s">
        <v>4576</v>
      </c>
      <c r="AC230" t="s">
        <v>4577</v>
      </c>
      <c r="AD230" t="s">
        <v>4578</v>
      </c>
      <c r="AE230" t="s">
        <v>4579</v>
      </c>
      <c r="AF230" t="s">
        <v>74</v>
      </c>
      <c r="AG230">
        <v>108</v>
      </c>
      <c r="AH230">
        <v>49</v>
      </c>
      <c r="AI230">
        <v>53</v>
      </c>
      <c r="AJ230">
        <v>2</v>
      </c>
      <c r="AK230">
        <v>58</v>
      </c>
      <c r="AL230" t="s">
        <v>529</v>
      </c>
      <c r="AM230" t="s">
        <v>391</v>
      </c>
      <c r="AN230" t="s">
        <v>530</v>
      </c>
      <c r="AO230" t="s">
        <v>3358</v>
      </c>
      <c r="AP230" t="s">
        <v>3359</v>
      </c>
      <c r="AQ230" t="s">
        <v>74</v>
      </c>
      <c r="AR230" t="s">
        <v>3360</v>
      </c>
      <c r="AS230" t="s">
        <v>3361</v>
      </c>
      <c r="AT230" t="s">
        <v>2831</v>
      </c>
      <c r="AU230">
        <v>2013</v>
      </c>
      <c r="AV230">
        <v>36</v>
      </c>
      <c r="AW230">
        <v>7</v>
      </c>
      <c r="AX230" t="s">
        <v>74</v>
      </c>
      <c r="AY230" t="s">
        <v>74</v>
      </c>
      <c r="AZ230" t="s">
        <v>74</v>
      </c>
      <c r="BA230" t="s">
        <v>74</v>
      </c>
      <c r="BB230">
        <v>933</v>
      </c>
      <c r="BC230">
        <v>948</v>
      </c>
      <c r="BD230" t="s">
        <v>74</v>
      </c>
      <c r="BE230" t="s">
        <v>4580</v>
      </c>
      <c r="BF230" t="str">
        <f>HYPERLINK("http://dx.doi.org/10.1007/s00300-013-1317-5","http://dx.doi.org/10.1007/s00300-013-1317-5")</f>
        <v>http://dx.doi.org/10.1007/s00300-013-1317-5</v>
      </c>
      <c r="BG230" t="s">
        <v>74</v>
      </c>
      <c r="BH230" t="s">
        <v>74</v>
      </c>
      <c r="BI230">
        <v>16</v>
      </c>
      <c r="BJ230" t="s">
        <v>1158</v>
      </c>
      <c r="BK230" t="s">
        <v>102</v>
      </c>
      <c r="BL230" t="s">
        <v>1159</v>
      </c>
      <c r="BM230" t="s">
        <v>3363</v>
      </c>
      <c r="BN230" t="s">
        <v>74</v>
      </c>
      <c r="BO230" t="s">
        <v>74</v>
      </c>
      <c r="BP230" t="s">
        <v>74</v>
      </c>
      <c r="BQ230" t="s">
        <v>74</v>
      </c>
      <c r="BR230" t="s">
        <v>105</v>
      </c>
      <c r="BS230" t="s">
        <v>4581</v>
      </c>
      <c r="BT230" t="str">
        <f>HYPERLINK("https%3A%2F%2Fwww.webofscience.com%2Fwos%2Fwoscc%2Ffull-record%2FWOS:000321974900002","View Full Record in Web of Science")</f>
        <v>View Full Record in Web of Science</v>
      </c>
    </row>
    <row r="231" spans="1:72" x14ac:dyDescent="0.15">
      <c r="A231" t="s">
        <v>72</v>
      </c>
      <c r="B231" t="s">
        <v>4582</v>
      </c>
      <c r="C231" t="s">
        <v>74</v>
      </c>
      <c r="D231" t="s">
        <v>74</v>
      </c>
      <c r="E231" t="s">
        <v>74</v>
      </c>
      <c r="F231" t="s">
        <v>4583</v>
      </c>
      <c r="G231" t="s">
        <v>74</v>
      </c>
      <c r="H231" t="s">
        <v>74</v>
      </c>
      <c r="I231" t="s">
        <v>4584</v>
      </c>
      <c r="J231" t="s">
        <v>3345</v>
      </c>
      <c r="K231" t="s">
        <v>74</v>
      </c>
      <c r="L231" t="s">
        <v>74</v>
      </c>
      <c r="M231" t="s">
        <v>78</v>
      </c>
      <c r="N231" t="s">
        <v>79</v>
      </c>
      <c r="O231" t="s">
        <v>74</v>
      </c>
      <c r="P231" t="s">
        <v>74</v>
      </c>
      <c r="Q231" t="s">
        <v>74</v>
      </c>
      <c r="R231" t="s">
        <v>74</v>
      </c>
      <c r="S231" t="s">
        <v>74</v>
      </c>
      <c r="T231" t="s">
        <v>4585</v>
      </c>
      <c r="U231" t="s">
        <v>4586</v>
      </c>
      <c r="V231" t="s">
        <v>4587</v>
      </c>
      <c r="W231" t="s">
        <v>4588</v>
      </c>
      <c r="X231" t="s">
        <v>1300</v>
      </c>
      <c r="Y231" t="s">
        <v>4589</v>
      </c>
      <c r="Z231" t="s">
        <v>4590</v>
      </c>
      <c r="AA231" t="s">
        <v>74</v>
      </c>
      <c r="AB231" t="s">
        <v>74</v>
      </c>
      <c r="AC231" t="s">
        <v>4591</v>
      </c>
      <c r="AD231" t="s">
        <v>4592</v>
      </c>
      <c r="AE231" t="s">
        <v>4593</v>
      </c>
      <c r="AF231" t="s">
        <v>74</v>
      </c>
      <c r="AG231">
        <v>64</v>
      </c>
      <c r="AH231">
        <v>18</v>
      </c>
      <c r="AI231">
        <v>18</v>
      </c>
      <c r="AJ231">
        <v>2</v>
      </c>
      <c r="AK231">
        <v>44</v>
      </c>
      <c r="AL231" t="s">
        <v>529</v>
      </c>
      <c r="AM231" t="s">
        <v>391</v>
      </c>
      <c r="AN231" t="s">
        <v>530</v>
      </c>
      <c r="AO231" t="s">
        <v>3358</v>
      </c>
      <c r="AP231" t="s">
        <v>3359</v>
      </c>
      <c r="AQ231" t="s">
        <v>74</v>
      </c>
      <c r="AR231" t="s">
        <v>3360</v>
      </c>
      <c r="AS231" t="s">
        <v>3361</v>
      </c>
      <c r="AT231" t="s">
        <v>2831</v>
      </c>
      <c r="AU231">
        <v>2013</v>
      </c>
      <c r="AV231">
        <v>36</v>
      </c>
      <c r="AW231">
        <v>7</v>
      </c>
      <c r="AX231" t="s">
        <v>74</v>
      </c>
      <c r="AY231" t="s">
        <v>74</v>
      </c>
      <c r="AZ231" t="s">
        <v>74</v>
      </c>
      <c r="BA231" t="s">
        <v>74</v>
      </c>
      <c r="BB231">
        <v>969</v>
      </c>
      <c r="BC231">
        <v>983</v>
      </c>
      <c r="BD231" t="s">
        <v>74</v>
      </c>
      <c r="BE231" t="s">
        <v>4594</v>
      </c>
      <c r="BF231" t="str">
        <f>HYPERLINK("http://dx.doi.org/10.1007/s00300-013-1321-9","http://dx.doi.org/10.1007/s00300-013-1321-9")</f>
        <v>http://dx.doi.org/10.1007/s00300-013-1321-9</v>
      </c>
      <c r="BG231" t="s">
        <v>74</v>
      </c>
      <c r="BH231" t="s">
        <v>74</v>
      </c>
      <c r="BI231">
        <v>15</v>
      </c>
      <c r="BJ231" t="s">
        <v>1158</v>
      </c>
      <c r="BK231" t="s">
        <v>102</v>
      </c>
      <c r="BL231" t="s">
        <v>1159</v>
      </c>
      <c r="BM231" t="s">
        <v>3363</v>
      </c>
      <c r="BN231" t="s">
        <v>74</v>
      </c>
      <c r="BO231" t="s">
        <v>74</v>
      </c>
      <c r="BP231" t="s">
        <v>74</v>
      </c>
      <c r="BQ231" t="s">
        <v>74</v>
      </c>
      <c r="BR231" t="s">
        <v>105</v>
      </c>
      <c r="BS231" t="s">
        <v>4595</v>
      </c>
      <c r="BT231" t="str">
        <f>HYPERLINK("https%3A%2F%2Fwww.webofscience.com%2Fwos%2Fwoscc%2Ffull-record%2FWOS:000321974900005","View Full Record in Web of Science")</f>
        <v>View Full Record in Web of Science</v>
      </c>
    </row>
    <row r="232" spans="1:72" x14ac:dyDescent="0.15">
      <c r="A232" t="s">
        <v>72</v>
      </c>
      <c r="B232" t="s">
        <v>4596</v>
      </c>
      <c r="C232" t="s">
        <v>74</v>
      </c>
      <c r="D232" t="s">
        <v>74</v>
      </c>
      <c r="E232" t="s">
        <v>74</v>
      </c>
      <c r="F232" t="s">
        <v>4597</v>
      </c>
      <c r="G232" t="s">
        <v>74</v>
      </c>
      <c r="H232" t="s">
        <v>74</v>
      </c>
      <c r="I232" t="s">
        <v>4598</v>
      </c>
      <c r="J232" t="s">
        <v>3345</v>
      </c>
      <c r="K232" t="s">
        <v>74</v>
      </c>
      <c r="L232" t="s">
        <v>74</v>
      </c>
      <c r="M232" t="s">
        <v>78</v>
      </c>
      <c r="N232" t="s">
        <v>79</v>
      </c>
      <c r="O232" t="s">
        <v>74</v>
      </c>
      <c r="P232" t="s">
        <v>74</v>
      </c>
      <c r="Q232" t="s">
        <v>74</v>
      </c>
      <c r="R232" t="s">
        <v>74</v>
      </c>
      <c r="S232" t="s">
        <v>74</v>
      </c>
      <c r="T232" t="s">
        <v>4599</v>
      </c>
      <c r="U232" t="s">
        <v>4600</v>
      </c>
      <c r="V232" t="s">
        <v>4601</v>
      </c>
      <c r="W232" t="s">
        <v>4602</v>
      </c>
      <c r="X232" t="s">
        <v>4603</v>
      </c>
      <c r="Y232" t="s">
        <v>4604</v>
      </c>
      <c r="Z232" t="s">
        <v>4605</v>
      </c>
      <c r="AA232" t="s">
        <v>4606</v>
      </c>
      <c r="AB232" t="s">
        <v>4607</v>
      </c>
      <c r="AC232" t="s">
        <v>2334</v>
      </c>
      <c r="AD232" t="s">
        <v>995</v>
      </c>
      <c r="AE232" t="s">
        <v>74</v>
      </c>
      <c r="AF232" t="s">
        <v>74</v>
      </c>
      <c r="AG232">
        <v>60</v>
      </c>
      <c r="AH232">
        <v>36</v>
      </c>
      <c r="AI232">
        <v>37</v>
      </c>
      <c r="AJ232">
        <v>0</v>
      </c>
      <c r="AK232">
        <v>32</v>
      </c>
      <c r="AL232" t="s">
        <v>529</v>
      </c>
      <c r="AM232" t="s">
        <v>391</v>
      </c>
      <c r="AN232" t="s">
        <v>1220</v>
      </c>
      <c r="AO232" t="s">
        <v>3358</v>
      </c>
      <c r="AP232" t="s">
        <v>3359</v>
      </c>
      <c r="AQ232" t="s">
        <v>74</v>
      </c>
      <c r="AR232" t="s">
        <v>3360</v>
      </c>
      <c r="AS232" t="s">
        <v>3361</v>
      </c>
      <c r="AT232" t="s">
        <v>2831</v>
      </c>
      <c r="AU232">
        <v>2013</v>
      </c>
      <c r="AV232">
        <v>36</v>
      </c>
      <c r="AW232">
        <v>7</v>
      </c>
      <c r="AX232" t="s">
        <v>74</v>
      </c>
      <c r="AY232" t="s">
        <v>74</v>
      </c>
      <c r="AZ232" t="s">
        <v>74</v>
      </c>
      <c r="BA232" t="s">
        <v>74</v>
      </c>
      <c r="BB232">
        <v>1007</v>
      </c>
      <c r="BC232">
        <v>1018</v>
      </c>
      <c r="BD232" t="s">
        <v>74</v>
      </c>
      <c r="BE232" t="s">
        <v>4608</v>
      </c>
      <c r="BF232" t="str">
        <f>HYPERLINK("http://dx.doi.org/10.1007/s00300-013-1324-6","http://dx.doi.org/10.1007/s00300-013-1324-6")</f>
        <v>http://dx.doi.org/10.1007/s00300-013-1324-6</v>
      </c>
      <c r="BG232" t="s">
        <v>74</v>
      </c>
      <c r="BH232" t="s">
        <v>74</v>
      </c>
      <c r="BI232">
        <v>12</v>
      </c>
      <c r="BJ232" t="s">
        <v>1158</v>
      </c>
      <c r="BK232" t="s">
        <v>102</v>
      </c>
      <c r="BL232" t="s">
        <v>1159</v>
      </c>
      <c r="BM232" t="s">
        <v>3363</v>
      </c>
      <c r="BN232" t="s">
        <v>74</v>
      </c>
      <c r="BO232" t="s">
        <v>74</v>
      </c>
      <c r="BP232" t="s">
        <v>74</v>
      </c>
      <c r="BQ232" t="s">
        <v>74</v>
      </c>
      <c r="BR232" t="s">
        <v>105</v>
      </c>
      <c r="BS232" t="s">
        <v>4609</v>
      </c>
      <c r="BT232" t="str">
        <f>HYPERLINK("https%3A%2F%2Fwww.webofscience.com%2Fwos%2Fwoscc%2Ffull-record%2FWOS:000321974900008","View Full Record in Web of Science")</f>
        <v>View Full Record in Web of Science</v>
      </c>
    </row>
    <row r="233" spans="1:72" x14ac:dyDescent="0.15">
      <c r="A233" t="s">
        <v>72</v>
      </c>
      <c r="B233" t="s">
        <v>4610</v>
      </c>
      <c r="C233" t="s">
        <v>74</v>
      </c>
      <c r="D233" t="s">
        <v>74</v>
      </c>
      <c r="E233" t="s">
        <v>74</v>
      </c>
      <c r="F233" t="s">
        <v>4611</v>
      </c>
      <c r="G233" t="s">
        <v>74</v>
      </c>
      <c r="H233" t="s">
        <v>74</v>
      </c>
      <c r="I233" t="s">
        <v>4612</v>
      </c>
      <c r="J233" t="s">
        <v>3345</v>
      </c>
      <c r="K233" t="s">
        <v>74</v>
      </c>
      <c r="L233" t="s">
        <v>74</v>
      </c>
      <c r="M233" t="s">
        <v>78</v>
      </c>
      <c r="N233" t="s">
        <v>79</v>
      </c>
      <c r="O233" t="s">
        <v>74</v>
      </c>
      <c r="P233" t="s">
        <v>74</v>
      </c>
      <c r="Q233" t="s">
        <v>74</v>
      </c>
      <c r="R233" t="s">
        <v>74</v>
      </c>
      <c r="S233" t="s">
        <v>74</v>
      </c>
      <c r="T233" t="s">
        <v>4613</v>
      </c>
      <c r="U233" t="s">
        <v>4614</v>
      </c>
      <c r="V233" t="s">
        <v>4615</v>
      </c>
      <c r="W233" t="s">
        <v>4616</v>
      </c>
      <c r="X233" t="s">
        <v>4617</v>
      </c>
      <c r="Y233" t="s">
        <v>4618</v>
      </c>
      <c r="Z233" t="s">
        <v>4619</v>
      </c>
      <c r="AA233" t="s">
        <v>4620</v>
      </c>
      <c r="AB233" t="s">
        <v>4621</v>
      </c>
      <c r="AC233" t="s">
        <v>4622</v>
      </c>
      <c r="AD233" t="s">
        <v>4623</v>
      </c>
      <c r="AE233" t="s">
        <v>4624</v>
      </c>
      <c r="AF233" t="s">
        <v>74</v>
      </c>
      <c r="AG233">
        <v>47</v>
      </c>
      <c r="AH233">
        <v>36</v>
      </c>
      <c r="AI233">
        <v>44</v>
      </c>
      <c r="AJ233">
        <v>0</v>
      </c>
      <c r="AK233">
        <v>56</v>
      </c>
      <c r="AL233" t="s">
        <v>529</v>
      </c>
      <c r="AM233" t="s">
        <v>391</v>
      </c>
      <c r="AN233" t="s">
        <v>1220</v>
      </c>
      <c r="AO233" t="s">
        <v>3358</v>
      </c>
      <c r="AP233" t="s">
        <v>3359</v>
      </c>
      <c r="AQ233" t="s">
        <v>74</v>
      </c>
      <c r="AR233" t="s">
        <v>3360</v>
      </c>
      <c r="AS233" t="s">
        <v>3361</v>
      </c>
      <c r="AT233" t="s">
        <v>2831</v>
      </c>
      <c r="AU233">
        <v>2013</v>
      </c>
      <c r="AV233">
        <v>36</v>
      </c>
      <c r="AW233">
        <v>7</v>
      </c>
      <c r="AX233" t="s">
        <v>74</v>
      </c>
      <c r="AY233" t="s">
        <v>74</v>
      </c>
      <c r="AZ233" t="s">
        <v>74</v>
      </c>
      <c r="BA233" t="s">
        <v>74</v>
      </c>
      <c r="BB233">
        <v>1047</v>
      </c>
      <c r="BC233">
        <v>1057</v>
      </c>
      <c r="BD233" t="s">
        <v>74</v>
      </c>
      <c r="BE233" t="s">
        <v>4625</v>
      </c>
      <c r="BF233" t="str">
        <f>HYPERLINK("http://dx.doi.org/10.1007/s00300-013-1327-3","http://dx.doi.org/10.1007/s00300-013-1327-3")</f>
        <v>http://dx.doi.org/10.1007/s00300-013-1327-3</v>
      </c>
      <c r="BG233" t="s">
        <v>74</v>
      </c>
      <c r="BH233" t="s">
        <v>74</v>
      </c>
      <c r="BI233">
        <v>11</v>
      </c>
      <c r="BJ233" t="s">
        <v>1158</v>
      </c>
      <c r="BK233" t="s">
        <v>102</v>
      </c>
      <c r="BL233" t="s">
        <v>1159</v>
      </c>
      <c r="BM233" t="s">
        <v>3363</v>
      </c>
      <c r="BN233" t="s">
        <v>74</v>
      </c>
      <c r="BO233" t="s">
        <v>74</v>
      </c>
      <c r="BP233" t="s">
        <v>74</v>
      </c>
      <c r="BQ233" t="s">
        <v>74</v>
      </c>
      <c r="BR233" t="s">
        <v>105</v>
      </c>
      <c r="BS233" t="s">
        <v>4626</v>
      </c>
      <c r="BT233" t="str">
        <f>HYPERLINK("https%3A%2F%2Fwww.webofscience.com%2Fwos%2Fwoscc%2Ffull-record%2FWOS:000321974900011","View Full Record in Web of Science")</f>
        <v>View Full Record in Web of Science</v>
      </c>
    </row>
    <row r="234" spans="1:72" x14ac:dyDescent="0.15">
      <c r="A234" t="s">
        <v>72</v>
      </c>
      <c r="B234" t="s">
        <v>2098</v>
      </c>
      <c r="C234" t="s">
        <v>74</v>
      </c>
      <c r="D234" t="s">
        <v>74</v>
      </c>
      <c r="E234" t="s">
        <v>74</v>
      </c>
      <c r="F234" t="s">
        <v>2099</v>
      </c>
      <c r="G234" t="s">
        <v>74</v>
      </c>
      <c r="H234" t="s">
        <v>74</v>
      </c>
      <c r="I234" t="s">
        <v>4627</v>
      </c>
      <c r="J234" t="s">
        <v>3345</v>
      </c>
      <c r="K234" t="s">
        <v>74</v>
      </c>
      <c r="L234" t="s">
        <v>74</v>
      </c>
      <c r="M234" t="s">
        <v>78</v>
      </c>
      <c r="N234" t="s">
        <v>79</v>
      </c>
      <c r="O234" t="s">
        <v>74</v>
      </c>
      <c r="P234" t="s">
        <v>74</v>
      </c>
      <c r="Q234" t="s">
        <v>74</v>
      </c>
      <c r="R234" t="s">
        <v>74</v>
      </c>
      <c r="S234" t="s">
        <v>74</v>
      </c>
      <c r="T234" t="s">
        <v>4628</v>
      </c>
      <c r="U234" t="s">
        <v>4629</v>
      </c>
      <c r="V234" t="s">
        <v>4630</v>
      </c>
      <c r="W234" t="s">
        <v>4631</v>
      </c>
      <c r="X234" t="s">
        <v>2106</v>
      </c>
      <c r="Y234" t="s">
        <v>4632</v>
      </c>
      <c r="Z234" t="s">
        <v>2108</v>
      </c>
      <c r="AA234" t="s">
        <v>74</v>
      </c>
      <c r="AB234" t="s">
        <v>74</v>
      </c>
      <c r="AC234" t="s">
        <v>4633</v>
      </c>
      <c r="AD234" t="s">
        <v>2110</v>
      </c>
      <c r="AE234" t="s">
        <v>4634</v>
      </c>
      <c r="AF234" t="s">
        <v>74</v>
      </c>
      <c r="AG234">
        <v>35</v>
      </c>
      <c r="AH234">
        <v>15</v>
      </c>
      <c r="AI234">
        <v>15</v>
      </c>
      <c r="AJ234">
        <v>0</v>
      </c>
      <c r="AK234">
        <v>18</v>
      </c>
      <c r="AL234" t="s">
        <v>529</v>
      </c>
      <c r="AM234" t="s">
        <v>391</v>
      </c>
      <c r="AN234" t="s">
        <v>530</v>
      </c>
      <c r="AO234" t="s">
        <v>3358</v>
      </c>
      <c r="AP234" t="s">
        <v>3359</v>
      </c>
      <c r="AQ234" t="s">
        <v>74</v>
      </c>
      <c r="AR234" t="s">
        <v>3360</v>
      </c>
      <c r="AS234" t="s">
        <v>3361</v>
      </c>
      <c r="AT234" t="s">
        <v>2831</v>
      </c>
      <c r="AU234">
        <v>2013</v>
      </c>
      <c r="AV234">
        <v>36</v>
      </c>
      <c r="AW234">
        <v>7</v>
      </c>
      <c r="AX234" t="s">
        <v>74</v>
      </c>
      <c r="AY234" t="s">
        <v>74</v>
      </c>
      <c r="AZ234" t="s">
        <v>74</v>
      </c>
      <c r="BA234" t="s">
        <v>74</v>
      </c>
      <c r="BB234">
        <v>1059</v>
      </c>
      <c r="BC234">
        <v>1068</v>
      </c>
      <c r="BD234" t="s">
        <v>74</v>
      </c>
      <c r="BE234" t="s">
        <v>4635</v>
      </c>
      <c r="BF234" t="str">
        <f>HYPERLINK("http://dx.doi.org/10.1007/s00300-013-1329-1","http://dx.doi.org/10.1007/s00300-013-1329-1")</f>
        <v>http://dx.doi.org/10.1007/s00300-013-1329-1</v>
      </c>
      <c r="BG234" t="s">
        <v>74</v>
      </c>
      <c r="BH234" t="s">
        <v>74</v>
      </c>
      <c r="BI234">
        <v>10</v>
      </c>
      <c r="BJ234" t="s">
        <v>1158</v>
      </c>
      <c r="BK234" t="s">
        <v>102</v>
      </c>
      <c r="BL234" t="s">
        <v>1159</v>
      </c>
      <c r="BM234" t="s">
        <v>3363</v>
      </c>
      <c r="BN234" t="s">
        <v>74</v>
      </c>
      <c r="BO234" t="s">
        <v>74</v>
      </c>
      <c r="BP234" t="s">
        <v>74</v>
      </c>
      <c r="BQ234" t="s">
        <v>74</v>
      </c>
      <c r="BR234" t="s">
        <v>105</v>
      </c>
      <c r="BS234" t="s">
        <v>4636</v>
      </c>
      <c r="BT234" t="str">
        <f>HYPERLINK("https%3A%2F%2Fwww.webofscience.com%2Fwos%2Fwoscc%2Ffull-record%2FWOS:000321974900012","View Full Record in Web of Science")</f>
        <v>View Full Record in Web of Science</v>
      </c>
    </row>
    <row r="235" spans="1:72" x14ac:dyDescent="0.15">
      <c r="A235" t="s">
        <v>72</v>
      </c>
      <c r="B235" t="s">
        <v>4637</v>
      </c>
      <c r="C235" t="s">
        <v>74</v>
      </c>
      <c r="D235" t="s">
        <v>74</v>
      </c>
      <c r="E235" t="s">
        <v>74</v>
      </c>
      <c r="F235" t="s">
        <v>4638</v>
      </c>
      <c r="G235" t="s">
        <v>74</v>
      </c>
      <c r="H235" t="s">
        <v>74</v>
      </c>
      <c r="I235" t="s">
        <v>4639</v>
      </c>
      <c r="J235" t="s">
        <v>3345</v>
      </c>
      <c r="K235" t="s">
        <v>74</v>
      </c>
      <c r="L235" t="s">
        <v>74</v>
      </c>
      <c r="M235" t="s">
        <v>78</v>
      </c>
      <c r="N235" t="s">
        <v>79</v>
      </c>
      <c r="O235" t="s">
        <v>74</v>
      </c>
      <c r="P235" t="s">
        <v>74</v>
      </c>
      <c r="Q235" t="s">
        <v>74</v>
      </c>
      <c r="R235" t="s">
        <v>74</v>
      </c>
      <c r="S235" t="s">
        <v>74</v>
      </c>
      <c r="T235" t="s">
        <v>4640</v>
      </c>
      <c r="U235" t="s">
        <v>4641</v>
      </c>
      <c r="V235" t="s">
        <v>4642</v>
      </c>
      <c r="W235" t="s">
        <v>4643</v>
      </c>
      <c r="X235" t="s">
        <v>4644</v>
      </c>
      <c r="Y235" t="s">
        <v>4645</v>
      </c>
      <c r="Z235" t="s">
        <v>4646</v>
      </c>
      <c r="AA235" t="s">
        <v>4647</v>
      </c>
      <c r="AB235" t="s">
        <v>4648</v>
      </c>
      <c r="AC235" t="s">
        <v>4649</v>
      </c>
      <c r="AD235" t="s">
        <v>4650</v>
      </c>
      <c r="AE235" t="s">
        <v>4651</v>
      </c>
      <c r="AF235" t="s">
        <v>74</v>
      </c>
      <c r="AG235">
        <v>52</v>
      </c>
      <c r="AH235">
        <v>35</v>
      </c>
      <c r="AI235">
        <v>39</v>
      </c>
      <c r="AJ235">
        <v>0</v>
      </c>
      <c r="AK235">
        <v>14</v>
      </c>
      <c r="AL235" t="s">
        <v>529</v>
      </c>
      <c r="AM235" t="s">
        <v>391</v>
      </c>
      <c r="AN235" t="s">
        <v>530</v>
      </c>
      <c r="AO235" t="s">
        <v>3358</v>
      </c>
      <c r="AP235" t="s">
        <v>3359</v>
      </c>
      <c r="AQ235" t="s">
        <v>74</v>
      </c>
      <c r="AR235" t="s">
        <v>3360</v>
      </c>
      <c r="AS235" t="s">
        <v>3361</v>
      </c>
      <c r="AT235" t="s">
        <v>2831</v>
      </c>
      <c r="AU235">
        <v>2013</v>
      </c>
      <c r="AV235">
        <v>36</v>
      </c>
      <c r="AW235">
        <v>8</v>
      </c>
      <c r="AX235" t="s">
        <v>74</v>
      </c>
      <c r="AY235" t="s">
        <v>74</v>
      </c>
      <c r="AZ235" t="s">
        <v>74</v>
      </c>
      <c r="BA235" t="s">
        <v>74</v>
      </c>
      <c r="BB235">
        <v>1125</v>
      </c>
      <c r="BC235">
        <v>1131</v>
      </c>
      <c r="BD235" t="s">
        <v>74</v>
      </c>
      <c r="BE235" t="s">
        <v>4652</v>
      </c>
      <c r="BF235" t="str">
        <f>HYPERLINK("http://dx.doi.org/10.1007/s00300-013-1334-4","http://dx.doi.org/10.1007/s00300-013-1334-4")</f>
        <v>http://dx.doi.org/10.1007/s00300-013-1334-4</v>
      </c>
      <c r="BG235" t="s">
        <v>74</v>
      </c>
      <c r="BH235" t="s">
        <v>74</v>
      </c>
      <c r="BI235">
        <v>7</v>
      </c>
      <c r="BJ235" t="s">
        <v>1158</v>
      </c>
      <c r="BK235" t="s">
        <v>102</v>
      </c>
      <c r="BL235" t="s">
        <v>1159</v>
      </c>
      <c r="BM235" t="s">
        <v>3445</v>
      </c>
      <c r="BN235" t="s">
        <v>74</v>
      </c>
      <c r="BO235" t="s">
        <v>1063</v>
      </c>
      <c r="BP235" t="s">
        <v>74</v>
      </c>
      <c r="BQ235" t="s">
        <v>74</v>
      </c>
      <c r="BR235" t="s">
        <v>105</v>
      </c>
      <c r="BS235" t="s">
        <v>4653</v>
      </c>
      <c r="BT235" t="str">
        <f>HYPERLINK("https%3A%2F%2Fwww.webofscience.com%2Fwos%2Fwoscc%2Ffull-record%2FWOS:000321975200005","View Full Record in Web of Science")</f>
        <v>View Full Record in Web of Science</v>
      </c>
    </row>
    <row r="236" spans="1:72" x14ac:dyDescent="0.15">
      <c r="A236" t="s">
        <v>72</v>
      </c>
      <c r="B236" t="s">
        <v>4654</v>
      </c>
      <c r="C236" t="s">
        <v>74</v>
      </c>
      <c r="D236" t="s">
        <v>74</v>
      </c>
      <c r="E236" t="s">
        <v>74</v>
      </c>
      <c r="F236" t="s">
        <v>4655</v>
      </c>
      <c r="G236" t="s">
        <v>74</v>
      </c>
      <c r="H236" t="s">
        <v>74</v>
      </c>
      <c r="I236" t="s">
        <v>4656</v>
      </c>
      <c r="J236" t="s">
        <v>3234</v>
      </c>
      <c r="K236" t="s">
        <v>74</v>
      </c>
      <c r="L236" t="s">
        <v>74</v>
      </c>
      <c r="M236" t="s">
        <v>78</v>
      </c>
      <c r="N236" t="s">
        <v>991</v>
      </c>
      <c r="O236" t="s">
        <v>74</v>
      </c>
      <c r="P236" t="s">
        <v>74</v>
      </c>
      <c r="Q236" t="s">
        <v>74</v>
      </c>
      <c r="R236" t="s">
        <v>74</v>
      </c>
      <c r="S236" t="s">
        <v>74</v>
      </c>
      <c r="T236" t="s">
        <v>74</v>
      </c>
      <c r="U236" t="s">
        <v>74</v>
      </c>
      <c r="V236" t="s">
        <v>4657</v>
      </c>
      <c r="W236" t="s">
        <v>74</v>
      </c>
      <c r="X236" t="s">
        <v>74</v>
      </c>
      <c r="Y236" t="s">
        <v>4658</v>
      </c>
      <c r="Z236" t="s">
        <v>4659</v>
      </c>
      <c r="AA236" t="s">
        <v>74</v>
      </c>
      <c r="AB236" t="s">
        <v>74</v>
      </c>
      <c r="AC236" t="s">
        <v>74</v>
      </c>
      <c r="AD236" t="s">
        <v>74</v>
      </c>
      <c r="AE236" t="s">
        <v>74</v>
      </c>
      <c r="AF236" t="s">
        <v>74</v>
      </c>
      <c r="AG236">
        <v>3</v>
      </c>
      <c r="AH236">
        <v>1</v>
      </c>
      <c r="AI236">
        <v>1</v>
      </c>
      <c r="AJ236">
        <v>0</v>
      </c>
      <c r="AK236">
        <v>2</v>
      </c>
      <c r="AL236" t="s">
        <v>390</v>
      </c>
      <c r="AM236" t="s">
        <v>391</v>
      </c>
      <c r="AN236" t="s">
        <v>392</v>
      </c>
      <c r="AO236" t="s">
        <v>3241</v>
      </c>
      <c r="AP236" t="s">
        <v>74</v>
      </c>
      <c r="AQ236" t="s">
        <v>74</v>
      </c>
      <c r="AR236" t="s">
        <v>3243</v>
      </c>
      <c r="AS236" t="s">
        <v>3244</v>
      </c>
      <c r="AT236" t="s">
        <v>2831</v>
      </c>
      <c r="AU236">
        <v>2013</v>
      </c>
      <c r="AV236">
        <v>49</v>
      </c>
      <c r="AW236">
        <v>250</v>
      </c>
      <c r="AX236" t="s">
        <v>74</v>
      </c>
      <c r="AY236" t="s">
        <v>74</v>
      </c>
      <c r="AZ236" t="s">
        <v>74</v>
      </c>
      <c r="BA236" t="s">
        <v>74</v>
      </c>
      <c r="BB236">
        <v>315</v>
      </c>
      <c r="BC236">
        <v>316</v>
      </c>
      <c r="BD236" t="s">
        <v>74</v>
      </c>
      <c r="BE236" t="s">
        <v>4660</v>
      </c>
      <c r="BF236" t="str">
        <f>HYPERLINK("http://dx.doi.org/10.1017/S0032247412000514","http://dx.doi.org/10.1017/S0032247412000514")</f>
        <v>http://dx.doi.org/10.1017/S0032247412000514</v>
      </c>
      <c r="BG236" t="s">
        <v>74</v>
      </c>
      <c r="BH236" t="s">
        <v>74</v>
      </c>
      <c r="BI236">
        <v>2</v>
      </c>
      <c r="BJ236" t="s">
        <v>261</v>
      </c>
      <c r="BK236" t="s">
        <v>102</v>
      </c>
      <c r="BL236" t="s">
        <v>262</v>
      </c>
      <c r="BM236" t="s">
        <v>3247</v>
      </c>
      <c r="BN236" t="s">
        <v>74</v>
      </c>
      <c r="BO236" t="s">
        <v>74</v>
      </c>
      <c r="BP236" t="s">
        <v>74</v>
      </c>
      <c r="BQ236" t="s">
        <v>74</v>
      </c>
      <c r="BR236" t="s">
        <v>105</v>
      </c>
      <c r="BS236" t="s">
        <v>4661</v>
      </c>
      <c r="BT236" t="str">
        <f>HYPERLINK("https%3A%2F%2Fwww.webofscience.com%2Fwos%2Fwoscc%2Ffull-record%2FWOS:000321684800015","View Full Record in Web of Science")</f>
        <v>View Full Record in Web of Science</v>
      </c>
    </row>
    <row r="237" spans="1:72" x14ac:dyDescent="0.15">
      <c r="A237" t="s">
        <v>72</v>
      </c>
      <c r="B237" t="s">
        <v>4662</v>
      </c>
      <c r="C237" t="s">
        <v>74</v>
      </c>
      <c r="D237" t="s">
        <v>74</v>
      </c>
      <c r="E237" t="s">
        <v>74</v>
      </c>
      <c r="F237" t="s">
        <v>4663</v>
      </c>
      <c r="G237" t="s">
        <v>74</v>
      </c>
      <c r="H237" t="s">
        <v>74</v>
      </c>
      <c r="I237" t="s">
        <v>4664</v>
      </c>
      <c r="J237" t="s">
        <v>4665</v>
      </c>
      <c r="K237" t="s">
        <v>74</v>
      </c>
      <c r="L237" t="s">
        <v>74</v>
      </c>
      <c r="M237" t="s">
        <v>78</v>
      </c>
      <c r="N237" t="s">
        <v>79</v>
      </c>
      <c r="O237" t="s">
        <v>74</v>
      </c>
      <c r="P237" t="s">
        <v>74</v>
      </c>
      <c r="Q237" t="s">
        <v>74</v>
      </c>
      <c r="R237" t="s">
        <v>74</v>
      </c>
      <c r="S237" t="s">
        <v>74</v>
      </c>
      <c r="T237" t="s">
        <v>4666</v>
      </c>
      <c r="U237" t="s">
        <v>4667</v>
      </c>
      <c r="V237" t="s">
        <v>4668</v>
      </c>
      <c r="W237" t="s">
        <v>4669</v>
      </c>
      <c r="X237" t="s">
        <v>4670</v>
      </c>
      <c r="Y237" t="s">
        <v>4671</v>
      </c>
      <c r="Z237" t="s">
        <v>4672</v>
      </c>
      <c r="AA237" t="s">
        <v>4673</v>
      </c>
      <c r="AB237" t="s">
        <v>4674</v>
      </c>
      <c r="AC237" t="s">
        <v>4675</v>
      </c>
      <c r="AD237" t="s">
        <v>4676</v>
      </c>
      <c r="AE237" t="s">
        <v>4677</v>
      </c>
      <c r="AF237" t="s">
        <v>74</v>
      </c>
      <c r="AG237">
        <v>121</v>
      </c>
      <c r="AH237">
        <v>40</v>
      </c>
      <c r="AI237">
        <v>44</v>
      </c>
      <c r="AJ237">
        <v>2</v>
      </c>
      <c r="AK237">
        <v>20</v>
      </c>
      <c r="AL237" t="s">
        <v>368</v>
      </c>
      <c r="AM237" t="s">
        <v>369</v>
      </c>
      <c r="AN237" t="s">
        <v>370</v>
      </c>
      <c r="AO237" t="s">
        <v>4678</v>
      </c>
      <c r="AP237" t="s">
        <v>4679</v>
      </c>
      <c r="AQ237" t="s">
        <v>74</v>
      </c>
      <c r="AR237" t="s">
        <v>4680</v>
      </c>
      <c r="AS237" t="s">
        <v>4681</v>
      </c>
      <c r="AT237" t="s">
        <v>2831</v>
      </c>
      <c r="AU237">
        <v>2013</v>
      </c>
      <c r="AV237">
        <v>139</v>
      </c>
      <c r="AW237">
        <v>675</v>
      </c>
      <c r="AX237" t="s">
        <v>4682</v>
      </c>
      <c r="AY237" t="s">
        <v>74</v>
      </c>
      <c r="AZ237" t="s">
        <v>74</v>
      </c>
      <c r="BA237" t="s">
        <v>74</v>
      </c>
      <c r="BB237">
        <v>1615</v>
      </c>
      <c r="BC237">
        <v>1631</v>
      </c>
      <c r="BD237" t="s">
        <v>74</v>
      </c>
      <c r="BE237" t="s">
        <v>4683</v>
      </c>
      <c r="BF237" t="str">
        <f>HYPERLINK("http://dx.doi.org/10.1002/qj.2038","http://dx.doi.org/10.1002/qj.2038")</f>
        <v>http://dx.doi.org/10.1002/qj.2038</v>
      </c>
      <c r="BG237" t="s">
        <v>74</v>
      </c>
      <c r="BH237" t="s">
        <v>74</v>
      </c>
      <c r="BI237">
        <v>17</v>
      </c>
      <c r="BJ237" t="s">
        <v>305</v>
      </c>
      <c r="BK237" t="s">
        <v>102</v>
      </c>
      <c r="BL237" t="s">
        <v>305</v>
      </c>
      <c r="BM237" t="s">
        <v>4684</v>
      </c>
      <c r="BN237" t="s">
        <v>74</v>
      </c>
      <c r="BO237" t="s">
        <v>74</v>
      </c>
      <c r="BP237" t="s">
        <v>74</v>
      </c>
      <c r="BQ237" t="s">
        <v>74</v>
      </c>
      <c r="BR237" t="s">
        <v>105</v>
      </c>
      <c r="BS237" t="s">
        <v>4685</v>
      </c>
      <c r="BT237" t="str">
        <f>HYPERLINK("https%3A%2F%2Fwww.webofscience.com%2Fwos%2Fwoscc%2Ffull-record%2FWOS:000324390000016","View Full Record in Web of Science")</f>
        <v>View Full Record in Web of Science</v>
      </c>
    </row>
    <row r="238" spans="1:72" x14ac:dyDescent="0.15">
      <c r="A238" t="s">
        <v>72</v>
      </c>
      <c r="B238" t="s">
        <v>4686</v>
      </c>
      <c r="C238" t="s">
        <v>74</v>
      </c>
      <c r="D238" t="s">
        <v>74</v>
      </c>
      <c r="E238" t="s">
        <v>74</v>
      </c>
      <c r="F238" t="s">
        <v>4687</v>
      </c>
      <c r="G238" t="s">
        <v>74</v>
      </c>
      <c r="H238" t="s">
        <v>4688</v>
      </c>
      <c r="I238" t="s">
        <v>4689</v>
      </c>
      <c r="J238" t="s">
        <v>4690</v>
      </c>
      <c r="K238" t="s">
        <v>74</v>
      </c>
      <c r="L238" t="s">
        <v>74</v>
      </c>
      <c r="M238" t="s">
        <v>78</v>
      </c>
      <c r="N238" t="s">
        <v>79</v>
      </c>
      <c r="O238" t="s">
        <v>74</v>
      </c>
      <c r="P238" t="s">
        <v>74</v>
      </c>
      <c r="Q238" t="s">
        <v>74</v>
      </c>
      <c r="R238" t="s">
        <v>74</v>
      </c>
      <c r="S238" t="s">
        <v>74</v>
      </c>
      <c r="T238" t="s">
        <v>4691</v>
      </c>
      <c r="U238" t="s">
        <v>4692</v>
      </c>
      <c r="V238" t="s">
        <v>4693</v>
      </c>
      <c r="W238" t="s">
        <v>4694</v>
      </c>
      <c r="X238" t="s">
        <v>4695</v>
      </c>
      <c r="Y238" t="s">
        <v>4696</v>
      </c>
      <c r="Z238" t="s">
        <v>4697</v>
      </c>
      <c r="AA238" t="s">
        <v>4698</v>
      </c>
      <c r="AB238" t="s">
        <v>4699</v>
      </c>
      <c r="AC238" t="s">
        <v>4700</v>
      </c>
      <c r="AD238" t="s">
        <v>4701</v>
      </c>
      <c r="AE238" t="s">
        <v>4702</v>
      </c>
      <c r="AF238" t="s">
        <v>74</v>
      </c>
      <c r="AG238">
        <v>117</v>
      </c>
      <c r="AH238">
        <v>44</v>
      </c>
      <c r="AI238">
        <v>46</v>
      </c>
      <c r="AJ238">
        <v>4</v>
      </c>
      <c r="AK238">
        <v>55</v>
      </c>
      <c r="AL238" t="s">
        <v>506</v>
      </c>
      <c r="AM238" t="s">
        <v>442</v>
      </c>
      <c r="AN238" t="s">
        <v>507</v>
      </c>
      <c r="AO238" t="s">
        <v>4703</v>
      </c>
      <c r="AP238" t="s">
        <v>74</v>
      </c>
      <c r="AQ238" t="s">
        <v>74</v>
      </c>
      <c r="AR238" t="s">
        <v>4704</v>
      </c>
      <c r="AS238" t="s">
        <v>4705</v>
      </c>
      <c r="AT238" t="s">
        <v>3423</v>
      </c>
      <c r="AU238">
        <v>2013</v>
      </c>
      <c r="AV238">
        <v>71</v>
      </c>
      <c r="AW238" t="s">
        <v>74</v>
      </c>
      <c r="AX238" t="s">
        <v>74</v>
      </c>
      <c r="AY238" t="s">
        <v>74</v>
      </c>
      <c r="AZ238" t="s">
        <v>935</v>
      </c>
      <c r="BA238" t="s">
        <v>74</v>
      </c>
      <c r="BB238">
        <v>154</v>
      </c>
      <c r="BC238">
        <v>166</v>
      </c>
      <c r="BD238" t="s">
        <v>74</v>
      </c>
      <c r="BE238" t="s">
        <v>4706</v>
      </c>
      <c r="BF238" t="str">
        <f>HYPERLINK("http://dx.doi.org/10.1016/j.quascirev.2012.09.015","http://dx.doi.org/10.1016/j.quascirev.2012.09.015")</f>
        <v>http://dx.doi.org/10.1016/j.quascirev.2012.09.015</v>
      </c>
      <c r="BG238" t="s">
        <v>74</v>
      </c>
      <c r="BH238" t="s">
        <v>74</v>
      </c>
      <c r="BI238">
        <v>13</v>
      </c>
      <c r="BJ238" t="s">
        <v>650</v>
      </c>
      <c r="BK238" t="s">
        <v>102</v>
      </c>
      <c r="BL238" t="s">
        <v>651</v>
      </c>
      <c r="BM238" t="s">
        <v>4707</v>
      </c>
      <c r="BN238" t="s">
        <v>74</v>
      </c>
      <c r="BO238" t="s">
        <v>74</v>
      </c>
      <c r="BP238" t="s">
        <v>74</v>
      </c>
      <c r="BQ238" t="s">
        <v>74</v>
      </c>
      <c r="BR238" t="s">
        <v>105</v>
      </c>
      <c r="BS238" t="s">
        <v>4708</v>
      </c>
      <c r="BT238" t="str">
        <f>HYPERLINK("https%3A%2F%2Fwww.webofscience.com%2Fwos%2Fwoscc%2Ffull-record%2FWOS:000321178500013","View Full Record in Web of Science")</f>
        <v>View Full Record in Web of Science</v>
      </c>
    </row>
    <row r="239" spans="1:72" x14ac:dyDescent="0.15">
      <c r="A239" t="s">
        <v>72</v>
      </c>
      <c r="B239" t="s">
        <v>4709</v>
      </c>
      <c r="C239" t="s">
        <v>74</v>
      </c>
      <c r="D239" t="s">
        <v>74</v>
      </c>
      <c r="E239" t="s">
        <v>74</v>
      </c>
      <c r="F239" t="s">
        <v>4710</v>
      </c>
      <c r="G239" t="s">
        <v>74</v>
      </c>
      <c r="H239" t="s">
        <v>74</v>
      </c>
      <c r="I239" t="s">
        <v>4711</v>
      </c>
      <c r="J239" t="s">
        <v>4690</v>
      </c>
      <c r="K239" t="s">
        <v>74</v>
      </c>
      <c r="L239" t="s">
        <v>74</v>
      </c>
      <c r="M239" t="s">
        <v>78</v>
      </c>
      <c r="N239" t="s">
        <v>79</v>
      </c>
      <c r="O239" t="s">
        <v>74</v>
      </c>
      <c r="P239" t="s">
        <v>74</v>
      </c>
      <c r="Q239" t="s">
        <v>74</v>
      </c>
      <c r="R239" t="s">
        <v>74</v>
      </c>
      <c r="S239" t="s">
        <v>74</v>
      </c>
      <c r="T239" t="s">
        <v>4712</v>
      </c>
      <c r="U239" t="s">
        <v>4713</v>
      </c>
      <c r="V239" t="s">
        <v>4714</v>
      </c>
      <c r="W239" t="s">
        <v>4715</v>
      </c>
      <c r="X239" t="s">
        <v>4716</v>
      </c>
      <c r="Y239" t="s">
        <v>4717</v>
      </c>
      <c r="Z239" t="s">
        <v>4718</v>
      </c>
      <c r="AA239" t="s">
        <v>4698</v>
      </c>
      <c r="AB239" t="s">
        <v>4719</v>
      </c>
      <c r="AC239" t="s">
        <v>4720</v>
      </c>
      <c r="AD239" t="s">
        <v>4721</v>
      </c>
      <c r="AE239" t="s">
        <v>4722</v>
      </c>
      <c r="AF239" t="s">
        <v>74</v>
      </c>
      <c r="AG239">
        <v>64</v>
      </c>
      <c r="AH239">
        <v>22</v>
      </c>
      <c r="AI239">
        <v>25</v>
      </c>
      <c r="AJ239">
        <v>1</v>
      </c>
      <c r="AK239">
        <v>48</v>
      </c>
      <c r="AL239" t="s">
        <v>506</v>
      </c>
      <c r="AM239" t="s">
        <v>442</v>
      </c>
      <c r="AN239" t="s">
        <v>507</v>
      </c>
      <c r="AO239" t="s">
        <v>4703</v>
      </c>
      <c r="AP239" t="s">
        <v>74</v>
      </c>
      <c r="AQ239" t="s">
        <v>74</v>
      </c>
      <c r="AR239" t="s">
        <v>4704</v>
      </c>
      <c r="AS239" t="s">
        <v>4705</v>
      </c>
      <c r="AT239" t="s">
        <v>3423</v>
      </c>
      <c r="AU239">
        <v>2013</v>
      </c>
      <c r="AV239">
        <v>71</v>
      </c>
      <c r="AW239" t="s">
        <v>74</v>
      </c>
      <c r="AX239" t="s">
        <v>74</v>
      </c>
      <c r="AY239" t="s">
        <v>74</v>
      </c>
      <c r="AZ239" t="s">
        <v>935</v>
      </c>
      <c r="BA239" t="s">
        <v>74</v>
      </c>
      <c r="BB239">
        <v>167</v>
      </c>
      <c r="BC239">
        <v>174</v>
      </c>
      <c r="BD239" t="s">
        <v>74</v>
      </c>
      <c r="BE239" t="s">
        <v>4723</v>
      </c>
      <c r="BF239" t="str">
        <f>HYPERLINK("http://dx.doi.org/10.1016/j.quascirev.2012.07.026","http://dx.doi.org/10.1016/j.quascirev.2012.07.026")</f>
        <v>http://dx.doi.org/10.1016/j.quascirev.2012.07.026</v>
      </c>
      <c r="BG239" t="s">
        <v>74</v>
      </c>
      <c r="BH239" t="s">
        <v>74</v>
      </c>
      <c r="BI239">
        <v>8</v>
      </c>
      <c r="BJ239" t="s">
        <v>650</v>
      </c>
      <c r="BK239" t="s">
        <v>102</v>
      </c>
      <c r="BL239" t="s">
        <v>651</v>
      </c>
      <c r="BM239" t="s">
        <v>4707</v>
      </c>
      <c r="BN239" t="s">
        <v>74</v>
      </c>
      <c r="BO239" t="s">
        <v>74</v>
      </c>
      <c r="BP239" t="s">
        <v>74</v>
      </c>
      <c r="BQ239" t="s">
        <v>74</v>
      </c>
      <c r="BR239" t="s">
        <v>105</v>
      </c>
      <c r="BS239" t="s">
        <v>4724</v>
      </c>
      <c r="BT239" t="str">
        <f>HYPERLINK("https%3A%2F%2Fwww.webofscience.com%2Fwos%2Fwoscc%2Ffull-record%2FWOS:000321178500014","View Full Record in Web of Science")</f>
        <v>View Full Record in Web of Science</v>
      </c>
    </row>
    <row r="240" spans="1:72" x14ac:dyDescent="0.15">
      <c r="A240" t="s">
        <v>72</v>
      </c>
      <c r="B240" t="s">
        <v>4725</v>
      </c>
      <c r="C240" t="s">
        <v>74</v>
      </c>
      <c r="D240" t="s">
        <v>74</v>
      </c>
      <c r="E240" t="s">
        <v>74</v>
      </c>
      <c r="F240" t="s">
        <v>4726</v>
      </c>
      <c r="G240" t="s">
        <v>74</v>
      </c>
      <c r="H240" t="s">
        <v>4688</v>
      </c>
      <c r="I240" t="s">
        <v>4727</v>
      </c>
      <c r="J240" t="s">
        <v>4690</v>
      </c>
      <c r="K240" t="s">
        <v>74</v>
      </c>
      <c r="L240" t="s">
        <v>74</v>
      </c>
      <c r="M240" t="s">
        <v>78</v>
      </c>
      <c r="N240" t="s">
        <v>79</v>
      </c>
      <c r="O240" t="s">
        <v>74</v>
      </c>
      <c r="P240" t="s">
        <v>74</v>
      </c>
      <c r="Q240" t="s">
        <v>74</v>
      </c>
      <c r="R240" t="s">
        <v>74</v>
      </c>
      <c r="S240" t="s">
        <v>74</v>
      </c>
      <c r="T240" t="s">
        <v>4728</v>
      </c>
      <c r="U240" t="s">
        <v>4729</v>
      </c>
      <c r="V240" t="s">
        <v>4730</v>
      </c>
      <c r="W240" t="s">
        <v>4731</v>
      </c>
      <c r="X240" t="s">
        <v>4732</v>
      </c>
      <c r="Y240" t="s">
        <v>4733</v>
      </c>
      <c r="Z240" t="s">
        <v>4734</v>
      </c>
      <c r="AA240" t="s">
        <v>4735</v>
      </c>
      <c r="AB240" t="s">
        <v>4736</v>
      </c>
      <c r="AC240" t="s">
        <v>4737</v>
      </c>
      <c r="AD240" t="s">
        <v>4738</v>
      </c>
      <c r="AE240" t="s">
        <v>4739</v>
      </c>
      <c r="AF240" t="s">
        <v>74</v>
      </c>
      <c r="AG240">
        <v>81</v>
      </c>
      <c r="AH240">
        <v>51</v>
      </c>
      <c r="AI240">
        <v>52</v>
      </c>
      <c r="AJ240">
        <v>1</v>
      </c>
      <c r="AK240">
        <v>51</v>
      </c>
      <c r="AL240" t="s">
        <v>506</v>
      </c>
      <c r="AM240" t="s">
        <v>442</v>
      </c>
      <c r="AN240" t="s">
        <v>507</v>
      </c>
      <c r="AO240" t="s">
        <v>4703</v>
      </c>
      <c r="AP240" t="s">
        <v>74</v>
      </c>
      <c r="AQ240" t="s">
        <v>74</v>
      </c>
      <c r="AR240" t="s">
        <v>4704</v>
      </c>
      <c r="AS240" t="s">
        <v>4705</v>
      </c>
      <c r="AT240" t="s">
        <v>3423</v>
      </c>
      <c r="AU240">
        <v>2013</v>
      </c>
      <c r="AV240">
        <v>71</v>
      </c>
      <c r="AW240" t="s">
        <v>74</v>
      </c>
      <c r="AX240" t="s">
        <v>74</v>
      </c>
      <c r="AY240" t="s">
        <v>74</v>
      </c>
      <c r="AZ240" t="s">
        <v>935</v>
      </c>
      <c r="BA240" t="s">
        <v>74</v>
      </c>
      <c r="BB240">
        <v>191</v>
      </c>
      <c r="BC240">
        <v>204</v>
      </c>
      <c r="BD240" t="s">
        <v>74</v>
      </c>
      <c r="BE240" t="s">
        <v>4740</v>
      </c>
      <c r="BF240" t="str">
        <f>HYPERLINK("http://dx.doi.org/10.1016/j.quascirev.2012.06.003","http://dx.doi.org/10.1016/j.quascirev.2012.06.003")</f>
        <v>http://dx.doi.org/10.1016/j.quascirev.2012.06.003</v>
      </c>
      <c r="BG240" t="s">
        <v>74</v>
      </c>
      <c r="BH240" t="s">
        <v>74</v>
      </c>
      <c r="BI240">
        <v>14</v>
      </c>
      <c r="BJ240" t="s">
        <v>650</v>
      </c>
      <c r="BK240" t="s">
        <v>102</v>
      </c>
      <c r="BL240" t="s">
        <v>651</v>
      </c>
      <c r="BM240" t="s">
        <v>4707</v>
      </c>
      <c r="BN240" t="s">
        <v>74</v>
      </c>
      <c r="BO240" t="s">
        <v>74</v>
      </c>
      <c r="BP240" t="s">
        <v>74</v>
      </c>
      <c r="BQ240" t="s">
        <v>74</v>
      </c>
      <c r="BR240" t="s">
        <v>105</v>
      </c>
      <c r="BS240" t="s">
        <v>4741</v>
      </c>
      <c r="BT240" t="str">
        <f>HYPERLINK("https%3A%2F%2Fwww.webofscience.com%2Fwos%2Fwoscc%2Ffull-record%2FWOS:000321178500016","View Full Record in Web of Science")</f>
        <v>View Full Record in Web of Science</v>
      </c>
    </row>
    <row r="241" spans="1:72" x14ac:dyDescent="0.15">
      <c r="A241" t="s">
        <v>72</v>
      </c>
      <c r="B241" t="s">
        <v>4742</v>
      </c>
      <c r="C241" t="s">
        <v>74</v>
      </c>
      <c r="D241" t="s">
        <v>74</v>
      </c>
      <c r="E241" t="s">
        <v>74</v>
      </c>
      <c r="F241" t="s">
        <v>4743</v>
      </c>
      <c r="G241" t="s">
        <v>74</v>
      </c>
      <c r="H241" t="s">
        <v>74</v>
      </c>
      <c r="I241" t="s">
        <v>4744</v>
      </c>
      <c r="J241" t="s">
        <v>4745</v>
      </c>
      <c r="K241" t="s">
        <v>74</v>
      </c>
      <c r="L241" t="s">
        <v>74</v>
      </c>
      <c r="M241" t="s">
        <v>78</v>
      </c>
      <c r="N241" t="s">
        <v>79</v>
      </c>
      <c r="O241" t="s">
        <v>74</v>
      </c>
      <c r="P241" t="s">
        <v>74</v>
      </c>
      <c r="Q241" t="s">
        <v>74</v>
      </c>
      <c r="R241" t="s">
        <v>74</v>
      </c>
      <c r="S241" t="s">
        <v>74</v>
      </c>
      <c r="T241" t="s">
        <v>4746</v>
      </c>
      <c r="U241" t="s">
        <v>74</v>
      </c>
      <c r="V241" t="s">
        <v>4747</v>
      </c>
      <c r="W241" t="s">
        <v>74</v>
      </c>
      <c r="X241" t="s">
        <v>74</v>
      </c>
      <c r="Y241" t="s">
        <v>74</v>
      </c>
      <c r="Z241" t="s">
        <v>4748</v>
      </c>
      <c r="AA241" t="s">
        <v>74</v>
      </c>
      <c r="AB241" t="s">
        <v>74</v>
      </c>
      <c r="AC241" t="s">
        <v>74</v>
      </c>
      <c r="AD241" t="s">
        <v>74</v>
      </c>
      <c r="AE241" t="s">
        <v>74</v>
      </c>
      <c r="AF241" t="s">
        <v>74</v>
      </c>
      <c r="AG241">
        <v>8</v>
      </c>
      <c r="AH241">
        <v>1</v>
      </c>
      <c r="AI241">
        <v>3</v>
      </c>
      <c r="AJ241">
        <v>0</v>
      </c>
      <c r="AK241">
        <v>0</v>
      </c>
      <c r="AL241" t="s">
        <v>4749</v>
      </c>
      <c r="AM241" t="s">
        <v>4750</v>
      </c>
      <c r="AN241" t="s">
        <v>4751</v>
      </c>
      <c r="AO241" t="s">
        <v>4752</v>
      </c>
      <c r="AP241" t="s">
        <v>74</v>
      </c>
      <c r="AQ241" t="s">
        <v>74</v>
      </c>
      <c r="AR241" t="s">
        <v>4753</v>
      </c>
      <c r="AS241" t="s">
        <v>4754</v>
      </c>
      <c r="AT241" t="s">
        <v>4034</v>
      </c>
      <c r="AU241">
        <v>2013</v>
      </c>
      <c r="AV241">
        <v>4</v>
      </c>
      <c r="AW241">
        <v>3</v>
      </c>
      <c r="AX241" t="s">
        <v>74</v>
      </c>
      <c r="AY241" t="s">
        <v>74</v>
      </c>
      <c r="AZ241" t="s">
        <v>74</v>
      </c>
      <c r="BA241" t="s">
        <v>74</v>
      </c>
      <c r="BB241">
        <v>200</v>
      </c>
      <c r="BC241">
        <v>210</v>
      </c>
      <c r="BD241" t="s">
        <v>74</v>
      </c>
      <c r="BE241" t="s">
        <v>74</v>
      </c>
      <c r="BF241" t="s">
        <v>74</v>
      </c>
      <c r="BG241" t="s">
        <v>74</v>
      </c>
      <c r="BH241" t="s">
        <v>74</v>
      </c>
      <c r="BI241">
        <v>11</v>
      </c>
      <c r="BJ241" t="s">
        <v>4755</v>
      </c>
      <c r="BK241" t="s">
        <v>1452</v>
      </c>
      <c r="BL241" t="s">
        <v>4755</v>
      </c>
      <c r="BM241" t="s">
        <v>4756</v>
      </c>
      <c r="BN241" t="s">
        <v>74</v>
      </c>
      <c r="BO241" t="s">
        <v>74</v>
      </c>
      <c r="BP241" t="s">
        <v>74</v>
      </c>
      <c r="BQ241" t="s">
        <v>74</v>
      </c>
      <c r="BR241" t="s">
        <v>105</v>
      </c>
      <c r="BS241" t="s">
        <v>4757</v>
      </c>
      <c r="BT241" t="str">
        <f>HYPERLINK("https%3A%2F%2Fwww.webofscience.com%2Fwos%2Fwoscc%2Ffull-record%2FWOS:000215959400001","View Full Record in Web of Science")</f>
        <v>View Full Record in Web of Science</v>
      </c>
    </row>
    <row r="242" spans="1:72" x14ac:dyDescent="0.15">
      <c r="A242" t="s">
        <v>72</v>
      </c>
      <c r="B242" t="s">
        <v>4758</v>
      </c>
      <c r="C242" t="s">
        <v>74</v>
      </c>
      <c r="D242" t="s">
        <v>74</v>
      </c>
      <c r="E242" t="s">
        <v>74</v>
      </c>
      <c r="F242" t="s">
        <v>4759</v>
      </c>
      <c r="G242" t="s">
        <v>74</v>
      </c>
      <c r="H242" t="s">
        <v>74</v>
      </c>
      <c r="I242" t="s">
        <v>4760</v>
      </c>
      <c r="J242" t="s">
        <v>4745</v>
      </c>
      <c r="K242" t="s">
        <v>74</v>
      </c>
      <c r="L242" t="s">
        <v>74</v>
      </c>
      <c r="M242" t="s">
        <v>4761</v>
      </c>
      <c r="N242" t="s">
        <v>79</v>
      </c>
      <c r="O242" t="s">
        <v>74</v>
      </c>
      <c r="P242" t="s">
        <v>74</v>
      </c>
      <c r="Q242" t="s">
        <v>74</v>
      </c>
      <c r="R242" t="s">
        <v>74</v>
      </c>
      <c r="S242" t="s">
        <v>74</v>
      </c>
      <c r="T242" t="s">
        <v>4762</v>
      </c>
      <c r="U242" t="s">
        <v>74</v>
      </c>
      <c r="V242" t="s">
        <v>4763</v>
      </c>
      <c r="W242" t="s">
        <v>4764</v>
      </c>
      <c r="X242" t="s">
        <v>74</v>
      </c>
      <c r="Y242" t="s">
        <v>4765</v>
      </c>
      <c r="Z242" t="s">
        <v>4766</v>
      </c>
      <c r="AA242" t="s">
        <v>74</v>
      </c>
      <c r="AB242" t="s">
        <v>74</v>
      </c>
      <c r="AC242" t="s">
        <v>74</v>
      </c>
      <c r="AD242" t="s">
        <v>74</v>
      </c>
      <c r="AE242" t="s">
        <v>74</v>
      </c>
      <c r="AF242" t="s">
        <v>74</v>
      </c>
      <c r="AG242">
        <v>6</v>
      </c>
      <c r="AH242">
        <v>0</v>
      </c>
      <c r="AI242">
        <v>0</v>
      </c>
      <c r="AJ242">
        <v>0</v>
      </c>
      <c r="AK242">
        <v>0</v>
      </c>
      <c r="AL242" t="s">
        <v>4749</v>
      </c>
      <c r="AM242" t="s">
        <v>4750</v>
      </c>
      <c r="AN242" t="s">
        <v>4751</v>
      </c>
      <c r="AO242" t="s">
        <v>4752</v>
      </c>
      <c r="AP242" t="s">
        <v>74</v>
      </c>
      <c r="AQ242" t="s">
        <v>74</v>
      </c>
      <c r="AR242" t="s">
        <v>4753</v>
      </c>
      <c r="AS242" t="s">
        <v>4754</v>
      </c>
      <c r="AT242" t="s">
        <v>4034</v>
      </c>
      <c r="AU242">
        <v>2013</v>
      </c>
      <c r="AV242">
        <v>4</v>
      </c>
      <c r="AW242">
        <v>3</v>
      </c>
      <c r="AX242" t="s">
        <v>74</v>
      </c>
      <c r="AY242" t="s">
        <v>74</v>
      </c>
      <c r="AZ242" t="s">
        <v>74</v>
      </c>
      <c r="BA242" t="s">
        <v>74</v>
      </c>
      <c r="BB242">
        <v>211</v>
      </c>
      <c r="BC242">
        <v>229</v>
      </c>
      <c r="BD242" t="s">
        <v>74</v>
      </c>
      <c r="BE242" t="s">
        <v>74</v>
      </c>
      <c r="BF242" t="s">
        <v>74</v>
      </c>
      <c r="BG242" t="s">
        <v>74</v>
      </c>
      <c r="BH242" t="s">
        <v>74</v>
      </c>
      <c r="BI242">
        <v>19</v>
      </c>
      <c r="BJ242" t="s">
        <v>4755</v>
      </c>
      <c r="BK242" t="s">
        <v>1452</v>
      </c>
      <c r="BL242" t="s">
        <v>4755</v>
      </c>
      <c r="BM242" t="s">
        <v>4756</v>
      </c>
      <c r="BN242" t="s">
        <v>74</v>
      </c>
      <c r="BO242" t="s">
        <v>74</v>
      </c>
      <c r="BP242" t="s">
        <v>74</v>
      </c>
      <c r="BQ242" t="s">
        <v>74</v>
      </c>
      <c r="BR242" t="s">
        <v>105</v>
      </c>
      <c r="BS242" t="s">
        <v>4767</v>
      </c>
      <c r="BT242" t="str">
        <f>HYPERLINK("https%3A%2F%2Fwww.webofscience.com%2Fwos%2Fwoscc%2Ffull-record%2FWOS:000215959400002","View Full Record in Web of Science")</f>
        <v>View Full Record in Web of Science</v>
      </c>
    </row>
    <row r="243" spans="1:72" x14ac:dyDescent="0.15">
      <c r="A243" t="s">
        <v>72</v>
      </c>
      <c r="B243" t="s">
        <v>4768</v>
      </c>
      <c r="C243" t="s">
        <v>74</v>
      </c>
      <c r="D243" t="s">
        <v>74</v>
      </c>
      <c r="E243" t="s">
        <v>74</v>
      </c>
      <c r="F243" t="s">
        <v>4769</v>
      </c>
      <c r="G243" t="s">
        <v>74</v>
      </c>
      <c r="H243" t="s">
        <v>74</v>
      </c>
      <c r="I243" t="s">
        <v>4770</v>
      </c>
      <c r="J243" t="s">
        <v>4745</v>
      </c>
      <c r="K243" t="s">
        <v>74</v>
      </c>
      <c r="L243" t="s">
        <v>74</v>
      </c>
      <c r="M243" t="s">
        <v>4761</v>
      </c>
      <c r="N243" t="s">
        <v>79</v>
      </c>
      <c r="O243" t="s">
        <v>74</v>
      </c>
      <c r="P243" t="s">
        <v>74</v>
      </c>
      <c r="Q243" t="s">
        <v>74</v>
      </c>
      <c r="R243" t="s">
        <v>74</v>
      </c>
      <c r="S243" t="s">
        <v>74</v>
      </c>
      <c r="T243" t="s">
        <v>4771</v>
      </c>
      <c r="U243" t="s">
        <v>74</v>
      </c>
      <c r="V243" t="s">
        <v>4772</v>
      </c>
      <c r="W243" t="s">
        <v>74</v>
      </c>
      <c r="X243" t="s">
        <v>74</v>
      </c>
      <c r="Y243" t="s">
        <v>74</v>
      </c>
      <c r="Z243" t="s">
        <v>4773</v>
      </c>
      <c r="AA243" t="s">
        <v>74</v>
      </c>
      <c r="AB243" t="s">
        <v>74</v>
      </c>
      <c r="AC243" t="s">
        <v>74</v>
      </c>
      <c r="AD243" t="s">
        <v>74</v>
      </c>
      <c r="AE243" t="s">
        <v>74</v>
      </c>
      <c r="AF243" t="s">
        <v>74</v>
      </c>
      <c r="AG243">
        <v>8</v>
      </c>
      <c r="AH243">
        <v>0</v>
      </c>
      <c r="AI243">
        <v>0</v>
      </c>
      <c r="AJ243">
        <v>0</v>
      </c>
      <c r="AK243">
        <v>0</v>
      </c>
      <c r="AL243" t="s">
        <v>4749</v>
      </c>
      <c r="AM243" t="s">
        <v>4750</v>
      </c>
      <c r="AN243" t="s">
        <v>4751</v>
      </c>
      <c r="AO243" t="s">
        <v>4752</v>
      </c>
      <c r="AP243" t="s">
        <v>74</v>
      </c>
      <c r="AQ243" t="s">
        <v>74</v>
      </c>
      <c r="AR243" t="s">
        <v>4753</v>
      </c>
      <c r="AS243" t="s">
        <v>4754</v>
      </c>
      <c r="AT243" t="s">
        <v>4034</v>
      </c>
      <c r="AU243">
        <v>2013</v>
      </c>
      <c r="AV243">
        <v>4</v>
      </c>
      <c r="AW243">
        <v>3</v>
      </c>
      <c r="AX243" t="s">
        <v>74</v>
      </c>
      <c r="AY243" t="s">
        <v>74</v>
      </c>
      <c r="AZ243" t="s">
        <v>74</v>
      </c>
      <c r="BA243" t="s">
        <v>74</v>
      </c>
      <c r="BB243">
        <v>230</v>
      </c>
      <c r="BC243">
        <v>243</v>
      </c>
      <c r="BD243" t="s">
        <v>74</v>
      </c>
      <c r="BE243" t="s">
        <v>74</v>
      </c>
      <c r="BF243" t="s">
        <v>74</v>
      </c>
      <c r="BG243" t="s">
        <v>74</v>
      </c>
      <c r="BH243" t="s">
        <v>74</v>
      </c>
      <c r="BI243">
        <v>14</v>
      </c>
      <c r="BJ243" t="s">
        <v>4755</v>
      </c>
      <c r="BK243" t="s">
        <v>1452</v>
      </c>
      <c r="BL243" t="s">
        <v>4755</v>
      </c>
      <c r="BM243" t="s">
        <v>4756</v>
      </c>
      <c r="BN243" t="s">
        <v>74</v>
      </c>
      <c r="BO243" t="s">
        <v>74</v>
      </c>
      <c r="BP243" t="s">
        <v>74</v>
      </c>
      <c r="BQ243" t="s">
        <v>74</v>
      </c>
      <c r="BR243" t="s">
        <v>105</v>
      </c>
      <c r="BS243" t="s">
        <v>4774</v>
      </c>
      <c r="BT243" t="str">
        <f>HYPERLINK("https%3A%2F%2Fwww.webofscience.com%2Fwos%2Fwoscc%2Ffull-record%2FWOS:000215959400003","View Full Record in Web of Science")</f>
        <v>View Full Record in Web of Science</v>
      </c>
    </row>
    <row r="244" spans="1:72" x14ac:dyDescent="0.15">
      <c r="A244" t="s">
        <v>72</v>
      </c>
      <c r="B244" t="s">
        <v>4775</v>
      </c>
      <c r="C244" t="s">
        <v>74</v>
      </c>
      <c r="D244" t="s">
        <v>74</v>
      </c>
      <c r="E244" t="s">
        <v>74</v>
      </c>
      <c r="F244" t="s">
        <v>4776</v>
      </c>
      <c r="G244" t="s">
        <v>74</v>
      </c>
      <c r="H244" t="s">
        <v>74</v>
      </c>
      <c r="I244" t="s">
        <v>4777</v>
      </c>
      <c r="J244" t="s">
        <v>4778</v>
      </c>
      <c r="K244" t="s">
        <v>74</v>
      </c>
      <c r="L244" t="s">
        <v>74</v>
      </c>
      <c r="M244" t="s">
        <v>78</v>
      </c>
      <c r="N244" t="s">
        <v>79</v>
      </c>
      <c r="O244" t="s">
        <v>74</v>
      </c>
      <c r="P244" t="s">
        <v>74</v>
      </c>
      <c r="Q244" t="s">
        <v>74</v>
      </c>
      <c r="R244" t="s">
        <v>74</v>
      </c>
      <c r="S244" t="s">
        <v>74</v>
      </c>
      <c r="T244" t="s">
        <v>4779</v>
      </c>
      <c r="U244" t="s">
        <v>4780</v>
      </c>
      <c r="V244" t="s">
        <v>4781</v>
      </c>
      <c r="W244" t="s">
        <v>4782</v>
      </c>
      <c r="X244" t="s">
        <v>4783</v>
      </c>
      <c r="Y244" t="s">
        <v>4784</v>
      </c>
      <c r="Z244" t="s">
        <v>4785</v>
      </c>
      <c r="AA244" t="s">
        <v>4786</v>
      </c>
      <c r="AB244" t="s">
        <v>4787</v>
      </c>
      <c r="AC244" t="s">
        <v>4788</v>
      </c>
      <c r="AD244" t="s">
        <v>4789</v>
      </c>
      <c r="AE244" t="s">
        <v>4790</v>
      </c>
      <c r="AF244" t="s">
        <v>74</v>
      </c>
      <c r="AG244">
        <v>57</v>
      </c>
      <c r="AH244">
        <v>21</v>
      </c>
      <c r="AI244">
        <v>21</v>
      </c>
      <c r="AJ244">
        <v>0</v>
      </c>
      <c r="AK244">
        <v>41</v>
      </c>
      <c r="AL244" t="s">
        <v>529</v>
      </c>
      <c r="AM244" t="s">
        <v>1151</v>
      </c>
      <c r="AN244" t="s">
        <v>1152</v>
      </c>
      <c r="AO244" t="s">
        <v>4791</v>
      </c>
      <c r="AP244" t="s">
        <v>4792</v>
      </c>
      <c r="AQ244" t="s">
        <v>74</v>
      </c>
      <c r="AR244" t="s">
        <v>4778</v>
      </c>
      <c r="AS244" t="s">
        <v>4793</v>
      </c>
      <c r="AT244" t="s">
        <v>2831</v>
      </c>
      <c r="AU244">
        <v>2013</v>
      </c>
      <c r="AV244">
        <v>711</v>
      </c>
      <c r="AW244">
        <v>1</v>
      </c>
      <c r="AX244" t="s">
        <v>74</v>
      </c>
      <c r="AY244" t="s">
        <v>74</v>
      </c>
      <c r="AZ244" t="s">
        <v>74</v>
      </c>
      <c r="BA244" t="s">
        <v>74</v>
      </c>
      <c r="BB244">
        <v>139</v>
      </c>
      <c r="BC244">
        <v>154</v>
      </c>
      <c r="BD244" t="s">
        <v>74</v>
      </c>
      <c r="BE244" t="s">
        <v>4794</v>
      </c>
      <c r="BF244" t="str">
        <f>HYPERLINK("http://dx.doi.org/10.1007/s10750-013-1473-1","http://dx.doi.org/10.1007/s10750-013-1473-1")</f>
        <v>http://dx.doi.org/10.1007/s10750-013-1473-1</v>
      </c>
      <c r="BG244" t="s">
        <v>74</v>
      </c>
      <c r="BH244" t="s">
        <v>74</v>
      </c>
      <c r="BI244">
        <v>16</v>
      </c>
      <c r="BJ244" t="s">
        <v>1809</v>
      </c>
      <c r="BK244" t="s">
        <v>102</v>
      </c>
      <c r="BL244" t="s">
        <v>1809</v>
      </c>
      <c r="BM244" t="s">
        <v>4795</v>
      </c>
      <c r="BN244" t="s">
        <v>74</v>
      </c>
      <c r="BO244" t="s">
        <v>74</v>
      </c>
      <c r="BP244" t="s">
        <v>74</v>
      </c>
      <c r="BQ244" t="s">
        <v>74</v>
      </c>
      <c r="BR244" t="s">
        <v>105</v>
      </c>
      <c r="BS244" t="s">
        <v>4796</v>
      </c>
      <c r="BT244" t="str">
        <f>HYPERLINK("https%3A%2F%2Fwww.webofscience.com%2Fwos%2Fwoscc%2Ffull-record%2FWOS:000318281200012","View Full Record in Web of Science")</f>
        <v>View Full Record in Web of Science</v>
      </c>
    </row>
    <row r="245" spans="1:72" x14ac:dyDescent="0.15">
      <c r="A245" t="s">
        <v>72</v>
      </c>
      <c r="B245" t="s">
        <v>4797</v>
      </c>
      <c r="C245" t="s">
        <v>74</v>
      </c>
      <c r="D245" t="s">
        <v>74</v>
      </c>
      <c r="E245" t="s">
        <v>74</v>
      </c>
      <c r="F245" t="s">
        <v>4798</v>
      </c>
      <c r="G245" t="s">
        <v>74</v>
      </c>
      <c r="H245" t="s">
        <v>74</v>
      </c>
      <c r="I245" t="s">
        <v>4799</v>
      </c>
      <c r="J245" t="s">
        <v>1957</v>
      </c>
      <c r="K245" t="s">
        <v>74</v>
      </c>
      <c r="L245" t="s">
        <v>74</v>
      </c>
      <c r="M245" t="s">
        <v>78</v>
      </c>
      <c r="N245" t="s">
        <v>79</v>
      </c>
      <c r="O245" t="s">
        <v>74</v>
      </c>
      <c r="P245" t="s">
        <v>74</v>
      </c>
      <c r="Q245" t="s">
        <v>74</v>
      </c>
      <c r="R245" t="s">
        <v>74</v>
      </c>
      <c r="S245" t="s">
        <v>74</v>
      </c>
      <c r="T245" t="s">
        <v>4800</v>
      </c>
      <c r="U245" t="s">
        <v>4801</v>
      </c>
      <c r="V245" t="s">
        <v>4802</v>
      </c>
      <c r="W245" t="s">
        <v>4803</v>
      </c>
      <c r="X245" t="s">
        <v>4804</v>
      </c>
      <c r="Y245" t="s">
        <v>4805</v>
      </c>
      <c r="Z245" t="s">
        <v>4806</v>
      </c>
      <c r="AA245" t="s">
        <v>4807</v>
      </c>
      <c r="AB245" t="s">
        <v>74</v>
      </c>
      <c r="AC245" t="s">
        <v>4808</v>
      </c>
      <c r="AD245" t="s">
        <v>4809</v>
      </c>
      <c r="AE245" t="s">
        <v>4810</v>
      </c>
      <c r="AF245" t="s">
        <v>74</v>
      </c>
      <c r="AG245">
        <v>42</v>
      </c>
      <c r="AH245">
        <v>152</v>
      </c>
      <c r="AI245">
        <v>182</v>
      </c>
      <c r="AJ245">
        <v>2</v>
      </c>
      <c r="AK245">
        <v>82</v>
      </c>
      <c r="AL245" t="s">
        <v>92</v>
      </c>
      <c r="AM245" t="s">
        <v>93</v>
      </c>
      <c r="AN245" t="s">
        <v>94</v>
      </c>
      <c r="AO245" t="s">
        <v>1970</v>
      </c>
      <c r="AP245" t="s">
        <v>1971</v>
      </c>
      <c r="AQ245" t="s">
        <v>74</v>
      </c>
      <c r="AR245" t="s">
        <v>1972</v>
      </c>
      <c r="AS245" t="s">
        <v>1973</v>
      </c>
      <c r="AT245" t="s">
        <v>4811</v>
      </c>
      <c r="AU245">
        <v>2013</v>
      </c>
      <c r="AV245">
        <v>40</v>
      </c>
      <c r="AW245">
        <v>12</v>
      </c>
      <c r="AX245" t="s">
        <v>74</v>
      </c>
      <c r="AY245" t="s">
        <v>74</v>
      </c>
      <c r="AZ245" t="s">
        <v>74</v>
      </c>
      <c r="BA245" t="s">
        <v>74</v>
      </c>
      <c r="BB245">
        <v>3055</v>
      </c>
      <c r="BC245">
        <v>3063</v>
      </c>
      <c r="BD245" t="s">
        <v>74</v>
      </c>
      <c r="BE245" t="s">
        <v>4812</v>
      </c>
      <c r="BF245" t="str">
        <f>HYPERLINK("http://dx.doi.org/10.1002/grl.50527","http://dx.doi.org/10.1002/grl.50527")</f>
        <v>http://dx.doi.org/10.1002/grl.50527</v>
      </c>
      <c r="BG245" t="s">
        <v>74</v>
      </c>
      <c r="BH245" t="s">
        <v>74</v>
      </c>
      <c r="BI245">
        <v>9</v>
      </c>
      <c r="BJ245" t="s">
        <v>1426</v>
      </c>
      <c r="BK245" t="s">
        <v>102</v>
      </c>
      <c r="BL245" t="s">
        <v>219</v>
      </c>
      <c r="BM245" t="s">
        <v>4813</v>
      </c>
      <c r="BN245" t="s">
        <v>74</v>
      </c>
      <c r="BO245" t="s">
        <v>1589</v>
      </c>
      <c r="BP245" t="s">
        <v>74</v>
      </c>
      <c r="BQ245" t="s">
        <v>74</v>
      </c>
      <c r="BR245" t="s">
        <v>105</v>
      </c>
      <c r="BS245" t="s">
        <v>4814</v>
      </c>
      <c r="BT245" t="str">
        <f>HYPERLINK("https%3A%2F%2Fwww.webofscience.com%2Fwos%2Fwoscc%2Ffull-record%2FWOS:000321951300032","View Full Record in Web of Science")</f>
        <v>View Full Record in Web of Science</v>
      </c>
    </row>
    <row r="246" spans="1:72" x14ac:dyDescent="0.15">
      <c r="A246" t="s">
        <v>72</v>
      </c>
      <c r="B246" t="s">
        <v>4815</v>
      </c>
      <c r="C246" t="s">
        <v>74</v>
      </c>
      <c r="D246" t="s">
        <v>74</v>
      </c>
      <c r="E246" t="s">
        <v>74</v>
      </c>
      <c r="F246" t="s">
        <v>4816</v>
      </c>
      <c r="G246" t="s">
        <v>74</v>
      </c>
      <c r="H246" t="s">
        <v>74</v>
      </c>
      <c r="I246" t="s">
        <v>4817</v>
      </c>
      <c r="J246" t="s">
        <v>1957</v>
      </c>
      <c r="K246" t="s">
        <v>74</v>
      </c>
      <c r="L246" t="s">
        <v>74</v>
      </c>
      <c r="M246" t="s">
        <v>78</v>
      </c>
      <c r="N246" t="s">
        <v>79</v>
      </c>
      <c r="O246" t="s">
        <v>74</v>
      </c>
      <c r="P246" t="s">
        <v>74</v>
      </c>
      <c r="Q246" t="s">
        <v>74</v>
      </c>
      <c r="R246" t="s">
        <v>74</v>
      </c>
      <c r="S246" t="s">
        <v>74</v>
      </c>
      <c r="T246" t="s">
        <v>4818</v>
      </c>
      <c r="U246" t="s">
        <v>4819</v>
      </c>
      <c r="V246" t="s">
        <v>4820</v>
      </c>
      <c r="W246" t="s">
        <v>4821</v>
      </c>
      <c r="X246" t="s">
        <v>4822</v>
      </c>
      <c r="Y246" t="s">
        <v>4823</v>
      </c>
      <c r="Z246" t="s">
        <v>4824</v>
      </c>
      <c r="AA246" t="s">
        <v>74</v>
      </c>
      <c r="AB246" t="s">
        <v>74</v>
      </c>
      <c r="AC246" t="s">
        <v>4825</v>
      </c>
      <c r="AD246" t="s">
        <v>4825</v>
      </c>
      <c r="AE246" t="s">
        <v>4826</v>
      </c>
      <c r="AF246" t="s">
        <v>74</v>
      </c>
      <c r="AG246">
        <v>33</v>
      </c>
      <c r="AH246">
        <v>3</v>
      </c>
      <c r="AI246">
        <v>3</v>
      </c>
      <c r="AJ246">
        <v>2</v>
      </c>
      <c r="AK246">
        <v>21</v>
      </c>
      <c r="AL246" t="s">
        <v>92</v>
      </c>
      <c r="AM246" t="s">
        <v>93</v>
      </c>
      <c r="AN246" t="s">
        <v>94</v>
      </c>
      <c r="AO246" t="s">
        <v>1970</v>
      </c>
      <c r="AP246" t="s">
        <v>1971</v>
      </c>
      <c r="AQ246" t="s">
        <v>74</v>
      </c>
      <c r="AR246" t="s">
        <v>1972</v>
      </c>
      <c r="AS246" t="s">
        <v>1973</v>
      </c>
      <c r="AT246" t="s">
        <v>4811</v>
      </c>
      <c r="AU246">
        <v>2013</v>
      </c>
      <c r="AV246">
        <v>40</v>
      </c>
      <c r="AW246">
        <v>12</v>
      </c>
      <c r="AX246" t="s">
        <v>74</v>
      </c>
      <c r="AY246" t="s">
        <v>74</v>
      </c>
      <c r="AZ246" t="s">
        <v>74</v>
      </c>
      <c r="BA246" t="s">
        <v>74</v>
      </c>
      <c r="BB246">
        <v>3150</v>
      </c>
      <c r="BC246">
        <v>3156</v>
      </c>
      <c r="BD246" t="s">
        <v>74</v>
      </c>
      <c r="BE246" t="s">
        <v>4827</v>
      </c>
      <c r="BF246" t="str">
        <f>HYPERLINK("http://dx.doi.org/10.1002/grl.50624","http://dx.doi.org/10.1002/grl.50624")</f>
        <v>http://dx.doi.org/10.1002/grl.50624</v>
      </c>
      <c r="BG246" t="s">
        <v>74</v>
      </c>
      <c r="BH246" t="s">
        <v>74</v>
      </c>
      <c r="BI246">
        <v>7</v>
      </c>
      <c r="BJ246" t="s">
        <v>1426</v>
      </c>
      <c r="BK246" t="s">
        <v>102</v>
      </c>
      <c r="BL246" t="s">
        <v>219</v>
      </c>
      <c r="BM246" t="s">
        <v>4813</v>
      </c>
      <c r="BN246" t="s">
        <v>74</v>
      </c>
      <c r="BO246" t="s">
        <v>74</v>
      </c>
      <c r="BP246" t="s">
        <v>74</v>
      </c>
      <c r="BQ246" t="s">
        <v>74</v>
      </c>
      <c r="BR246" t="s">
        <v>105</v>
      </c>
      <c r="BS246" t="s">
        <v>4828</v>
      </c>
      <c r="BT246" t="str">
        <f>HYPERLINK("https%3A%2F%2Fwww.webofscience.com%2Fwos%2Fwoscc%2Ffull-record%2FWOS:000321951300049","View Full Record in Web of Science")</f>
        <v>View Full Record in Web of Science</v>
      </c>
    </row>
    <row r="247" spans="1:72" x14ac:dyDescent="0.15">
      <c r="A247" t="s">
        <v>72</v>
      </c>
      <c r="B247" t="s">
        <v>4829</v>
      </c>
      <c r="C247" t="s">
        <v>74</v>
      </c>
      <c r="D247" t="s">
        <v>74</v>
      </c>
      <c r="E247" t="s">
        <v>74</v>
      </c>
      <c r="F247" t="s">
        <v>4830</v>
      </c>
      <c r="G247" t="s">
        <v>74</v>
      </c>
      <c r="H247" t="s">
        <v>74</v>
      </c>
      <c r="I247" t="s">
        <v>4831</v>
      </c>
      <c r="J247" t="s">
        <v>1957</v>
      </c>
      <c r="K247" t="s">
        <v>74</v>
      </c>
      <c r="L247" t="s">
        <v>74</v>
      </c>
      <c r="M247" t="s">
        <v>78</v>
      </c>
      <c r="N247" t="s">
        <v>79</v>
      </c>
      <c r="O247" t="s">
        <v>74</v>
      </c>
      <c r="P247" t="s">
        <v>74</v>
      </c>
      <c r="Q247" t="s">
        <v>74</v>
      </c>
      <c r="R247" t="s">
        <v>74</v>
      </c>
      <c r="S247" t="s">
        <v>74</v>
      </c>
      <c r="T247" t="s">
        <v>4832</v>
      </c>
      <c r="U247" t="s">
        <v>74</v>
      </c>
      <c r="V247" t="s">
        <v>4833</v>
      </c>
      <c r="W247" t="s">
        <v>4834</v>
      </c>
      <c r="X247" t="s">
        <v>4835</v>
      </c>
      <c r="Y247" t="s">
        <v>4836</v>
      </c>
      <c r="Z247" t="s">
        <v>4837</v>
      </c>
      <c r="AA247" t="s">
        <v>4838</v>
      </c>
      <c r="AB247" t="s">
        <v>4839</v>
      </c>
      <c r="AC247" t="s">
        <v>4840</v>
      </c>
      <c r="AD247" t="s">
        <v>4841</v>
      </c>
      <c r="AE247" t="s">
        <v>4842</v>
      </c>
      <c r="AF247" t="s">
        <v>74</v>
      </c>
      <c r="AG247">
        <v>24</v>
      </c>
      <c r="AH247">
        <v>132</v>
      </c>
      <c r="AI247">
        <v>142</v>
      </c>
      <c r="AJ247">
        <v>2</v>
      </c>
      <c r="AK247">
        <v>55</v>
      </c>
      <c r="AL247" t="s">
        <v>92</v>
      </c>
      <c r="AM247" t="s">
        <v>93</v>
      </c>
      <c r="AN247" t="s">
        <v>94</v>
      </c>
      <c r="AO247" t="s">
        <v>1970</v>
      </c>
      <c r="AP247" t="s">
        <v>1971</v>
      </c>
      <c r="AQ247" t="s">
        <v>74</v>
      </c>
      <c r="AR247" t="s">
        <v>1972</v>
      </c>
      <c r="AS247" t="s">
        <v>1973</v>
      </c>
      <c r="AT247" t="s">
        <v>4811</v>
      </c>
      <c r="AU247">
        <v>2013</v>
      </c>
      <c r="AV247">
        <v>40</v>
      </c>
      <c r="AW247">
        <v>12</v>
      </c>
      <c r="AX247" t="s">
        <v>74</v>
      </c>
      <c r="AY247" t="s">
        <v>74</v>
      </c>
      <c r="AZ247" t="s">
        <v>74</v>
      </c>
      <c r="BA247" t="s">
        <v>74</v>
      </c>
      <c r="BB247">
        <v>3195</v>
      </c>
      <c r="BC247">
        <v>3199</v>
      </c>
      <c r="BD247" t="s">
        <v>74</v>
      </c>
      <c r="BE247" t="s">
        <v>4843</v>
      </c>
      <c r="BF247" t="str">
        <f>HYPERLINK("http://dx.doi.org/10.1002/grl.50578","http://dx.doi.org/10.1002/grl.50578")</f>
        <v>http://dx.doi.org/10.1002/grl.50578</v>
      </c>
      <c r="BG247" t="s">
        <v>74</v>
      </c>
      <c r="BH247" t="s">
        <v>74</v>
      </c>
      <c r="BI247">
        <v>5</v>
      </c>
      <c r="BJ247" t="s">
        <v>1426</v>
      </c>
      <c r="BK247" t="s">
        <v>102</v>
      </c>
      <c r="BL247" t="s">
        <v>219</v>
      </c>
      <c r="BM247" t="s">
        <v>4813</v>
      </c>
      <c r="BN247" t="s">
        <v>74</v>
      </c>
      <c r="BO247" t="s">
        <v>2011</v>
      </c>
      <c r="BP247" t="s">
        <v>74</v>
      </c>
      <c r="BQ247" t="s">
        <v>74</v>
      </c>
      <c r="BR247" t="s">
        <v>105</v>
      </c>
      <c r="BS247" t="s">
        <v>4844</v>
      </c>
      <c r="BT247" t="str">
        <f>HYPERLINK("https%3A%2F%2Fwww.webofscience.com%2Fwos%2Fwoscc%2Ffull-record%2FWOS:000321951300057","View Full Record in Web of Science")</f>
        <v>View Full Record in Web of Science</v>
      </c>
    </row>
    <row r="248" spans="1:72" x14ac:dyDescent="0.15">
      <c r="A248" t="s">
        <v>72</v>
      </c>
      <c r="B248" t="s">
        <v>4845</v>
      </c>
      <c r="C248" t="s">
        <v>74</v>
      </c>
      <c r="D248" t="s">
        <v>74</v>
      </c>
      <c r="E248" t="s">
        <v>74</v>
      </c>
      <c r="F248" t="s">
        <v>4846</v>
      </c>
      <c r="G248" t="s">
        <v>74</v>
      </c>
      <c r="H248" t="s">
        <v>74</v>
      </c>
      <c r="I248" t="s">
        <v>4847</v>
      </c>
      <c r="J248" t="s">
        <v>1957</v>
      </c>
      <c r="K248" t="s">
        <v>74</v>
      </c>
      <c r="L248" t="s">
        <v>74</v>
      </c>
      <c r="M248" t="s">
        <v>78</v>
      </c>
      <c r="N248" t="s">
        <v>79</v>
      </c>
      <c r="O248" t="s">
        <v>74</v>
      </c>
      <c r="P248" t="s">
        <v>74</v>
      </c>
      <c r="Q248" t="s">
        <v>74</v>
      </c>
      <c r="R248" t="s">
        <v>74</v>
      </c>
      <c r="S248" t="s">
        <v>74</v>
      </c>
      <c r="T248" t="s">
        <v>4848</v>
      </c>
      <c r="U248" t="s">
        <v>4849</v>
      </c>
      <c r="V248" t="s">
        <v>4850</v>
      </c>
      <c r="W248" t="s">
        <v>4851</v>
      </c>
      <c r="X248" t="s">
        <v>4852</v>
      </c>
      <c r="Y248" t="s">
        <v>4853</v>
      </c>
      <c r="Z248" t="s">
        <v>4854</v>
      </c>
      <c r="AA248" t="s">
        <v>4855</v>
      </c>
      <c r="AB248" t="s">
        <v>4856</v>
      </c>
      <c r="AC248" t="s">
        <v>4857</v>
      </c>
      <c r="AD248" t="s">
        <v>4858</v>
      </c>
      <c r="AE248" t="s">
        <v>4859</v>
      </c>
      <c r="AF248" t="s">
        <v>74</v>
      </c>
      <c r="AG248">
        <v>26</v>
      </c>
      <c r="AH248">
        <v>30</v>
      </c>
      <c r="AI248">
        <v>33</v>
      </c>
      <c r="AJ248">
        <v>2</v>
      </c>
      <c r="AK248">
        <v>23</v>
      </c>
      <c r="AL248" t="s">
        <v>92</v>
      </c>
      <c r="AM248" t="s">
        <v>93</v>
      </c>
      <c r="AN248" t="s">
        <v>94</v>
      </c>
      <c r="AO248" t="s">
        <v>1970</v>
      </c>
      <c r="AP248" t="s">
        <v>1971</v>
      </c>
      <c r="AQ248" t="s">
        <v>74</v>
      </c>
      <c r="AR248" t="s">
        <v>1972</v>
      </c>
      <c r="AS248" t="s">
        <v>1973</v>
      </c>
      <c r="AT248" t="s">
        <v>4811</v>
      </c>
      <c r="AU248">
        <v>2013</v>
      </c>
      <c r="AV248">
        <v>40</v>
      </c>
      <c r="AW248">
        <v>12</v>
      </c>
      <c r="AX248" t="s">
        <v>74</v>
      </c>
      <c r="AY248" t="s">
        <v>74</v>
      </c>
      <c r="AZ248" t="s">
        <v>74</v>
      </c>
      <c r="BA248" t="s">
        <v>74</v>
      </c>
      <c r="BB248">
        <v>3237</v>
      </c>
      <c r="BC248">
        <v>3241</v>
      </c>
      <c r="BD248" t="s">
        <v>74</v>
      </c>
      <c r="BE248" t="s">
        <v>4860</v>
      </c>
      <c r="BF248" t="str">
        <f>HYPERLINK("http://dx.doi.org/10.1002/grl.50560","http://dx.doi.org/10.1002/grl.50560")</f>
        <v>http://dx.doi.org/10.1002/grl.50560</v>
      </c>
      <c r="BG248" t="s">
        <v>74</v>
      </c>
      <c r="BH248" t="s">
        <v>74</v>
      </c>
      <c r="BI248">
        <v>5</v>
      </c>
      <c r="BJ248" t="s">
        <v>1426</v>
      </c>
      <c r="BK248" t="s">
        <v>102</v>
      </c>
      <c r="BL248" t="s">
        <v>219</v>
      </c>
      <c r="BM248" t="s">
        <v>4813</v>
      </c>
      <c r="BN248" t="s">
        <v>74</v>
      </c>
      <c r="BO248" t="s">
        <v>104</v>
      </c>
      <c r="BP248" t="s">
        <v>74</v>
      </c>
      <c r="BQ248" t="s">
        <v>74</v>
      </c>
      <c r="BR248" t="s">
        <v>105</v>
      </c>
      <c r="BS248" t="s">
        <v>4861</v>
      </c>
      <c r="BT248" t="str">
        <f>HYPERLINK("https%3A%2F%2Fwww.webofscience.com%2Fwos%2Fwoscc%2Ffull-record%2FWOS:000321951300064","View Full Record in Web of Science")</f>
        <v>View Full Record in Web of Science</v>
      </c>
    </row>
    <row r="249" spans="1:72" x14ac:dyDescent="0.15">
      <c r="A249" t="s">
        <v>72</v>
      </c>
      <c r="B249" t="s">
        <v>4862</v>
      </c>
      <c r="C249" t="s">
        <v>74</v>
      </c>
      <c r="D249" t="s">
        <v>74</v>
      </c>
      <c r="E249" t="s">
        <v>74</v>
      </c>
      <c r="F249" t="s">
        <v>4863</v>
      </c>
      <c r="G249" t="s">
        <v>74</v>
      </c>
      <c r="H249" t="s">
        <v>74</v>
      </c>
      <c r="I249" t="s">
        <v>4864</v>
      </c>
      <c r="J249" t="s">
        <v>1957</v>
      </c>
      <c r="K249" t="s">
        <v>74</v>
      </c>
      <c r="L249" t="s">
        <v>74</v>
      </c>
      <c r="M249" t="s">
        <v>78</v>
      </c>
      <c r="N249" t="s">
        <v>79</v>
      </c>
      <c r="O249" t="s">
        <v>74</v>
      </c>
      <c r="P249" t="s">
        <v>74</v>
      </c>
      <c r="Q249" t="s">
        <v>74</v>
      </c>
      <c r="R249" t="s">
        <v>74</v>
      </c>
      <c r="S249" t="s">
        <v>74</v>
      </c>
      <c r="T249" t="s">
        <v>4865</v>
      </c>
      <c r="U249" t="s">
        <v>4866</v>
      </c>
      <c r="V249" t="s">
        <v>4867</v>
      </c>
      <c r="W249" t="s">
        <v>4868</v>
      </c>
      <c r="X249" t="s">
        <v>4869</v>
      </c>
      <c r="Y249" t="s">
        <v>4870</v>
      </c>
      <c r="Z249" t="s">
        <v>4871</v>
      </c>
      <c r="AA249" t="s">
        <v>4872</v>
      </c>
      <c r="AB249" t="s">
        <v>4873</v>
      </c>
      <c r="AC249" t="s">
        <v>4874</v>
      </c>
      <c r="AD249" t="s">
        <v>4875</v>
      </c>
      <c r="AE249" t="s">
        <v>4876</v>
      </c>
      <c r="AF249" t="s">
        <v>74</v>
      </c>
      <c r="AG249">
        <v>32</v>
      </c>
      <c r="AH249">
        <v>55</v>
      </c>
      <c r="AI249">
        <v>57</v>
      </c>
      <c r="AJ249">
        <v>1</v>
      </c>
      <c r="AK249">
        <v>8</v>
      </c>
      <c r="AL249" t="s">
        <v>92</v>
      </c>
      <c r="AM249" t="s">
        <v>93</v>
      </c>
      <c r="AN249" t="s">
        <v>94</v>
      </c>
      <c r="AO249" t="s">
        <v>1970</v>
      </c>
      <c r="AP249" t="s">
        <v>1971</v>
      </c>
      <c r="AQ249" t="s">
        <v>74</v>
      </c>
      <c r="AR249" t="s">
        <v>1972</v>
      </c>
      <c r="AS249" t="s">
        <v>1973</v>
      </c>
      <c r="AT249" t="s">
        <v>4811</v>
      </c>
      <c r="AU249">
        <v>2013</v>
      </c>
      <c r="AV249">
        <v>40</v>
      </c>
      <c r="AW249">
        <v>12</v>
      </c>
      <c r="AX249" t="s">
        <v>74</v>
      </c>
      <c r="AY249" t="s">
        <v>74</v>
      </c>
      <c r="AZ249" t="s">
        <v>74</v>
      </c>
      <c r="BA249" t="s">
        <v>74</v>
      </c>
      <c r="BB249">
        <v>2891</v>
      </c>
      <c r="BC249">
        <v>2896</v>
      </c>
      <c r="BD249" t="s">
        <v>74</v>
      </c>
      <c r="BE249" t="s">
        <v>4877</v>
      </c>
      <c r="BF249" t="str">
        <f>HYPERLINK("http://dx.doi.org/10.1002/grl.50593","http://dx.doi.org/10.1002/grl.50593")</f>
        <v>http://dx.doi.org/10.1002/grl.50593</v>
      </c>
      <c r="BG249" t="s">
        <v>74</v>
      </c>
      <c r="BH249" t="s">
        <v>74</v>
      </c>
      <c r="BI249">
        <v>6</v>
      </c>
      <c r="BJ249" t="s">
        <v>1426</v>
      </c>
      <c r="BK249" t="s">
        <v>102</v>
      </c>
      <c r="BL249" t="s">
        <v>219</v>
      </c>
      <c r="BM249" t="s">
        <v>4813</v>
      </c>
      <c r="BN249" t="s">
        <v>74</v>
      </c>
      <c r="BO249" t="s">
        <v>1063</v>
      </c>
      <c r="BP249" t="s">
        <v>74</v>
      </c>
      <c r="BQ249" t="s">
        <v>74</v>
      </c>
      <c r="BR249" t="s">
        <v>105</v>
      </c>
      <c r="BS249" t="s">
        <v>4878</v>
      </c>
      <c r="BT249" t="str">
        <f>HYPERLINK("https%3A%2F%2Fwww.webofscience.com%2Fwos%2Fwoscc%2Ffull-record%2FWOS:000321951300003","View Full Record in Web of Science")</f>
        <v>View Full Record in Web of Science</v>
      </c>
    </row>
    <row r="250" spans="1:72" x14ac:dyDescent="0.15">
      <c r="A250" t="s">
        <v>72</v>
      </c>
      <c r="B250" t="s">
        <v>4879</v>
      </c>
      <c r="C250" t="s">
        <v>74</v>
      </c>
      <c r="D250" t="s">
        <v>74</v>
      </c>
      <c r="E250" t="s">
        <v>74</v>
      </c>
      <c r="F250" t="s">
        <v>4880</v>
      </c>
      <c r="G250" t="s">
        <v>74</v>
      </c>
      <c r="H250" t="s">
        <v>74</v>
      </c>
      <c r="I250" t="s">
        <v>4881</v>
      </c>
      <c r="J250" t="s">
        <v>1957</v>
      </c>
      <c r="K250" t="s">
        <v>74</v>
      </c>
      <c r="L250" t="s">
        <v>74</v>
      </c>
      <c r="M250" t="s">
        <v>78</v>
      </c>
      <c r="N250" t="s">
        <v>79</v>
      </c>
      <c r="O250" t="s">
        <v>74</v>
      </c>
      <c r="P250" t="s">
        <v>74</v>
      </c>
      <c r="Q250" t="s">
        <v>74</v>
      </c>
      <c r="R250" t="s">
        <v>74</v>
      </c>
      <c r="S250" t="s">
        <v>74</v>
      </c>
      <c r="T250" t="s">
        <v>4882</v>
      </c>
      <c r="U250" t="s">
        <v>4883</v>
      </c>
      <c r="V250" t="s">
        <v>4884</v>
      </c>
      <c r="W250" t="s">
        <v>4885</v>
      </c>
      <c r="X250" t="s">
        <v>4886</v>
      </c>
      <c r="Y250" t="s">
        <v>4887</v>
      </c>
      <c r="Z250" t="s">
        <v>4888</v>
      </c>
      <c r="AA250" t="s">
        <v>4889</v>
      </c>
      <c r="AB250" t="s">
        <v>4890</v>
      </c>
      <c r="AC250" t="s">
        <v>4891</v>
      </c>
      <c r="AD250" t="s">
        <v>4892</v>
      </c>
      <c r="AE250" t="s">
        <v>4893</v>
      </c>
      <c r="AF250" t="s">
        <v>74</v>
      </c>
      <c r="AG250">
        <v>17</v>
      </c>
      <c r="AH250">
        <v>57</v>
      </c>
      <c r="AI250">
        <v>60</v>
      </c>
      <c r="AJ250">
        <v>0</v>
      </c>
      <c r="AK250">
        <v>22</v>
      </c>
      <c r="AL250" t="s">
        <v>92</v>
      </c>
      <c r="AM250" t="s">
        <v>93</v>
      </c>
      <c r="AN250" t="s">
        <v>94</v>
      </c>
      <c r="AO250" t="s">
        <v>1970</v>
      </c>
      <c r="AP250" t="s">
        <v>1971</v>
      </c>
      <c r="AQ250" t="s">
        <v>74</v>
      </c>
      <c r="AR250" t="s">
        <v>1972</v>
      </c>
      <c r="AS250" t="s">
        <v>1973</v>
      </c>
      <c r="AT250" t="s">
        <v>4811</v>
      </c>
      <c r="AU250">
        <v>2013</v>
      </c>
      <c r="AV250">
        <v>40</v>
      </c>
      <c r="AW250">
        <v>12</v>
      </c>
      <c r="AX250" t="s">
        <v>74</v>
      </c>
      <c r="AY250" t="s">
        <v>74</v>
      </c>
      <c r="AZ250" t="s">
        <v>74</v>
      </c>
      <c r="BA250" t="s">
        <v>74</v>
      </c>
      <c r="BB250">
        <v>2918</v>
      </c>
      <c r="BC250">
        <v>2922</v>
      </c>
      <c r="BD250" t="s">
        <v>74</v>
      </c>
      <c r="BE250" t="s">
        <v>4894</v>
      </c>
      <c r="BF250" t="str">
        <f>HYPERLINK("http://dx.doi.org/10.1002/grl.50616","http://dx.doi.org/10.1002/grl.50616")</f>
        <v>http://dx.doi.org/10.1002/grl.50616</v>
      </c>
      <c r="BG250" t="s">
        <v>74</v>
      </c>
      <c r="BH250" t="s">
        <v>74</v>
      </c>
      <c r="BI250">
        <v>5</v>
      </c>
      <c r="BJ250" t="s">
        <v>1426</v>
      </c>
      <c r="BK250" t="s">
        <v>102</v>
      </c>
      <c r="BL250" t="s">
        <v>219</v>
      </c>
      <c r="BM250" t="s">
        <v>4813</v>
      </c>
      <c r="BN250" t="s">
        <v>74</v>
      </c>
      <c r="BO250" t="s">
        <v>4895</v>
      </c>
      <c r="BP250" t="s">
        <v>74</v>
      </c>
      <c r="BQ250" t="s">
        <v>74</v>
      </c>
      <c r="BR250" t="s">
        <v>105</v>
      </c>
      <c r="BS250" t="s">
        <v>4896</v>
      </c>
      <c r="BT250" t="str">
        <f>HYPERLINK("https%3A%2F%2Fwww.webofscience.com%2Fwos%2Fwoscc%2Ffull-record%2FWOS:000321951300008","View Full Record in Web of Science")</f>
        <v>View Full Record in Web of Science</v>
      </c>
    </row>
    <row r="251" spans="1:72" x14ac:dyDescent="0.15">
      <c r="A251" t="s">
        <v>72</v>
      </c>
      <c r="B251" t="s">
        <v>4897</v>
      </c>
      <c r="C251" t="s">
        <v>74</v>
      </c>
      <c r="D251" t="s">
        <v>74</v>
      </c>
      <c r="E251" t="s">
        <v>74</v>
      </c>
      <c r="F251" t="s">
        <v>4898</v>
      </c>
      <c r="G251" t="s">
        <v>74</v>
      </c>
      <c r="H251" t="s">
        <v>74</v>
      </c>
      <c r="I251" t="s">
        <v>4899</v>
      </c>
      <c r="J251" t="s">
        <v>1957</v>
      </c>
      <c r="K251" t="s">
        <v>74</v>
      </c>
      <c r="L251" t="s">
        <v>74</v>
      </c>
      <c r="M251" t="s">
        <v>78</v>
      </c>
      <c r="N251" t="s">
        <v>79</v>
      </c>
      <c r="O251" t="s">
        <v>74</v>
      </c>
      <c r="P251" t="s">
        <v>74</v>
      </c>
      <c r="Q251" t="s">
        <v>74</v>
      </c>
      <c r="R251" t="s">
        <v>74</v>
      </c>
      <c r="S251" t="s">
        <v>74</v>
      </c>
      <c r="T251" t="s">
        <v>4900</v>
      </c>
      <c r="U251" t="s">
        <v>74</v>
      </c>
      <c r="V251" t="s">
        <v>4901</v>
      </c>
      <c r="W251" t="s">
        <v>4902</v>
      </c>
      <c r="X251" t="s">
        <v>4903</v>
      </c>
      <c r="Y251" t="s">
        <v>4904</v>
      </c>
      <c r="Z251" t="s">
        <v>4905</v>
      </c>
      <c r="AA251" t="s">
        <v>4906</v>
      </c>
      <c r="AB251" t="s">
        <v>4907</v>
      </c>
      <c r="AC251" t="s">
        <v>4908</v>
      </c>
      <c r="AD251" t="s">
        <v>4909</v>
      </c>
      <c r="AE251" t="s">
        <v>4910</v>
      </c>
      <c r="AF251" t="s">
        <v>74</v>
      </c>
      <c r="AG251">
        <v>22</v>
      </c>
      <c r="AH251">
        <v>299</v>
      </c>
      <c r="AI251">
        <v>320</v>
      </c>
      <c r="AJ251">
        <v>2</v>
      </c>
      <c r="AK251">
        <v>37</v>
      </c>
      <c r="AL251" t="s">
        <v>92</v>
      </c>
      <c r="AM251" t="s">
        <v>93</v>
      </c>
      <c r="AN251" t="s">
        <v>94</v>
      </c>
      <c r="AO251" t="s">
        <v>1970</v>
      </c>
      <c r="AP251" t="s">
        <v>1971</v>
      </c>
      <c r="AQ251" t="s">
        <v>74</v>
      </c>
      <c r="AR251" t="s">
        <v>1972</v>
      </c>
      <c r="AS251" t="s">
        <v>1973</v>
      </c>
      <c r="AT251" t="s">
        <v>4811</v>
      </c>
      <c r="AU251">
        <v>2013</v>
      </c>
      <c r="AV251">
        <v>40</v>
      </c>
      <c r="AW251">
        <v>12</v>
      </c>
      <c r="AX251" t="s">
        <v>74</v>
      </c>
      <c r="AY251" t="s">
        <v>74</v>
      </c>
      <c r="AZ251" t="s">
        <v>74</v>
      </c>
      <c r="BA251" t="s">
        <v>74</v>
      </c>
      <c r="BB251">
        <v>3111</v>
      </c>
      <c r="BC251">
        <v>3117</v>
      </c>
      <c r="BD251" t="s">
        <v>74</v>
      </c>
      <c r="BE251" t="s">
        <v>4911</v>
      </c>
      <c r="BF251" t="str">
        <f>HYPERLINK("http://dx.doi.org/10.1002/grl.50413","http://dx.doi.org/10.1002/grl.50413")</f>
        <v>http://dx.doi.org/10.1002/grl.50413</v>
      </c>
      <c r="BG251" t="s">
        <v>74</v>
      </c>
      <c r="BH251" t="s">
        <v>74</v>
      </c>
      <c r="BI251">
        <v>7</v>
      </c>
      <c r="BJ251" t="s">
        <v>1426</v>
      </c>
      <c r="BK251" t="s">
        <v>102</v>
      </c>
      <c r="BL251" t="s">
        <v>219</v>
      </c>
      <c r="BM251" t="s">
        <v>4813</v>
      </c>
      <c r="BN251" t="s">
        <v>74</v>
      </c>
      <c r="BO251" t="s">
        <v>1063</v>
      </c>
      <c r="BP251" t="s">
        <v>2451</v>
      </c>
      <c r="BQ251" t="s">
        <v>2452</v>
      </c>
      <c r="BR251" t="s">
        <v>105</v>
      </c>
      <c r="BS251" t="s">
        <v>4912</v>
      </c>
      <c r="BT251" t="str">
        <f>HYPERLINK("https%3A%2F%2Fwww.webofscience.com%2Fwos%2Fwoscc%2Ffull-record%2FWOS:000321951300042","View Full Record in Web of Science")</f>
        <v>View Full Record in Web of Science</v>
      </c>
    </row>
    <row r="252" spans="1:72" x14ac:dyDescent="0.15">
      <c r="A252" t="s">
        <v>72</v>
      </c>
      <c r="B252" t="s">
        <v>4913</v>
      </c>
      <c r="C252" t="s">
        <v>74</v>
      </c>
      <c r="D252" t="s">
        <v>74</v>
      </c>
      <c r="E252" t="s">
        <v>74</v>
      </c>
      <c r="F252" t="s">
        <v>4914</v>
      </c>
      <c r="G252" t="s">
        <v>74</v>
      </c>
      <c r="H252" t="s">
        <v>74</v>
      </c>
      <c r="I252" t="s">
        <v>4915</v>
      </c>
      <c r="J252" t="s">
        <v>1957</v>
      </c>
      <c r="K252" t="s">
        <v>74</v>
      </c>
      <c r="L252" t="s">
        <v>74</v>
      </c>
      <c r="M252" t="s">
        <v>78</v>
      </c>
      <c r="N252" t="s">
        <v>79</v>
      </c>
      <c r="O252" t="s">
        <v>74</v>
      </c>
      <c r="P252" t="s">
        <v>74</v>
      </c>
      <c r="Q252" t="s">
        <v>74</v>
      </c>
      <c r="R252" t="s">
        <v>74</v>
      </c>
      <c r="S252" t="s">
        <v>74</v>
      </c>
      <c r="T252" t="s">
        <v>4916</v>
      </c>
      <c r="U252" t="s">
        <v>4917</v>
      </c>
      <c r="V252" t="s">
        <v>4918</v>
      </c>
      <c r="W252" t="s">
        <v>4919</v>
      </c>
      <c r="X252" t="s">
        <v>4920</v>
      </c>
      <c r="Y252" t="s">
        <v>4921</v>
      </c>
      <c r="Z252" t="s">
        <v>4922</v>
      </c>
      <c r="AA252" t="s">
        <v>4923</v>
      </c>
      <c r="AB252" t="s">
        <v>4924</v>
      </c>
      <c r="AC252" t="s">
        <v>4925</v>
      </c>
      <c r="AD252" t="s">
        <v>4926</v>
      </c>
      <c r="AE252" t="s">
        <v>4927</v>
      </c>
      <c r="AF252" t="s">
        <v>74</v>
      </c>
      <c r="AG252">
        <v>29</v>
      </c>
      <c r="AH252">
        <v>110</v>
      </c>
      <c r="AI252">
        <v>119</v>
      </c>
      <c r="AJ252">
        <v>4</v>
      </c>
      <c r="AK252">
        <v>47</v>
      </c>
      <c r="AL252" t="s">
        <v>92</v>
      </c>
      <c r="AM252" t="s">
        <v>93</v>
      </c>
      <c r="AN252" t="s">
        <v>94</v>
      </c>
      <c r="AO252" t="s">
        <v>1970</v>
      </c>
      <c r="AP252" t="s">
        <v>1971</v>
      </c>
      <c r="AQ252" t="s">
        <v>74</v>
      </c>
      <c r="AR252" t="s">
        <v>1972</v>
      </c>
      <c r="AS252" t="s">
        <v>1973</v>
      </c>
      <c r="AT252" t="s">
        <v>4811</v>
      </c>
      <c r="AU252">
        <v>2013</v>
      </c>
      <c r="AV252">
        <v>40</v>
      </c>
      <c r="AW252">
        <v>12</v>
      </c>
      <c r="AX252" t="s">
        <v>74</v>
      </c>
      <c r="AY252" t="s">
        <v>74</v>
      </c>
      <c r="AZ252" t="s">
        <v>74</v>
      </c>
      <c r="BA252" t="s">
        <v>74</v>
      </c>
      <c r="BB252">
        <v>3133</v>
      </c>
      <c r="BC252">
        <v>3137</v>
      </c>
      <c r="BD252" t="s">
        <v>74</v>
      </c>
      <c r="BE252" t="s">
        <v>4928</v>
      </c>
      <c r="BF252" t="str">
        <f>HYPERLINK("http://dx.doi.org/10.1002/grl.50542","http://dx.doi.org/10.1002/grl.50542")</f>
        <v>http://dx.doi.org/10.1002/grl.50542</v>
      </c>
      <c r="BG252" t="s">
        <v>74</v>
      </c>
      <c r="BH252" t="s">
        <v>74</v>
      </c>
      <c r="BI252">
        <v>5</v>
      </c>
      <c r="BJ252" t="s">
        <v>1426</v>
      </c>
      <c r="BK252" t="s">
        <v>102</v>
      </c>
      <c r="BL252" t="s">
        <v>219</v>
      </c>
      <c r="BM252" t="s">
        <v>4813</v>
      </c>
      <c r="BN252" t="s">
        <v>74</v>
      </c>
      <c r="BO252" t="s">
        <v>1589</v>
      </c>
      <c r="BP252" t="s">
        <v>74</v>
      </c>
      <c r="BQ252" t="s">
        <v>74</v>
      </c>
      <c r="BR252" t="s">
        <v>105</v>
      </c>
      <c r="BS252" t="s">
        <v>4929</v>
      </c>
      <c r="BT252" t="str">
        <f>HYPERLINK("https%3A%2F%2Fwww.webofscience.com%2Fwos%2Fwoscc%2Ffull-record%2FWOS:000321951300046","View Full Record in Web of Science")</f>
        <v>View Full Record in Web of Science</v>
      </c>
    </row>
    <row r="253" spans="1:72" x14ac:dyDescent="0.15">
      <c r="A253" t="s">
        <v>72</v>
      </c>
      <c r="B253" t="s">
        <v>4930</v>
      </c>
      <c r="C253" t="s">
        <v>74</v>
      </c>
      <c r="D253" t="s">
        <v>74</v>
      </c>
      <c r="E253" t="s">
        <v>74</v>
      </c>
      <c r="F253" t="s">
        <v>4931</v>
      </c>
      <c r="G253" t="s">
        <v>74</v>
      </c>
      <c r="H253" t="s">
        <v>74</v>
      </c>
      <c r="I253" t="s">
        <v>4932</v>
      </c>
      <c r="J253" t="s">
        <v>1957</v>
      </c>
      <c r="K253" t="s">
        <v>74</v>
      </c>
      <c r="L253" t="s">
        <v>74</v>
      </c>
      <c r="M253" t="s">
        <v>78</v>
      </c>
      <c r="N253" t="s">
        <v>79</v>
      </c>
      <c r="O253" t="s">
        <v>74</v>
      </c>
      <c r="P253" t="s">
        <v>74</v>
      </c>
      <c r="Q253" t="s">
        <v>74</v>
      </c>
      <c r="R253" t="s">
        <v>74</v>
      </c>
      <c r="S253" t="s">
        <v>74</v>
      </c>
      <c r="T253" t="s">
        <v>4933</v>
      </c>
      <c r="U253" t="s">
        <v>4934</v>
      </c>
      <c r="V253" t="s">
        <v>4935</v>
      </c>
      <c r="W253" t="s">
        <v>4936</v>
      </c>
      <c r="X253" t="s">
        <v>4937</v>
      </c>
      <c r="Y253" t="s">
        <v>4938</v>
      </c>
      <c r="Z253" t="s">
        <v>4939</v>
      </c>
      <c r="AA253" t="s">
        <v>4940</v>
      </c>
      <c r="AB253" t="s">
        <v>4941</v>
      </c>
      <c r="AC253" t="s">
        <v>4942</v>
      </c>
      <c r="AD253" t="s">
        <v>4943</v>
      </c>
      <c r="AE253" t="s">
        <v>4944</v>
      </c>
      <c r="AF253" t="s">
        <v>74</v>
      </c>
      <c r="AG253">
        <v>15</v>
      </c>
      <c r="AH253">
        <v>20</v>
      </c>
      <c r="AI253">
        <v>24</v>
      </c>
      <c r="AJ253">
        <v>1</v>
      </c>
      <c r="AK253">
        <v>32</v>
      </c>
      <c r="AL253" t="s">
        <v>92</v>
      </c>
      <c r="AM253" t="s">
        <v>93</v>
      </c>
      <c r="AN253" t="s">
        <v>94</v>
      </c>
      <c r="AO253" t="s">
        <v>1970</v>
      </c>
      <c r="AP253" t="s">
        <v>74</v>
      </c>
      <c r="AQ253" t="s">
        <v>74</v>
      </c>
      <c r="AR253" t="s">
        <v>1972</v>
      </c>
      <c r="AS253" t="s">
        <v>1973</v>
      </c>
      <c r="AT253" t="s">
        <v>4811</v>
      </c>
      <c r="AU253">
        <v>2013</v>
      </c>
      <c r="AV253">
        <v>40</v>
      </c>
      <c r="AW253">
        <v>12</v>
      </c>
      <c r="AX253" t="s">
        <v>74</v>
      </c>
      <c r="AY253" t="s">
        <v>74</v>
      </c>
      <c r="AZ253" t="s">
        <v>74</v>
      </c>
      <c r="BA253" t="s">
        <v>74</v>
      </c>
      <c r="BB253">
        <v>3144</v>
      </c>
      <c r="BC253">
        <v>3149</v>
      </c>
      <c r="BD253" t="s">
        <v>74</v>
      </c>
      <c r="BE253" t="s">
        <v>4945</v>
      </c>
      <c r="BF253" t="str">
        <f>HYPERLINK("http://dx.doi.org/10.1002/grl.50640","http://dx.doi.org/10.1002/grl.50640")</f>
        <v>http://dx.doi.org/10.1002/grl.50640</v>
      </c>
      <c r="BG253" t="s">
        <v>74</v>
      </c>
      <c r="BH253" t="s">
        <v>74</v>
      </c>
      <c r="BI253">
        <v>6</v>
      </c>
      <c r="BJ253" t="s">
        <v>1426</v>
      </c>
      <c r="BK253" t="s">
        <v>102</v>
      </c>
      <c r="BL253" t="s">
        <v>219</v>
      </c>
      <c r="BM253" t="s">
        <v>4813</v>
      </c>
      <c r="BN253" t="s">
        <v>74</v>
      </c>
      <c r="BO253" t="s">
        <v>74</v>
      </c>
      <c r="BP253" t="s">
        <v>74</v>
      </c>
      <c r="BQ253" t="s">
        <v>74</v>
      </c>
      <c r="BR253" t="s">
        <v>105</v>
      </c>
      <c r="BS253" t="s">
        <v>4946</v>
      </c>
      <c r="BT253" t="str">
        <f>HYPERLINK("https%3A%2F%2Fwww.webofscience.com%2Fwos%2Fwoscc%2Ffull-record%2FWOS:000321951300048","View Full Record in Web of Science")</f>
        <v>View Full Record in Web of Science</v>
      </c>
    </row>
    <row r="254" spans="1:72" x14ac:dyDescent="0.15">
      <c r="A254" t="s">
        <v>72</v>
      </c>
      <c r="B254" t="s">
        <v>4947</v>
      </c>
      <c r="C254" t="s">
        <v>74</v>
      </c>
      <c r="D254" t="s">
        <v>74</v>
      </c>
      <c r="E254" t="s">
        <v>74</v>
      </c>
      <c r="F254" t="s">
        <v>4948</v>
      </c>
      <c r="G254" t="s">
        <v>74</v>
      </c>
      <c r="H254" t="s">
        <v>74</v>
      </c>
      <c r="I254" t="s">
        <v>4949</v>
      </c>
      <c r="J254" t="s">
        <v>2090</v>
      </c>
      <c r="K254" t="s">
        <v>74</v>
      </c>
      <c r="L254" t="s">
        <v>74</v>
      </c>
      <c r="M254" t="s">
        <v>78</v>
      </c>
      <c r="N254" t="s">
        <v>79</v>
      </c>
      <c r="O254" t="s">
        <v>74</v>
      </c>
      <c r="P254" t="s">
        <v>74</v>
      </c>
      <c r="Q254" t="s">
        <v>74</v>
      </c>
      <c r="R254" t="s">
        <v>74</v>
      </c>
      <c r="S254" t="s">
        <v>74</v>
      </c>
      <c r="T254" t="s">
        <v>74</v>
      </c>
      <c r="U254" t="s">
        <v>4950</v>
      </c>
      <c r="V254" t="s">
        <v>4951</v>
      </c>
      <c r="W254" t="s">
        <v>4952</v>
      </c>
      <c r="X254" t="s">
        <v>4953</v>
      </c>
      <c r="Y254" t="s">
        <v>4954</v>
      </c>
      <c r="Z254" t="s">
        <v>4955</v>
      </c>
      <c r="AA254" t="s">
        <v>4956</v>
      </c>
      <c r="AB254" t="s">
        <v>4957</v>
      </c>
      <c r="AC254" t="s">
        <v>4958</v>
      </c>
      <c r="AD254" t="s">
        <v>4959</v>
      </c>
      <c r="AE254" t="s">
        <v>4960</v>
      </c>
      <c r="AF254" t="s">
        <v>74</v>
      </c>
      <c r="AG254">
        <v>41</v>
      </c>
      <c r="AH254">
        <v>149</v>
      </c>
      <c r="AI254">
        <v>169</v>
      </c>
      <c r="AJ254">
        <v>2</v>
      </c>
      <c r="AK254">
        <v>62</v>
      </c>
      <c r="AL254" t="s">
        <v>2091</v>
      </c>
      <c r="AM254" t="s">
        <v>93</v>
      </c>
      <c r="AN254" t="s">
        <v>2092</v>
      </c>
      <c r="AO254" t="s">
        <v>2093</v>
      </c>
      <c r="AP254" t="s">
        <v>4961</v>
      </c>
      <c r="AQ254" t="s">
        <v>74</v>
      </c>
      <c r="AR254" t="s">
        <v>2090</v>
      </c>
      <c r="AS254" t="s">
        <v>2094</v>
      </c>
      <c r="AT254" t="s">
        <v>4811</v>
      </c>
      <c r="AU254">
        <v>2013</v>
      </c>
      <c r="AV254">
        <v>340</v>
      </c>
      <c r="AW254">
        <v>6140</v>
      </c>
      <c r="AX254" t="s">
        <v>74</v>
      </c>
      <c r="AY254" t="s">
        <v>74</v>
      </c>
      <c r="AZ254" t="s">
        <v>74</v>
      </c>
      <c r="BA254" t="s">
        <v>74</v>
      </c>
      <c r="BB254">
        <v>1560</v>
      </c>
      <c r="BC254">
        <v>1563</v>
      </c>
      <c r="BD254" t="s">
        <v>74</v>
      </c>
      <c r="BE254" t="s">
        <v>4962</v>
      </c>
      <c r="BF254" t="str">
        <f>HYPERLINK("http://dx.doi.org/10.1126/science.1229180","http://dx.doi.org/10.1126/science.1229180")</f>
        <v>http://dx.doi.org/10.1126/science.1229180</v>
      </c>
      <c r="BG254" t="s">
        <v>74</v>
      </c>
      <c r="BH254" t="s">
        <v>74</v>
      </c>
      <c r="BI254">
        <v>4</v>
      </c>
      <c r="BJ254" t="s">
        <v>1880</v>
      </c>
      <c r="BK254" t="s">
        <v>102</v>
      </c>
      <c r="BL254" t="s">
        <v>1881</v>
      </c>
      <c r="BM254" t="s">
        <v>4963</v>
      </c>
      <c r="BN254">
        <v>23686342</v>
      </c>
      <c r="BO254" t="s">
        <v>104</v>
      </c>
      <c r="BP254" t="s">
        <v>74</v>
      </c>
      <c r="BQ254" t="s">
        <v>74</v>
      </c>
      <c r="BR254" t="s">
        <v>105</v>
      </c>
      <c r="BS254" t="s">
        <v>4964</v>
      </c>
      <c r="BT254" t="str">
        <f>HYPERLINK("https%3A%2F%2Fwww.webofscience.com%2Fwos%2Fwoscc%2Ffull-record%2FWOS:000321007000038","View Full Record in Web of Science")</f>
        <v>View Full Record in Web of Science</v>
      </c>
    </row>
    <row r="255" spans="1:72" x14ac:dyDescent="0.15">
      <c r="A255" t="s">
        <v>72</v>
      </c>
      <c r="B255" t="s">
        <v>4965</v>
      </c>
      <c r="C255" t="s">
        <v>74</v>
      </c>
      <c r="D255" t="s">
        <v>74</v>
      </c>
      <c r="E255" t="s">
        <v>74</v>
      </c>
      <c r="F255" t="s">
        <v>4966</v>
      </c>
      <c r="G255" t="s">
        <v>74</v>
      </c>
      <c r="H255" t="s">
        <v>74</v>
      </c>
      <c r="I255" t="s">
        <v>4967</v>
      </c>
      <c r="J255" t="s">
        <v>4968</v>
      </c>
      <c r="K255" t="s">
        <v>74</v>
      </c>
      <c r="L255" t="s">
        <v>74</v>
      </c>
      <c r="M255" t="s">
        <v>78</v>
      </c>
      <c r="N255" t="s">
        <v>79</v>
      </c>
      <c r="O255" t="s">
        <v>74</v>
      </c>
      <c r="P255" t="s">
        <v>74</v>
      </c>
      <c r="Q255" t="s">
        <v>74</v>
      </c>
      <c r="R255" t="s">
        <v>74</v>
      </c>
      <c r="S255" t="s">
        <v>74</v>
      </c>
      <c r="T255" t="s">
        <v>4969</v>
      </c>
      <c r="U255" t="s">
        <v>4970</v>
      </c>
      <c r="V255" t="s">
        <v>4971</v>
      </c>
      <c r="W255" t="s">
        <v>4972</v>
      </c>
      <c r="X255" t="s">
        <v>4973</v>
      </c>
      <c r="Y255" t="s">
        <v>4974</v>
      </c>
      <c r="Z255" t="s">
        <v>4975</v>
      </c>
      <c r="AA255" t="s">
        <v>74</v>
      </c>
      <c r="AB255" t="s">
        <v>4976</v>
      </c>
      <c r="AC255" t="s">
        <v>4977</v>
      </c>
      <c r="AD255" t="s">
        <v>4978</v>
      </c>
      <c r="AE255" t="s">
        <v>4979</v>
      </c>
      <c r="AF255" t="s">
        <v>74</v>
      </c>
      <c r="AG255">
        <v>64</v>
      </c>
      <c r="AH255">
        <v>54</v>
      </c>
      <c r="AI255">
        <v>58</v>
      </c>
      <c r="AJ255">
        <v>1</v>
      </c>
      <c r="AK255">
        <v>47</v>
      </c>
      <c r="AL255" t="s">
        <v>195</v>
      </c>
      <c r="AM255" t="s">
        <v>155</v>
      </c>
      <c r="AN255" t="s">
        <v>196</v>
      </c>
      <c r="AO255" t="s">
        <v>4980</v>
      </c>
      <c r="AP255" t="s">
        <v>4981</v>
      </c>
      <c r="AQ255" t="s">
        <v>74</v>
      </c>
      <c r="AR255" t="s">
        <v>4982</v>
      </c>
      <c r="AS255" t="s">
        <v>4983</v>
      </c>
      <c r="AT255" t="s">
        <v>4984</v>
      </c>
      <c r="AU255">
        <v>2013</v>
      </c>
      <c r="AV255">
        <v>349</v>
      </c>
      <c r="AW255" t="s">
        <v>74</v>
      </c>
      <c r="AX255" t="s">
        <v>74</v>
      </c>
      <c r="AY255" t="s">
        <v>74</v>
      </c>
      <c r="AZ255" t="s">
        <v>74</v>
      </c>
      <c r="BA255" t="s">
        <v>74</v>
      </c>
      <c r="BB255">
        <v>18</v>
      </c>
      <c r="BC255">
        <v>26</v>
      </c>
      <c r="BD255" t="s">
        <v>74</v>
      </c>
      <c r="BE255" t="s">
        <v>4985</v>
      </c>
      <c r="BF255" t="str">
        <f>HYPERLINK("http://dx.doi.org/10.1016/j.chemgeo.2013.04.010","http://dx.doi.org/10.1016/j.chemgeo.2013.04.010")</f>
        <v>http://dx.doi.org/10.1016/j.chemgeo.2013.04.010</v>
      </c>
      <c r="BG255" t="s">
        <v>74</v>
      </c>
      <c r="BH255" t="s">
        <v>74</v>
      </c>
      <c r="BI255">
        <v>9</v>
      </c>
      <c r="BJ255" t="s">
        <v>766</v>
      </c>
      <c r="BK255" t="s">
        <v>102</v>
      </c>
      <c r="BL255" t="s">
        <v>766</v>
      </c>
      <c r="BM255" t="s">
        <v>4986</v>
      </c>
      <c r="BN255" t="s">
        <v>74</v>
      </c>
      <c r="BO255" t="s">
        <v>1014</v>
      </c>
      <c r="BP255" t="s">
        <v>74</v>
      </c>
      <c r="BQ255" t="s">
        <v>74</v>
      </c>
      <c r="BR255" t="s">
        <v>105</v>
      </c>
      <c r="BS255" t="s">
        <v>4987</v>
      </c>
      <c r="BT255" t="str">
        <f>HYPERLINK("https%3A%2F%2Fwww.webofscience.com%2Fwos%2Fwoscc%2Ffull-record%2FWOS:000321601800002","View Full Record in Web of Science")</f>
        <v>View Full Record in Web of Science</v>
      </c>
    </row>
    <row r="256" spans="1:72" x14ac:dyDescent="0.15">
      <c r="A256" t="s">
        <v>72</v>
      </c>
      <c r="B256" t="s">
        <v>4988</v>
      </c>
      <c r="C256" t="s">
        <v>74</v>
      </c>
      <c r="D256" t="s">
        <v>74</v>
      </c>
      <c r="E256" t="s">
        <v>74</v>
      </c>
      <c r="F256" t="s">
        <v>4989</v>
      </c>
      <c r="G256" t="s">
        <v>74</v>
      </c>
      <c r="H256" t="s">
        <v>74</v>
      </c>
      <c r="I256" t="s">
        <v>4990</v>
      </c>
      <c r="J256" t="s">
        <v>2343</v>
      </c>
      <c r="K256" t="s">
        <v>74</v>
      </c>
      <c r="L256" t="s">
        <v>74</v>
      </c>
      <c r="M256" t="s">
        <v>78</v>
      </c>
      <c r="N256" t="s">
        <v>79</v>
      </c>
      <c r="O256" t="s">
        <v>74</v>
      </c>
      <c r="P256" t="s">
        <v>74</v>
      </c>
      <c r="Q256" t="s">
        <v>74</v>
      </c>
      <c r="R256" t="s">
        <v>74</v>
      </c>
      <c r="S256" t="s">
        <v>74</v>
      </c>
      <c r="T256" t="s">
        <v>74</v>
      </c>
      <c r="U256" t="s">
        <v>4991</v>
      </c>
      <c r="V256" t="s">
        <v>4992</v>
      </c>
      <c r="W256" t="s">
        <v>4993</v>
      </c>
      <c r="X256" t="s">
        <v>1300</v>
      </c>
      <c r="Y256" t="s">
        <v>4994</v>
      </c>
      <c r="Z256" t="s">
        <v>1302</v>
      </c>
      <c r="AA256" t="s">
        <v>4995</v>
      </c>
      <c r="AB256" t="s">
        <v>4996</v>
      </c>
      <c r="AC256" t="s">
        <v>4997</v>
      </c>
      <c r="AD256" t="s">
        <v>4998</v>
      </c>
      <c r="AE256" t="s">
        <v>4999</v>
      </c>
      <c r="AF256" t="s">
        <v>74</v>
      </c>
      <c r="AG256">
        <v>59</v>
      </c>
      <c r="AH256">
        <v>35</v>
      </c>
      <c r="AI256">
        <v>40</v>
      </c>
      <c r="AJ256">
        <v>1</v>
      </c>
      <c r="AK256">
        <v>49</v>
      </c>
      <c r="AL256" t="s">
        <v>2355</v>
      </c>
      <c r="AM256" t="s">
        <v>2356</v>
      </c>
      <c r="AN256" t="s">
        <v>2357</v>
      </c>
      <c r="AO256" t="s">
        <v>2358</v>
      </c>
      <c r="AP256" t="s">
        <v>74</v>
      </c>
      <c r="AQ256" t="s">
        <v>74</v>
      </c>
      <c r="AR256" t="s">
        <v>2343</v>
      </c>
      <c r="AS256" t="s">
        <v>2359</v>
      </c>
      <c r="AT256" t="s">
        <v>4984</v>
      </c>
      <c r="AU256">
        <v>2013</v>
      </c>
      <c r="AV256">
        <v>8</v>
      </c>
      <c r="AW256">
        <v>6</v>
      </c>
      <c r="AX256" t="s">
        <v>74</v>
      </c>
      <c r="AY256" t="s">
        <v>74</v>
      </c>
      <c r="AZ256" t="s">
        <v>74</v>
      </c>
      <c r="BA256" t="s">
        <v>74</v>
      </c>
      <c r="BB256" t="s">
        <v>74</v>
      </c>
      <c r="BC256" t="s">
        <v>74</v>
      </c>
      <c r="BD256" t="s">
        <v>5000</v>
      </c>
      <c r="BE256" t="s">
        <v>5001</v>
      </c>
      <c r="BF256" t="str">
        <f>HYPERLINK("http://dx.doi.org/10.1371/journal.pone.0066033","http://dx.doi.org/10.1371/journal.pone.0066033")</f>
        <v>http://dx.doi.org/10.1371/journal.pone.0066033</v>
      </c>
      <c r="BG256" t="s">
        <v>74</v>
      </c>
      <c r="BH256" t="s">
        <v>74</v>
      </c>
      <c r="BI256">
        <v>8</v>
      </c>
      <c r="BJ256" t="s">
        <v>1880</v>
      </c>
      <c r="BK256" t="s">
        <v>102</v>
      </c>
      <c r="BL256" t="s">
        <v>1881</v>
      </c>
      <c r="BM256" t="s">
        <v>5002</v>
      </c>
      <c r="BN256">
        <v>23840393</v>
      </c>
      <c r="BO256" t="s">
        <v>5003</v>
      </c>
      <c r="BP256" t="s">
        <v>74</v>
      </c>
      <c r="BQ256" t="s">
        <v>74</v>
      </c>
      <c r="BR256" t="s">
        <v>105</v>
      </c>
      <c r="BS256" t="s">
        <v>5004</v>
      </c>
      <c r="BT256" t="str">
        <f>HYPERLINK("https%3A%2F%2Fwww.webofscience.com%2Fwos%2Fwoscc%2Ffull-record%2FWOS:000321424400016","View Full Record in Web of Science")</f>
        <v>View Full Record in Web of Science</v>
      </c>
    </row>
    <row r="257" spans="1:72" x14ac:dyDescent="0.15">
      <c r="A257" t="s">
        <v>72</v>
      </c>
      <c r="B257" t="s">
        <v>5005</v>
      </c>
      <c r="C257" t="s">
        <v>74</v>
      </c>
      <c r="D257" t="s">
        <v>74</v>
      </c>
      <c r="E257" t="s">
        <v>74</v>
      </c>
      <c r="F257" t="s">
        <v>5006</v>
      </c>
      <c r="G257" t="s">
        <v>74</v>
      </c>
      <c r="H257" t="s">
        <v>74</v>
      </c>
      <c r="I257" t="s">
        <v>5007</v>
      </c>
      <c r="J257" t="s">
        <v>5008</v>
      </c>
      <c r="K257" t="s">
        <v>74</v>
      </c>
      <c r="L257" t="s">
        <v>74</v>
      </c>
      <c r="M257" t="s">
        <v>78</v>
      </c>
      <c r="N257" t="s">
        <v>79</v>
      </c>
      <c r="O257" t="s">
        <v>74</v>
      </c>
      <c r="P257" t="s">
        <v>74</v>
      </c>
      <c r="Q257" t="s">
        <v>74</v>
      </c>
      <c r="R257" t="s">
        <v>74</v>
      </c>
      <c r="S257" t="s">
        <v>74</v>
      </c>
      <c r="T257" t="s">
        <v>74</v>
      </c>
      <c r="U257" t="s">
        <v>5009</v>
      </c>
      <c r="V257" t="s">
        <v>5010</v>
      </c>
      <c r="W257" t="s">
        <v>5011</v>
      </c>
      <c r="X257" t="s">
        <v>5012</v>
      </c>
      <c r="Y257" t="s">
        <v>5013</v>
      </c>
      <c r="Z257" t="s">
        <v>5014</v>
      </c>
      <c r="AA257" t="s">
        <v>5015</v>
      </c>
      <c r="AB257" t="s">
        <v>5016</v>
      </c>
      <c r="AC257" t="s">
        <v>5017</v>
      </c>
      <c r="AD257" t="s">
        <v>5018</v>
      </c>
      <c r="AE257" t="s">
        <v>5019</v>
      </c>
      <c r="AF257" t="s">
        <v>74</v>
      </c>
      <c r="AG257">
        <v>41</v>
      </c>
      <c r="AH257">
        <v>33</v>
      </c>
      <c r="AI257">
        <v>39</v>
      </c>
      <c r="AJ257">
        <v>2</v>
      </c>
      <c r="AK257">
        <v>49</v>
      </c>
      <c r="AL257" t="s">
        <v>5020</v>
      </c>
      <c r="AM257" t="s">
        <v>93</v>
      </c>
      <c r="AN257" t="s">
        <v>5021</v>
      </c>
      <c r="AO257" t="s">
        <v>5022</v>
      </c>
      <c r="AP257" t="s">
        <v>5023</v>
      </c>
      <c r="AQ257" t="s">
        <v>74</v>
      </c>
      <c r="AR257" t="s">
        <v>5008</v>
      </c>
      <c r="AS257" t="s">
        <v>5024</v>
      </c>
      <c r="AT257" t="s">
        <v>5025</v>
      </c>
      <c r="AU257">
        <v>2013</v>
      </c>
      <c r="AV257">
        <v>29</v>
      </c>
      <c r="AW257">
        <v>25</v>
      </c>
      <c r="AX257" t="s">
        <v>74</v>
      </c>
      <c r="AY257" t="s">
        <v>74</v>
      </c>
      <c r="AZ257" t="s">
        <v>74</v>
      </c>
      <c r="BA257" t="s">
        <v>74</v>
      </c>
      <c r="BB257">
        <v>7655</v>
      </c>
      <c r="BC257">
        <v>7660</v>
      </c>
      <c r="BD257" t="s">
        <v>74</v>
      </c>
      <c r="BE257" t="s">
        <v>5026</v>
      </c>
      <c r="BF257" t="str">
        <f>HYPERLINK("http://dx.doi.org/10.1021/la4009703","http://dx.doi.org/10.1021/la4009703")</f>
        <v>http://dx.doi.org/10.1021/la4009703</v>
      </c>
      <c r="BG257" t="s">
        <v>74</v>
      </c>
      <c r="BH257" t="s">
        <v>74</v>
      </c>
      <c r="BI257">
        <v>6</v>
      </c>
      <c r="BJ257" t="s">
        <v>5027</v>
      </c>
      <c r="BK257" t="s">
        <v>102</v>
      </c>
      <c r="BL257" t="s">
        <v>5028</v>
      </c>
      <c r="BM257" t="s">
        <v>5029</v>
      </c>
      <c r="BN257">
        <v>23551166</v>
      </c>
      <c r="BO257" t="s">
        <v>5030</v>
      </c>
      <c r="BP257" t="s">
        <v>74</v>
      </c>
      <c r="BQ257" t="s">
        <v>74</v>
      </c>
      <c r="BR257" t="s">
        <v>105</v>
      </c>
      <c r="BS257" t="s">
        <v>5031</v>
      </c>
      <c r="BT257" t="str">
        <f>HYPERLINK("https%3A%2F%2Fwww.webofscience.com%2Fwos%2Fwoscc%2Ffull-record%2FWOS:000321094100011","View Full Record in Web of Science")</f>
        <v>View Full Record in Web of Science</v>
      </c>
    </row>
    <row r="258" spans="1:72" x14ac:dyDescent="0.15">
      <c r="A258" t="s">
        <v>72</v>
      </c>
      <c r="B258" t="s">
        <v>5032</v>
      </c>
      <c r="C258" t="s">
        <v>74</v>
      </c>
      <c r="D258" t="s">
        <v>74</v>
      </c>
      <c r="E258" t="s">
        <v>74</v>
      </c>
      <c r="F258" t="s">
        <v>5033</v>
      </c>
      <c r="G258" t="s">
        <v>74</v>
      </c>
      <c r="H258" t="s">
        <v>74</v>
      </c>
      <c r="I258" t="s">
        <v>5034</v>
      </c>
      <c r="J258" t="s">
        <v>5035</v>
      </c>
      <c r="K258" t="s">
        <v>74</v>
      </c>
      <c r="L258" t="s">
        <v>74</v>
      </c>
      <c r="M258" t="s">
        <v>78</v>
      </c>
      <c r="N258" t="s">
        <v>79</v>
      </c>
      <c r="O258" t="s">
        <v>74</v>
      </c>
      <c r="P258" t="s">
        <v>74</v>
      </c>
      <c r="Q258" t="s">
        <v>74</v>
      </c>
      <c r="R258" t="s">
        <v>74</v>
      </c>
      <c r="S258" t="s">
        <v>74</v>
      </c>
      <c r="T258" t="s">
        <v>5036</v>
      </c>
      <c r="U258" t="s">
        <v>5037</v>
      </c>
      <c r="V258" t="s">
        <v>5038</v>
      </c>
      <c r="W258" t="s">
        <v>5039</v>
      </c>
      <c r="X258" t="s">
        <v>5040</v>
      </c>
      <c r="Y258" t="s">
        <v>5041</v>
      </c>
      <c r="Z258" t="s">
        <v>5042</v>
      </c>
      <c r="AA258" t="s">
        <v>5043</v>
      </c>
      <c r="AB258" t="s">
        <v>5044</v>
      </c>
      <c r="AC258" t="s">
        <v>74</v>
      </c>
      <c r="AD258" t="s">
        <v>74</v>
      </c>
      <c r="AE258" t="s">
        <v>74</v>
      </c>
      <c r="AF258" t="s">
        <v>74</v>
      </c>
      <c r="AG258">
        <v>25</v>
      </c>
      <c r="AH258">
        <v>47</v>
      </c>
      <c r="AI258">
        <v>54</v>
      </c>
      <c r="AJ258">
        <v>4</v>
      </c>
      <c r="AK258">
        <v>195</v>
      </c>
      <c r="AL258" t="s">
        <v>2741</v>
      </c>
      <c r="AM258" t="s">
        <v>643</v>
      </c>
      <c r="AN258" t="s">
        <v>2742</v>
      </c>
      <c r="AO258" t="s">
        <v>5045</v>
      </c>
      <c r="AP258" t="s">
        <v>5046</v>
      </c>
      <c r="AQ258" t="s">
        <v>74</v>
      </c>
      <c r="AR258" t="s">
        <v>5047</v>
      </c>
      <c r="AS258" t="s">
        <v>5048</v>
      </c>
      <c r="AT258" t="s">
        <v>5049</v>
      </c>
      <c r="AU258">
        <v>2013</v>
      </c>
      <c r="AV258">
        <v>9</v>
      </c>
      <c r="AW258">
        <v>3</v>
      </c>
      <c r="AX258" t="s">
        <v>74</v>
      </c>
      <c r="AY258" t="s">
        <v>74</v>
      </c>
      <c r="AZ258" t="s">
        <v>74</v>
      </c>
      <c r="BA258" t="s">
        <v>74</v>
      </c>
      <c r="BB258" t="s">
        <v>74</v>
      </c>
      <c r="BC258" t="s">
        <v>74</v>
      </c>
      <c r="BD258">
        <v>20121192</v>
      </c>
      <c r="BE258" t="s">
        <v>5050</v>
      </c>
      <c r="BF258" t="str">
        <f>HYPERLINK("http://dx.doi.org/10.1098/rsbl.2012.1192","http://dx.doi.org/10.1098/rsbl.2012.1192")</f>
        <v>http://dx.doi.org/10.1098/rsbl.2012.1192</v>
      </c>
      <c r="BG258" t="s">
        <v>74</v>
      </c>
      <c r="BH258" t="s">
        <v>74</v>
      </c>
      <c r="BI258">
        <v>4</v>
      </c>
      <c r="BJ258" t="s">
        <v>5051</v>
      </c>
      <c r="BK258" t="s">
        <v>102</v>
      </c>
      <c r="BL258" t="s">
        <v>5052</v>
      </c>
      <c r="BM258" t="s">
        <v>5053</v>
      </c>
      <c r="BN258">
        <v>23466479</v>
      </c>
      <c r="BO258" t="s">
        <v>1589</v>
      </c>
      <c r="BP258" t="s">
        <v>74</v>
      </c>
      <c r="BQ258" t="s">
        <v>74</v>
      </c>
      <c r="BR258" t="s">
        <v>105</v>
      </c>
      <c r="BS258" t="s">
        <v>5054</v>
      </c>
      <c r="BT258" t="str">
        <f>HYPERLINK("https%3A%2F%2Fwww.webofscience.com%2Fwos%2Fwoscc%2Ffull-record%2FWOS:000318762300010","View Full Record in Web of Science")</f>
        <v>View Full Record in Web of Science</v>
      </c>
    </row>
    <row r="259" spans="1:72" x14ac:dyDescent="0.15">
      <c r="A259" t="s">
        <v>72</v>
      </c>
      <c r="B259" t="s">
        <v>5055</v>
      </c>
      <c r="C259" t="s">
        <v>74</v>
      </c>
      <c r="D259" t="s">
        <v>74</v>
      </c>
      <c r="E259" t="s">
        <v>74</v>
      </c>
      <c r="F259" t="s">
        <v>5056</v>
      </c>
      <c r="G259" t="s">
        <v>74</v>
      </c>
      <c r="H259" t="s">
        <v>74</v>
      </c>
      <c r="I259" t="s">
        <v>5057</v>
      </c>
      <c r="J259" t="s">
        <v>5035</v>
      </c>
      <c r="K259" t="s">
        <v>74</v>
      </c>
      <c r="L259" t="s">
        <v>74</v>
      </c>
      <c r="M259" t="s">
        <v>78</v>
      </c>
      <c r="N259" t="s">
        <v>79</v>
      </c>
      <c r="O259" t="s">
        <v>74</v>
      </c>
      <c r="P259" t="s">
        <v>74</v>
      </c>
      <c r="Q259" t="s">
        <v>74</v>
      </c>
      <c r="R259" t="s">
        <v>74</v>
      </c>
      <c r="S259" t="s">
        <v>74</v>
      </c>
      <c r="T259" t="s">
        <v>5058</v>
      </c>
      <c r="U259" t="s">
        <v>5059</v>
      </c>
      <c r="V259" t="s">
        <v>5060</v>
      </c>
      <c r="W259" t="s">
        <v>5061</v>
      </c>
      <c r="X259" t="s">
        <v>5062</v>
      </c>
      <c r="Y259" t="s">
        <v>5063</v>
      </c>
      <c r="Z259" t="s">
        <v>5064</v>
      </c>
      <c r="AA259" t="s">
        <v>5065</v>
      </c>
      <c r="AB259" t="s">
        <v>5066</v>
      </c>
      <c r="AC259" t="s">
        <v>5067</v>
      </c>
      <c r="AD259" t="s">
        <v>5068</v>
      </c>
      <c r="AE259" t="s">
        <v>5069</v>
      </c>
      <c r="AF259" t="s">
        <v>74</v>
      </c>
      <c r="AG259">
        <v>17</v>
      </c>
      <c r="AH259">
        <v>40</v>
      </c>
      <c r="AI259">
        <v>46</v>
      </c>
      <c r="AJ259">
        <v>0</v>
      </c>
      <c r="AK259">
        <v>62</v>
      </c>
      <c r="AL259" t="s">
        <v>2741</v>
      </c>
      <c r="AM259" t="s">
        <v>643</v>
      </c>
      <c r="AN259" t="s">
        <v>2742</v>
      </c>
      <c r="AO259" t="s">
        <v>5045</v>
      </c>
      <c r="AP259" t="s">
        <v>5046</v>
      </c>
      <c r="AQ259" t="s">
        <v>74</v>
      </c>
      <c r="AR259" t="s">
        <v>5047</v>
      </c>
      <c r="AS259" t="s">
        <v>5048</v>
      </c>
      <c r="AT259" t="s">
        <v>5049</v>
      </c>
      <c r="AU259">
        <v>2013</v>
      </c>
      <c r="AV259">
        <v>9</v>
      </c>
      <c r="AW259">
        <v>3</v>
      </c>
      <c r="AX259" t="s">
        <v>74</v>
      </c>
      <c r="AY259" t="s">
        <v>74</v>
      </c>
      <c r="AZ259" t="s">
        <v>74</v>
      </c>
      <c r="BA259" t="s">
        <v>74</v>
      </c>
      <c r="BB259" t="s">
        <v>74</v>
      </c>
      <c r="BC259" t="s">
        <v>74</v>
      </c>
      <c r="BD259">
        <v>20121036</v>
      </c>
      <c r="BE259" t="s">
        <v>5070</v>
      </c>
      <c r="BF259" t="str">
        <f>HYPERLINK("http://dx.doi.org/10.1098/rsbl.2012.1036","http://dx.doi.org/10.1098/rsbl.2012.1036")</f>
        <v>http://dx.doi.org/10.1098/rsbl.2012.1036</v>
      </c>
      <c r="BG259" t="s">
        <v>74</v>
      </c>
      <c r="BH259" t="s">
        <v>74</v>
      </c>
      <c r="BI259">
        <v>5</v>
      </c>
      <c r="BJ259" t="s">
        <v>5051</v>
      </c>
      <c r="BK259" t="s">
        <v>102</v>
      </c>
      <c r="BL259" t="s">
        <v>5052</v>
      </c>
      <c r="BM259" t="s">
        <v>5053</v>
      </c>
      <c r="BN259">
        <v>23637389</v>
      </c>
      <c r="BO259" t="s">
        <v>5071</v>
      </c>
      <c r="BP259" t="s">
        <v>74</v>
      </c>
      <c r="BQ259" t="s">
        <v>74</v>
      </c>
      <c r="BR259" t="s">
        <v>105</v>
      </c>
      <c r="BS259" t="s">
        <v>5072</v>
      </c>
      <c r="BT259" t="str">
        <f>HYPERLINK("https%3A%2F%2Fwww.webofscience.com%2Fwos%2Fwoscc%2Ffull-record%2FWOS:000318762300001","View Full Record in Web of Science")</f>
        <v>View Full Record in Web of Science</v>
      </c>
    </row>
    <row r="260" spans="1:72" x14ac:dyDescent="0.15">
      <c r="A260" t="s">
        <v>72</v>
      </c>
      <c r="B260" t="s">
        <v>5073</v>
      </c>
      <c r="C260" t="s">
        <v>74</v>
      </c>
      <c r="D260" t="s">
        <v>74</v>
      </c>
      <c r="E260" t="s">
        <v>74</v>
      </c>
      <c r="F260" t="s">
        <v>5074</v>
      </c>
      <c r="G260" t="s">
        <v>74</v>
      </c>
      <c r="H260" t="s">
        <v>74</v>
      </c>
      <c r="I260" t="s">
        <v>5075</v>
      </c>
      <c r="J260" t="s">
        <v>5076</v>
      </c>
      <c r="K260" t="s">
        <v>74</v>
      </c>
      <c r="L260" t="s">
        <v>74</v>
      </c>
      <c r="M260" t="s">
        <v>78</v>
      </c>
      <c r="N260" t="s">
        <v>79</v>
      </c>
      <c r="O260" t="s">
        <v>74</v>
      </c>
      <c r="P260" t="s">
        <v>74</v>
      </c>
      <c r="Q260" t="s">
        <v>74</v>
      </c>
      <c r="R260" t="s">
        <v>74</v>
      </c>
      <c r="S260" t="s">
        <v>74</v>
      </c>
      <c r="T260" t="s">
        <v>5077</v>
      </c>
      <c r="U260" t="s">
        <v>5078</v>
      </c>
      <c r="V260" t="s">
        <v>5079</v>
      </c>
      <c r="W260" t="s">
        <v>5080</v>
      </c>
      <c r="X260" t="s">
        <v>5081</v>
      </c>
      <c r="Y260" t="s">
        <v>5082</v>
      </c>
      <c r="Z260" t="s">
        <v>5083</v>
      </c>
      <c r="AA260" t="s">
        <v>5084</v>
      </c>
      <c r="AB260" t="s">
        <v>5085</v>
      </c>
      <c r="AC260" t="s">
        <v>74</v>
      </c>
      <c r="AD260" t="s">
        <v>74</v>
      </c>
      <c r="AE260" t="s">
        <v>74</v>
      </c>
      <c r="AF260" t="s">
        <v>74</v>
      </c>
      <c r="AG260">
        <v>29</v>
      </c>
      <c r="AH260">
        <v>7</v>
      </c>
      <c r="AI260">
        <v>7</v>
      </c>
      <c r="AJ260">
        <v>0</v>
      </c>
      <c r="AK260">
        <v>1</v>
      </c>
      <c r="AL260" t="s">
        <v>5086</v>
      </c>
      <c r="AM260" t="s">
        <v>5087</v>
      </c>
      <c r="AN260" t="s">
        <v>5088</v>
      </c>
      <c r="AO260" t="s">
        <v>5089</v>
      </c>
      <c r="AP260" t="s">
        <v>74</v>
      </c>
      <c r="AQ260" t="s">
        <v>74</v>
      </c>
      <c r="AR260" t="s">
        <v>5076</v>
      </c>
      <c r="AS260" t="s">
        <v>5090</v>
      </c>
      <c r="AT260" t="s">
        <v>5091</v>
      </c>
      <c r="AU260">
        <v>2013</v>
      </c>
      <c r="AV260">
        <v>127</v>
      </c>
      <c r="AW260">
        <v>2</v>
      </c>
      <c r="AX260" t="s">
        <v>74</v>
      </c>
      <c r="AY260" t="s">
        <v>74</v>
      </c>
      <c r="AZ260" t="s">
        <v>74</v>
      </c>
      <c r="BA260" t="s">
        <v>74</v>
      </c>
      <c r="BB260">
        <v>43</v>
      </c>
      <c r="BC260">
        <v>56</v>
      </c>
      <c r="BD260" t="s">
        <v>74</v>
      </c>
      <c r="BE260" t="s">
        <v>74</v>
      </c>
      <c r="BF260" t="s">
        <v>74</v>
      </c>
      <c r="BG260" t="s">
        <v>74</v>
      </c>
      <c r="BH260" t="s">
        <v>74</v>
      </c>
      <c r="BI260">
        <v>14</v>
      </c>
      <c r="BJ260" t="s">
        <v>5092</v>
      </c>
      <c r="BK260" t="s">
        <v>102</v>
      </c>
      <c r="BL260" t="s">
        <v>5092</v>
      </c>
      <c r="BM260" t="s">
        <v>5093</v>
      </c>
      <c r="BN260" t="s">
        <v>74</v>
      </c>
      <c r="BO260" t="s">
        <v>74</v>
      </c>
      <c r="BP260" t="s">
        <v>74</v>
      </c>
      <c r="BQ260" t="s">
        <v>74</v>
      </c>
      <c r="BR260" t="s">
        <v>105</v>
      </c>
      <c r="BS260" t="s">
        <v>5094</v>
      </c>
      <c r="BT260" t="str">
        <f>HYPERLINK("https%3A%2F%2Fwww.webofscience.com%2Fwos%2Fwoscc%2Ffull-record%2FWOS:000320893000001","View Full Record in Web of Science")</f>
        <v>View Full Record in Web of Science</v>
      </c>
    </row>
    <row r="261" spans="1:72" x14ac:dyDescent="0.15">
      <c r="A261" t="s">
        <v>72</v>
      </c>
      <c r="B261" t="s">
        <v>5095</v>
      </c>
      <c r="C261" t="s">
        <v>74</v>
      </c>
      <c r="D261" t="s">
        <v>74</v>
      </c>
      <c r="E261" t="s">
        <v>74</v>
      </c>
      <c r="F261" t="s">
        <v>5096</v>
      </c>
      <c r="G261" t="s">
        <v>74</v>
      </c>
      <c r="H261" t="s">
        <v>74</v>
      </c>
      <c r="I261" t="s">
        <v>5097</v>
      </c>
      <c r="J261" t="s">
        <v>2343</v>
      </c>
      <c r="K261" t="s">
        <v>74</v>
      </c>
      <c r="L261" t="s">
        <v>74</v>
      </c>
      <c r="M261" t="s">
        <v>78</v>
      </c>
      <c r="N261" t="s">
        <v>79</v>
      </c>
      <c r="O261" t="s">
        <v>74</v>
      </c>
      <c r="P261" t="s">
        <v>74</v>
      </c>
      <c r="Q261" t="s">
        <v>74</v>
      </c>
      <c r="R261" t="s">
        <v>74</v>
      </c>
      <c r="S261" t="s">
        <v>74</v>
      </c>
      <c r="T261" t="s">
        <v>74</v>
      </c>
      <c r="U261" t="s">
        <v>5098</v>
      </c>
      <c r="V261" t="s">
        <v>5099</v>
      </c>
      <c r="W261" t="s">
        <v>5100</v>
      </c>
      <c r="X261" t="s">
        <v>5101</v>
      </c>
      <c r="Y261" t="s">
        <v>5102</v>
      </c>
      <c r="Z261" t="s">
        <v>5103</v>
      </c>
      <c r="AA261" t="s">
        <v>5104</v>
      </c>
      <c r="AB261" t="s">
        <v>5105</v>
      </c>
      <c r="AC261" t="s">
        <v>5106</v>
      </c>
      <c r="AD261" t="s">
        <v>5107</v>
      </c>
      <c r="AE261" t="s">
        <v>5108</v>
      </c>
      <c r="AF261" t="s">
        <v>74</v>
      </c>
      <c r="AG261">
        <v>49</v>
      </c>
      <c r="AH261">
        <v>23</v>
      </c>
      <c r="AI261">
        <v>25</v>
      </c>
      <c r="AJ261">
        <v>3</v>
      </c>
      <c r="AK261">
        <v>44</v>
      </c>
      <c r="AL261" t="s">
        <v>2355</v>
      </c>
      <c r="AM261" t="s">
        <v>2356</v>
      </c>
      <c r="AN261" t="s">
        <v>2357</v>
      </c>
      <c r="AO261" t="s">
        <v>2358</v>
      </c>
      <c r="AP261" t="s">
        <v>74</v>
      </c>
      <c r="AQ261" t="s">
        <v>74</v>
      </c>
      <c r="AR261" t="s">
        <v>2343</v>
      </c>
      <c r="AS261" t="s">
        <v>2359</v>
      </c>
      <c r="AT261" t="s">
        <v>5109</v>
      </c>
      <c r="AU261">
        <v>2013</v>
      </c>
      <c r="AV261">
        <v>8</v>
      </c>
      <c r="AW261">
        <v>6</v>
      </c>
      <c r="AX261" t="s">
        <v>74</v>
      </c>
      <c r="AY261" t="s">
        <v>74</v>
      </c>
      <c r="AZ261" t="s">
        <v>74</v>
      </c>
      <c r="BA261" t="s">
        <v>74</v>
      </c>
      <c r="BB261" t="s">
        <v>74</v>
      </c>
      <c r="BC261" t="s">
        <v>74</v>
      </c>
      <c r="BD261" t="s">
        <v>5110</v>
      </c>
      <c r="BE261" t="s">
        <v>5111</v>
      </c>
      <c r="BF261" t="str">
        <f>HYPERLINK("http://dx.doi.org/10.1371/journal.pone.0066109","http://dx.doi.org/10.1371/journal.pone.0066109")</f>
        <v>http://dx.doi.org/10.1371/journal.pone.0066109</v>
      </c>
      <c r="BG261" t="s">
        <v>74</v>
      </c>
      <c r="BH261" t="s">
        <v>74</v>
      </c>
      <c r="BI261">
        <v>10</v>
      </c>
      <c r="BJ261" t="s">
        <v>1880</v>
      </c>
      <c r="BK261" t="s">
        <v>102</v>
      </c>
      <c r="BL261" t="s">
        <v>1881</v>
      </c>
      <c r="BM261" t="s">
        <v>5112</v>
      </c>
      <c r="BN261">
        <v>23840411</v>
      </c>
      <c r="BO261" t="s">
        <v>2248</v>
      </c>
      <c r="BP261" t="s">
        <v>74</v>
      </c>
      <c r="BQ261" t="s">
        <v>74</v>
      </c>
      <c r="BR261" t="s">
        <v>105</v>
      </c>
      <c r="BS261" t="s">
        <v>5113</v>
      </c>
      <c r="BT261" t="str">
        <f>HYPERLINK("https%3A%2F%2Fwww.webofscience.com%2Fwos%2Fwoscc%2Ffull-record%2FWOS:000322342800033","View Full Record in Web of Science")</f>
        <v>View Full Record in Web of Science</v>
      </c>
    </row>
    <row r="262" spans="1:72" x14ac:dyDescent="0.15">
      <c r="A262" t="s">
        <v>72</v>
      </c>
      <c r="B262" t="s">
        <v>5114</v>
      </c>
      <c r="C262" t="s">
        <v>74</v>
      </c>
      <c r="D262" t="s">
        <v>74</v>
      </c>
      <c r="E262" t="s">
        <v>74</v>
      </c>
      <c r="F262" t="s">
        <v>5115</v>
      </c>
      <c r="G262" t="s">
        <v>74</v>
      </c>
      <c r="H262" t="s">
        <v>74</v>
      </c>
      <c r="I262" t="s">
        <v>5116</v>
      </c>
      <c r="J262" t="s">
        <v>1887</v>
      </c>
      <c r="K262" t="s">
        <v>74</v>
      </c>
      <c r="L262" t="s">
        <v>74</v>
      </c>
      <c r="M262" t="s">
        <v>78</v>
      </c>
      <c r="N262" t="s">
        <v>79</v>
      </c>
      <c r="O262" t="s">
        <v>74</v>
      </c>
      <c r="P262" t="s">
        <v>74</v>
      </c>
      <c r="Q262" t="s">
        <v>74</v>
      </c>
      <c r="R262" t="s">
        <v>74</v>
      </c>
      <c r="S262" t="s">
        <v>74</v>
      </c>
      <c r="T262" t="s">
        <v>74</v>
      </c>
      <c r="U262" t="s">
        <v>5117</v>
      </c>
      <c r="V262" t="s">
        <v>5118</v>
      </c>
      <c r="W262" t="s">
        <v>5119</v>
      </c>
      <c r="X262" t="s">
        <v>5120</v>
      </c>
      <c r="Y262" t="s">
        <v>5121</v>
      </c>
      <c r="Z262" t="s">
        <v>5122</v>
      </c>
      <c r="AA262" t="s">
        <v>5123</v>
      </c>
      <c r="AB262" t="s">
        <v>5124</v>
      </c>
      <c r="AC262" t="s">
        <v>5125</v>
      </c>
      <c r="AD262" t="s">
        <v>5126</v>
      </c>
      <c r="AE262" t="s">
        <v>5127</v>
      </c>
      <c r="AF262" t="s">
        <v>74</v>
      </c>
      <c r="AG262">
        <v>43</v>
      </c>
      <c r="AH262">
        <v>65</v>
      </c>
      <c r="AI262">
        <v>66</v>
      </c>
      <c r="AJ262">
        <v>0</v>
      </c>
      <c r="AK262">
        <v>35</v>
      </c>
      <c r="AL262" t="s">
        <v>1850</v>
      </c>
      <c r="AM262" t="s">
        <v>1851</v>
      </c>
      <c r="AN262" t="s">
        <v>1852</v>
      </c>
      <c r="AO262" t="s">
        <v>1899</v>
      </c>
      <c r="AP262" t="s">
        <v>74</v>
      </c>
      <c r="AQ262" t="s">
        <v>74</v>
      </c>
      <c r="AR262" t="s">
        <v>1900</v>
      </c>
      <c r="AS262" t="s">
        <v>1901</v>
      </c>
      <c r="AT262" t="s">
        <v>5109</v>
      </c>
      <c r="AU262">
        <v>2013</v>
      </c>
      <c r="AV262">
        <v>3</v>
      </c>
      <c r="AW262" t="s">
        <v>74</v>
      </c>
      <c r="AX262" t="s">
        <v>74</v>
      </c>
      <c r="AY262" t="s">
        <v>74</v>
      </c>
      <c r="AZ262" t="s">
        <v>74</v>
      </c>
      <c r="BA262" t="s">
        <v>74</v>
      </c>
      <c r="BB262" t="s">
        <v>74</v>
      </c>
      <c r="BC262" t="s">
        <v>74</v>
      </c>
      <c r="BD262">
        <v>2039</v>
      </c>
      <c r="BE262" t="s">
        <v>5128</v>
      </c>
      <c r="BF262" t="str">
        <f>HYPERLINK("http://dx.doi.org/10.1038/srep02039","http://dx.doi.org/10.1038/srep02039")</f>
        <v>http://dx.doi.org/10.1038/srep02039</v>
      </c>
      <c r="BG262" t="s">
        <v>74</v>
      </c>
      <c r="BH262" t="s">
        <v>74</v>
      </c>
      <c r="BI262">
        <v>6</v>
      </c>
      <c r="BJ262" t="s">
        <v>1880</v>
      </c>
      <c r="BK262" t="s">
        <v>102</v>
      </c>
      <c r="BL262" t="s">
        <v>1881</v>
      </c>
      <c r="BM262" t="s">
        <v>5129</v>
      </c>
      <c r="BN262">
        <v>23784087</v>
      </c>
      <c r="BO262" t="s">
        <v>5130</v>
      </c>
      <c r="BP262" t="s">
        <v>74</v>
      </c>
      <c r="BQ262" t="s">
        <v>74</v>
      </c>
      <c r="BR262" t="s">
        <v>105</v>
      </c>
      <c r="BS262" t="s">
        <v>5131</v>
      </c>
      <c r="BT262" t="str">
        <f>HYPERLINK("https%3A%2F%2Fwww.webofscience.com%2Fwos%2Fwoscc%2Ffull-record%2FWOS:000320648200006","View Full Record in Web of Science")</f>
        <v>View Full Record in Web of Science</v>
      </c>
    </row>
    <row r="263" spans="1:72" x14ac:dyDescent="0.15">
      <c r="A263" t="s">
        <v>72</v>
      </c>
      <c r="B263" t="s">
        <v>5132</v>
      </c>
      <c r="C263" t="s">
        <v>74</v>
      </c>
      <c r="D263" t="s">
        <v>74</v>
      </c>
      <c r="E263" t="s">
        <v>74</v>
      </c>
      <c r="F263" t="s">
        <v>5133</v>
      </c>
      <c r="G263" t="s">
        <v>74</v>
      </c>
      <c r="H263" t="s">
        <v>74</v>
      </c>
      <c r="I263" t="s">
        <v>5134</v>
      </c>
      <c r="J263" t="s">
        <v>5135</v>
      </c>
      <c r="K263" t="s">
        <v>74</v>
      </c>
      <c r="L263" t="s">
        <v>74</v>
      </c>
      <c r="M263" t="s">
        <v>78</v>
      </c>
      <c r="N263" t="s">
        <v>79</v>
      </c>
      <c r="O263" t="s">
        <v>74</v>
      </c>
      <c r="P263" t="s">
        <v>74</v>
      </c>
      <c r="Q263" t="s">
        <v>74</v>
      </c>
      <c r="R263" t="s">
        <v>74</v>
      </c>
      <c r="S263" t="s">
        <v>74</v>
      </c>
      <c r="T263" t="s">
        <v>5136</v>
      </c>
      <c r="U263" t="s">
        <v>74</v>
      </c>
      <c r="V263" t="s">
        <v>5137</v>
      </c>
      <c r="W263" t="s">
        <v>5138</v>
      </c>
      <c r="X263" t="s">
        <v>5139</v>
      </c>
      <c r="Y263" t="s">
        <v>5140</v>
      </c>
      <c r="Z263" t="s">
        <v>5141</v>
      </c>
      <c r="AA263" t="s">
        <v>5142</v>
      </c>
      <c r="AB263" t="s">
        <v>5143</v>
      </c>
      <c r="AC263" t="s">
        <v>74</v>
      </c>
      <c r="AD263" t="s">
        <v>74</v>
      </c>
      <c r="AE263" t="s">
        <v>74</v>
      </c>
      <c r="AF263" t="s">
        <v>74</v>
      </c>
      <c r="AG263">
        <v>20</v>
      </c>
      <c r="AH263">
        <v>17</v>
      </c>
      <c r="AI263">
        <v>17</v>
      </c>
      <c r="AJ263">
        <v>0</v>
      </c>
      <c r="AK263">
        <v>13</v>
      </c>
      <c r="AL263" t="s">
        <v>2741</v>
      </c>
      <c r="AM263" t="s">
        <v>643</v>
      </c>
      <c r="AN263" t="s">
        <v>2742</v>
      </c>
      <c r="AO263" t="s">
        <v>5144</v>
      </c>
      <c r="AP263" t="s">
        <v>5145</v>
      </c>
      <c r="AQ263" t="s">
        <v>74</v>
      </c>
      <c r="AR263" t="s">
        <v>5146</v>
      </c>
      <c r="AS263" t="s">
        <v>5147</v>
      </c>
      <c r="AT263" t="s">
        <v>5109</v>
      </c>
      <c r="AU263">
        <v>2013</v>
      </c>
      <c r="AV263">
        <v>67</v>
      </c>
      <c r="AW263">
        <v>2</v>
      </c>
      <c r="AX263" t="s">
        <v>74</v>
      </c>
      <c r="AY263" t="s">
        <v>74</v>
      </c>
      <c r="AZ263" t="s">
        <v>74</v>
      </c>
      <c r="BA263" t="s">
        <v>74</v>
      </c>
      <c r="BB263">
        <v>159</v>
      </c>
      <c r="BC263">
        <v>164</v>
      </c>
      <c r="BD263" t="s">
        <v>74</v>
      </c>
      <c r="BE263" t="s">
        <v>5148</v>
      </c>
      <c r="BF263" t="str">
        <f>HYPERLINK("http://dx.doi.org/10.1098/rsnr.2012.0066","http://dx.doi.org/10.1098/rsnr.2012.0066")</f>
        <v>http://dx.doi.org/10.1098/rsnr.2012.0066</v>
      </c>
      <c r="BG263" t="s">
        <v>74</v>
      </c>
      <c r="BH263" t="s">
        <v>74</v>
      </c>
      <c r="BI263">
        <v>6</v>
      </c>
      <c r="BJ263" t="s">
        <v>5149</v>
      </c>
      <c r="BK263" t="s">
        <v>5150</v>
      </c>
      <c r="BL263" t="s">
        <v>5151</v>
      </c>
      <c r="BM263" t="s">
        <v>5152</v>
      </c>
      <c r="BN263">
        <v>24687148</v>
      </c>
      <c r="BO263" t="s">
        <v>5030</v>
      </c>
      <c r="BP263" t="s">
        <v>74</v>
      </c>
      <c r="BQ263" t="s">
        <v>74</v>
      </c>
      <c r="BR263" t="s">
        <v>105</v>
      </c>
      <c r="BS263" t="s">
        <v>5153</v>
      </c>
      <c r="BT263" t="str">
        <f>HYPERLINK("https%3A%2F%2Fwww.webofscience.com%2Fwos%2Fwoscc%2Ffull-record%2FWOS:000318769800005","View Full Record in Web of Science")</f>
        <v>View Full Record in Web of Science</v>
      </c>
    </row>
    <row r="264" spans="1:72" x14ac:dyDescent="0.15">
      <c r="A264" t="s">
        <v>72</v>
      </c>
      <c r="B264" t="s">
        <v>5154</v>
      </c>
      <c r="C264" t="s">
        <v>74</v>
      </c>
      <c r="D264" t="s">
        <v>74</v>
      </c>
      <c r="E264" t="s">
        <v>74</v>
      </c>
      <c r="F264" t="s">
        <v>5155</v>
      </c>
      <c r="G264" t="s">
        <v>74</v>
      </c>
      <c r="H264" t="s">
        <v>74</v>
      </c>
      <c r="I264" t="s">
        <v>5156</v>
      </c>
      <c r="J264" t="s">
        <v>5157</v>
      </c>
      <c r="K264" t="s">
        <v>74</v>
      </c>
      <c r="L264" t="s">
        <v>74</v>
      </c>
      <c r="M264" t="s">
        <v>78</v>
      </c>
      <c r="N264" t="s">
        <v>79</v>
      </c>
      <c r="O264" t="s">
        <v>74</v>
      </c>
      <c r="P264" t="s">
        <v>74</v>
      </c>
      <c r="Q264" t="s">
        <v>74</v>
      </c>
      <c r="R264" t="s">
        <v>74</v>
      </c>
      <c r="S264" t="s">
        <v>74</v>
      </c>
      <c r="T264" t="s">
        <v>74</v>
      </c>
      <c r="U264" t="s">
        <v>5158</v>
      </c>
      <c r="V264" t="s">
        <v>5159</v>
      </c>
      <c r="W264" t="s">
        <v>5160</v>
      </c>
      <c r="X264" t="s">
        <v>5161</v>
      </c>
      <c r="Y264" t="s">
        <v>5162</v>
      </c>
      <c r="Z264" t="s">
        <v>5163</v>
      </c>
      <c r="AA264" t="s">
        <v>74</v>
      </c>
      <c r="AB264" t="s">
        <v>74</v>
      </c>
      <c r="AC264" t="s">
        <v>5164</v>
      </c>
      <c r="AD264" t="s">
        <v>5165</v>
      </c>
      <c r="AE264" t="s">
        <v>5166</v>
      </c>
      <c r="AF264" t="s">
        <v>74</v>
      </c>
      <c r="AG264">
        <v>80</v>
      </c>
      <c r="AH264">
        <v>31</v>
      </c>
      <c r="AI264">
        <v>35</v>
      </c>
      <c r="AJ264">
        <v>0</v>
      </c>
      <c r="AK264">
        <v>7</v>
      </c>
      <c r="AL264" t="s">
        <v>506</v>
      </c>
      <c r="AM264" t="s">
        <v>442</v>
      </c>
      <c r="AN264" t="s">
        <v>507</v>
      </c>
      <c r="AO264" t="s">
        <v>5167</v>
      </c>
      <c r="AP264" t="s">
        <v>5168</v>
      </c>
      <c r="AQ264" t="s">
        <v>74</v>
      </c>
      <c r="AR264" t="s">
        <v>5169</v>
      </c>
      <c r="AS264" t="s">
        <v>5170</v>
      </c>
      <c r="AT264" t="s">
        <v>5171</v>
      </c>
      <c r="AU264">
        <v>2013</v>
      </c>
      <c r="AV264">
        <v>299</v>
      </c>
      <c r="AW264" t="s">
        <v>74</v>
      </c>
      <c r="AX264" t="s">
        <v>74</v>
      </c>
      <c r="AY264" t="s">
        <v>74</v>
      </c>
      <c r="AZ264" t="s">
        <v>74</v>
      </c>
      <c r="BA264" t="s">
        <v>74</v>
      </c>
      <c r="BB264">
        <v>13</v>
      </c>
      <c r="BC264">
        <v>22</v>
      </c>
      <c r="BD264" t="s">
        <v>74</v>
      </c>
      <c r="BE264" t="s">
        <v>5172</v>
      </c>
      <c r="BF264" t="str">
        <f>HYPERLINK("http://dx.doi.org/10.1016/j.quaint.2012.08.2056","http://dx.doi.org/10.1016/j.quaint.2012.08.2056")</f>
        <v>http://dx.doi.org/10.1016/j.quaint.2012.08.2056</v>
      </c>
      <c r="BG264" t="s">
        <v>74</v>
      </c>
      <c r="BH264" t="s">
        <v>74</v>
      </c>
      <c r="BI264">
        <v>10</v>
      </c>
      <c r="BJ264" t="s">
        <v>650</v>
      </c>
      <c r="BK264" t="s">
        <v>102</v>
      </c>
      <c r="BL264" t="s">
        <v>651</v>
      </c>
      <c r="BM264" t="s">
        <v>5173</v>
      </c>
      <c r="BN264" t="s">
        <v>74</v>
      </c>
      <c r="BO264" t="s">
        <v>426</v>
      </c>
      <c r="BP264" t="s">
        <v>74</v>
      </c>
      <c r="BQ264" t="s">
        <v>74</v>
      </c>
      <c r="BR264" t="s">
        <v>105</v>
      </c>
      <c r="BS264" t="s">
        <v>5174</v>
      </c>
      <c r="BT264" t="str">
        <f>HYPERLINK("https%3A%2F%2Fwww.webofscience.com%2Fwos%2Fwoscc%2Ffull-record%2FWOS:000321091900003","View Full Record in Web of Science")</f>
        <v>View Full Record in Web of Science</v>
      </c>
    </row>
    <row r="265" spans="1:72" x14ac:dyDescent="0.15">
      <c r="A265" t="s">
        <v>72</v>
      </c>
      <c r="B265" t="s">
        <v>5175</v>
      </c>
      <c r="C265" t="s">
        <v>74</v>
      </c>
      <c r="D265" t="s">
        <v>74</v>
      </c>
      <c r="E265" t="s">
        <v>74</v>
      </c>
      <c r="F265" t="s">
        <v>5176</v>
      </c>
      <c r="G265" t="s">
        <v>74</v>
      </c>
      <c r="H265" t="s">
        <v>74</v>
      </c>
      <c r="I265" t="s">
        <v>5177</v>
      </c>
      <c r="J265" t="s">
        <v>2343</v>
      </c>
      <c r="K265" t="s">
        <v>74</v>
      </c>
      <c r="L265" t="s">
        <v>74</v>
      </c>
      <c r="M265" t="s">
        <v>78</v>
      </c>
      <c r="N265" t="s">
        <v>79</v>
      </c>
      <c r="O265" t="s">
        <v>74</v>
      </c>
      <c r="P265" t="s">
        <v>74</v>
      </c>
      <c r="Q265" t="s">
        <v>74</v>
      </c>
      <c r="R265" t="s">
        <v>74</v>
      </c>
      <c r="S265" t="s">
        <v>74</v>
      </c>
      <c r="T265" t="s">
        <v>74</v>
      </c>
      <c r="U265" t="s">
        <v>5178</v>
      </c>
      <c r="V265" t="s">
        <v>5179</v>
      </c>
      <c r="W265" t="s">
        <v>5180</v>
      </c>
      <c r="X265" t="s">
        <v>5181</v>
      </c>
      <c r="Y265" t="s">
        <v>5182</v>
      </c>
      <c r="Z265" t="s">
        <v>5183</v>
      </c>
      <c r="AA265" t="s">
        <v>5184</v>
      </c>
      <c r="AB265" t="s">
        <v>5185</v>
      </c>
      <c r="AC265" t="s">
        <v>5186</v>
      </c>
      <c r="AD265" t="s">
        <v>5187</v>
      </c>
      <c r="AE265" t="s">
        <v>5188</v>
      </c>
      <c r="AF265" t="s">
        <v>74</v>
      </c>
      <c r="AG265">
        <v>81</v>
      </c>
      <c r="AH265">
        <v>77</v>
      </c>
      <c r="AI265">
        <v>89</v>
      </c>
      <c r="AJ265">
        <v>2</v>
      </c>
      <c r="AK265">
        <v>85</v>
      </c>
      <c r="AL265" t="s">
        <v>2355</v>
      </c>
      <c r="AM265" t="s">
        <v>2356</v>
      </c>
      <c r="AN265" t="s">
        <v>2357</v>
      </c>
      <c r="AO265" t="s">
        <v>2358</v>
      </c>
      <c r="AP265" t="s">
        <v>74</v>
      </c>
      <c r="AQ265" t="s">
        <v>74</v>
      </c>
      <c r="AR265" t="s">
        <v>2343</v>
      </c>
      <c r="AS265" t="s">
        <v>2359</v>
      </c>
      <c r="AT265" t="s">
        <v>5171</v>
      </c>
      <c r="AU265">
        <v>2013</v>
      </c>
      <c r="AV265">
        <v>8</v>
      </c>
      <c r="AW265">
        <v>6</v>
      </c>
      <c r="AX265" t="s">
        <v>74</v>
      </c>
      <c r="AY265" t="s">
        <v>74</v>
      </c>
      <c r="AZ265" t="s">
        <v>74</v>
      </c>
      <c r="BA265" t="s">
        <v>74</v>
      </c>
      <c r="BB265" t="s">
        <v>74</v>
      </c>
      <c r="BC265" t="s">
        <v>74</v>
      </c>
      <c r="BD265" t="s">
        <v>5189</v>
      </c>
      <c r="BE265" t="s">
        <v>5190</v>
      </c>
      <c r="BF265" t="str">
        <f>HYPERLINK("http://dx.doi.org/10.1371/journal.pone.0066207","http://dx.doi.org/10.1371/journal.pone.0066207")</f>
        <v>http://dx.doi.org/10.1371/journal.pone.0066207</v>
      </c>
      <c r="BG265" t="s">
        <v>74</v>
      </c>
      <c r="BH265" t="s">
        <v>74</v>
      </c>
      <c r="BI265">
        <v>11</v>
      </c>
      <c r="BJ265" t="s">
        <v>1880</v>
      </c>
      <c r="BK265" t="s">
        <v>102</v>
      </c>
      <c r="BL265" t="s">
        <v>1881</v>
      </c>
      <c r="BM265" t="s">
        <v>5191</v>
      </c>
      <c r="BN265">
        <v>23840425</v>
      </c>
      <c r="BO265" t="s">
        <v>5192</v>
      </c>
      <c r="BP265" t="s">
        <v>74</v>
      </c>
      <c r="BQ265" t="s">
        <v>74</v>
      </c>
      <c r="BR265" t="s">
        <v>105</v>
      </c>
      <c r="BS265" t="s">
        <v>5193</v>
      </c>
      <c r="BT265" t="str">
        <f>HYPERLINK("https%3A%2F%2Fwww.webofscience.com%2Fwos%2Fwoscc%2Ffull-record%2FWOS:000322361200061","View Full Record in Web of Science")</f>
        <v>View Full Record in Web of Science</v>
      </c>
    </row>
    <row r="266" spans="1:72" x14ac:dyDescent="0.15">
      <c r="A266" t="s">
        <v>72</v>
      </c>
      <c r="B266" t="s">
        <v>5194</v>
      </c>
      <c r="C266" t="s">
        <v>74</v>
      </c>
      <c r="D266" t="s">
        <v>74</v>
      </c>
      <c r="E266" t="s">
        <v>74</v>
      </c>
      <c r="F266" t="s">
        <v>5195</v>
      </c>
      <c r="G266" t="s">
        <v>74</v>
      </c>
      <c r="H266" t="s">
        <v>74</v>
      </c>
      <c r="I266" t="s">
        <v>5196</v>
      </c>
      <c r="J266" t="s">
        <v>5197</v>
      </c>
      <c r="K266" t="s">
        <v>74</v>
      </c>
      <c r="L266" t="s">
        <v>74</v>
      </c>
      <c r="M266" t="s">
        <v>78</v>
      </c>
      <c r="N266" t="s">
        <v>79</v>
      </c>
      <c r="O266" t="s">
        <v>74</v>
      </c>
      <c r="P266" t="s">
        <v>74</v>
      </c>
      <c r="Q266" t="s">
        <v>74</v>
      </c>
      <c r="R266" t="s">
        <v>74</v>
      </c>
      <c r="S266" t="s">
        <v>74</v>
      </c>
      <c r="T266" t="s">
        <v>74</v>
      </c>
      <c r="U266" t="s">
        <v>5198</v>
      </c>
      <c r="V266" t="s">
        <v>5199</v>
      </c>
      <c r="W266" t="s">
        <v>5200</v>
      </c>
      <c r="X266" t="s">
        <v>5201</v>
      </c>
      <c r="Y266" t="s">
        <v>5202</v>
      </c>
      <c r="Z266" t="s">
        <v>5203</v>
      </c>
      <c r="AA266" t="s">
        <v>5204</v>
      </c>
      <c r="AB266" t="s">
        <v>5205</v>
      </c>
      <c r="AC266" t="s">
        <v>5206</v>
      </c>
      <c r="AD266" t="s">
        <v>5207</v>
      </c>
      <c r="AE266" t="s">
        <v>5208</v>
      </c>
      <c r="AF266" t="s">
        <v>74</v>
      </c>
      <c r="AG266">
        <v>49</v>
      </c>
      <c r="AH266">
        <v>54</v>
      </c>
      <c r="AI266">
        <v>58</v>
      </c>
      <c r="AJ266">
        <v>1</v>
      </c>
      <c r="AK266">
        <v>81</v>
      </c>
      <c r="AL266" t="s">
        <v>5020</v>
      </c>
      <c r="AM266" t="s">
        <v>93</v>
      </c>
      <c r="AN266" t="s">
        <v>5021</v>
      </c>
      <c r="AO266" t="s">
        <v>5209</v>
      </c>
      <c r="AP266" t="s">
        <v>5210</v>
      </c>
      <c r="AQ266" t="s">
        <v>74</v>
      </c>
      <c r="AR266" t="s">
        <v>5211</v>
      </c>
      <c r="AS266" t="s">
        <v>5212</v>
      </c>
      <c r="AT266" t="s">
        <v>5213</v>
      </c>
      <c r="AU266">
        <v>2013</v>
      </c>
      <c r="AV266">
        <v>47</v>
      </c>
      <c r="AW266">
        <v>12</v>
      </c>
      <c r="AX266" t="s">
        <v>74</v>
      </c>
      <c r="AY266" t="s">
        <v>74</v>
      </c>
      <c r="AZ266" t="s">
        <v>74</v>
      </c>
      <c r="BA266" t="s">
        <v>74</v>
      </c>
      <c r="BB266">
        <v>6129</v>
      </c>
      <c r="BC266">
        <v>6136</v>
      </c>
      <c r="BD266" t="s">
        <v>74</v>
      </c>
      <c r="BE266" t="s">
        <v>5214</v>
      </c>
      <c r="BF266" t="str">
        <f>HYPERLINK("http://dx.doi.org/10.1021/es305141b","http://dx.doi.org/10.1021/es305141b")</f>
        <v>http://dx.doi.org/10.1021/es305141b</v>
      </c>
      <c r="BG266" t="s">
        <v>74</v>
      </c>
      <c r="BH266" t="s">
        <v>74</v>
      </c>
      <c r="BI266">
        <v>8</v>
      </c>
      <c r="BJ266" t="s">
        <v>5215</v>
      </c>
      <c r="BK266" t="s">
        <v>102</v>
      </c>
      <c r="BL266" t="s">
        <v>5216</v>
      </c>
      <c r="BM266" t="s">
        <v>5217</v>
      </c>
      <c r="BN266">
        <v>23682976</v>
      </c>
      <c r="BO266" t="s">
        <v>74</v>
      </c>
      <c r="BP266" t="s">
        <v>74</v>
      </c>
      <c r="BQ266" t="s">
        <v>74</v>
      </c>
      <c r="BR266" t="s">
        <v>105</v>
      </c>
      <c r="BS266" t="s">
        <v>5218</v>
      </c>
      <c r="BT266" t="str">
        <f>HYPERLINK("https%3A%2F%2Fwww.webofscience.com%2Fwos%2Fwoscc%2Ffull-record%2FWOS:000320749000009","View Full Record in Web of Science")</f>
        <v>View Full Record in Web of Science</v>
      </c>
    </row>
    <row r="267" spans="1:72" x14ac:dyDescent="0.15">
      <c r="A267" t="s">
        <v>72</v>
      </c>
      <c r="B267" t="s">
        <v>5219</v>
      </c>
      <c r="C267" t="s">
        <v>74</v>
      </c>
      <c r="D267" t="s">
        <v>74</v>
      </c>
      <c r="E267" t="s">
        <v>74</v>
      </c>
      <c r="F267" t="s">
        <v>5220</v>
      </c>
      <c r="G267" t="s">
        <v>74</v>
      </c>
      <c r="H267" t="s">
        <v>74</v>
      </c>
      <c r="I267" t="s">
        <v>5221</v>
      </c>
      <c r="J267" t="s">
        <v>2343</v>
      </c>
      <c r="K267" t="s">
        <v>74</v>
      </c>
      <c r="L267" t="s">
        <v>74</v>
      </c>
      <c r="M267" t="s">
        <v>78</v>
      </c>
      <c r="N267" t="s">
        <v>79</v>
      </c>
      <c r="O267" t="s">
        <v>74</v>
      </c>
      <c r="P267" t="s">
        <v>74</v>
      </c>
      <c r="Q267" t="s">
        <v>74</v>
      </c>
      <c r="R267" t="s">
        <v>74</v>
      </c>
      <c r="S267" t="s">
        <v>74</v>
      </c>
      <c r="T267" t="s">
        <v>74</v>
      </c>
      <c r="U267" t="s">
        <v>5222</v>
      </c>
      <c r="V267" t="s">
        <v>5223</v>
      </c>
      <c r="W267" t="s">
        <v>5224</v>
      </c>
      <c r="X267" t="s">
        <v>5225</v>
      </c>
      <c r="Y267" t="s">
        <v>5226</v>
      </c>
      <c r="Z267" t="s">
        <v>5227</v>
      </c>
      <c r="AA267" t="s">
        <v>5228</v>
      </c>
      <c r="AB267" t="s">
        <v>5229</v>
      </c>
      <c r="AC267" t="s">
        <v>5230</v>
      </c>
      <c r="AD267" t="s">
        <v>5231</v>
      </c>
      <c r="AE267" t="s">
        <v>5232</v>
      </c>
      <c r="AF267" t="s">
        <v>74</v>
      </c>
      <c r="AG267">
        <v>47</v>
      </c>
      <c r="AH267">
        <v>44</v>
      </c>
      <c r="AI267">
        <v>45</v>
      </c>
      <c r="AJ267">
        <v>1</v>
      </c>
      <c r="AK267">
        <v>65</v>
      </c>
      <c r="AL267" t="s">
        <v>2355</v>
      </c>
      <c r="AM267" t="s">
        <v>2356</v>
      </c>
      <c r="AN267" t="s">
        <v>2357</v>
      </c>
      <c r="AO267" t="s">
        <v>2358</v>
      </c>
      <c r="AP267" t="s">
        <v>74</v>
      </c>
      <c r="AQ267" t="s">
        <v>74</v>
      </c>
      <c r="AR267" t="s">
        <v>2343</v>
      </c>
      <c r="AS267" t="s">
        <v>2359</v>
      </c>
      <c r="AT267" t="s">
        <v>5213</v>
      </c>
      <c r="AU267">
        <v>2013</v>
      </c>
      <c r="AV267">
        <v>8</v>
      </c>
      <c r="AW267">
        <v>6</v>
      </c>
      <c r="AX267" t="s">
        <v>74</v>
      </c>
      <c r="AY267" t="s">
        <v>74</v>
      </c>
      <c r="AZ267" t="s">
        <v>74</v>
      </c>
      <c r="BA267" t="s">
        <v>74</v>
      </c>
      <c r="BB267" t="s">
        <v>74</v>
      </c>
      <c r="BC267" t="s">
        <v>74</v>
      </c>
      <c r="BD267" t="s">
        <v>5233</v>
      </c>
      <c r="BE267" t="s">
        <v>5234</v>
      </c>
      <c r="BF267" t="str">
        <f>HYPERLINK("http://dx.doi.org/10.1371/journal.pone.0066565","http://dx.doi.org/10.1371/journal.pone.0066565")</f>
        <v>http://dx.doi.org/10.1371/journal.pone.0066565</v>
      </c>
      <c r="BG267" t="s">
        <v>74</v>
      </c>
      <c r="BH267" t="s">
        <v>74</v>
      </c>
      <c r="BI267">
        <v>10</v>
      </c>
      <c r="BJ267" t="s">
        <v>1880</v>
      </c>
      <c r="BK267" t="s">
        <v>102</v>
      </c>
      <c r="BL267" t="s">
        <v>1881</v>
      </c>
      <c r="BM267" t="s">
        <v>5235</v>
      </c>
      <c r="BN267">
        <v>23825163</v>
      </c>
      <c r="BO267" t="s">
        <v>2248</v>
      </c>
      <c r="BP267" t="s">
        <v>74</v>
      </c>
      <c r="BQ267" t="s">
        <v>74</v>
      </c>
      <c r="BR267" t="s">
        <v>105</v>
      </c>
      <c r="BS267" t="s">
        <v>5236</v>
      </c>
      <c r="BT267" t="str">
        <f>HYPERLINK("https%3A%2F%2Fwww.webofscience.com%2Fwos%2Fwoscc%2Ffull-record%2FWOS:000320576400131","View Full Record in Web of Science")</f>
        <v>View Full Record in Web of Science</v>
      </c>
    </row>
    <row r="268" spans="1:72" x14ac:dyDescent="0.15">
      <c r="A268" t="s">
        <v>72</v>
      </c>
      <c r="B268" t="s">
        <v>5237</v>
      </c>
      <c r="C268" t="s">
        <v>74</v>
      </c>
      <c r="D268" t="s">
        <v>74</v>
      </c>
      <c r="E268" t="s">
        <v>74</v>
      </c>
      <c r="F268" t="s">
        <v>5238</v>
      </c>
      <c r="G268" t="s">
        <v>74</v>
      </c>
      <c r="H268" t="s">
        <v>74</v>
      </c>
      <c r="I268" t="s">
        <v>5239</v>
      </c>
      <c r="J268" t="s">
        <v>2343</v>
      </c>
      <c r="K268" t="s">
        <v>74</v>
      </c>
      <c r="L268" t="s">
        <v>74</v>
      </c>
      <c r="M268" t="s">
        <v>78</v>
      </c>
      <c r="N268" t="s">
        <v>79</v>
      </c>
      <c r="O268" t="s">
        <v>74</v>
      </c>
      <c r="P268" t="s">
        <v>74</v>
      </c>
      <c r="Q268" t="s">
        <v>74</v>
      </c>
      <c r="R268" t="s">
        <v>74</v>
      </c>
      <c r="S268" t="s">
        <v>74</v>
      </c>
      <c r="T268" t="s">
        <v>74</v>
      </c>
      <c r="U268" t="s">
        <v>5240</v>
      </c>
      <c r="V268" t="s">
        <v>5241</v>
      </c>
      <c r="W268" t="s">
        <v>5242</v>
      </c>
      <c r="X268" t="s">
        <v>5243</v>
      </c>
      <c r="Y268" t="s">
        <v>5244</v>
      </c>
      <c r="Z268" t="s">
        <v>5245</v>
      </c>
      <c r="AA268" t="s">
        <v>74</v>
      </c>
      <c r="AB268" t="s">
        <v>5246</v>
      </c>
      <c r="AC268" t="s">
        <v>5247</v>
      </c>
      <c r="AD268" t="s">
        <v>5248</v>
      </c>
      <c r="AE268" t="s">
        <v>5249</v>
      </c>
      <c r="AF268" t="s">
        <v>74</v>
      </c>
      <c r="AG268">
        <v>36</v>
      </c>
      <c r="AH268">
        <v>22</v>
      </c>
      <c r="AI268">
        <v>25</v>
      </c>
      <c r="AJ268">
        <v>0</v>
      </c>
      <c r="AK268">
        <v>43</v>
      </c>
      <c r="AL268" t="s">
        <v>2355</v>
      </c>
      <c r="AM268" t="s">
        <v>2356</v>
      </c>
      <c r="AN268" t="s">
        <v>2357</v>
      </c>
      <c r="AO268" t="s">
        <v>2358</v>
      </c>
      <c r="AP268" t="s">
        <v>74</v>
      </c>
      <c r="AQ268" t="s">
        <v>74</v>
      </c>
      <c r="AR268" t="s">
        <v>2343</v>
      </c>
      <c r="AS268" t="s">
        <v>2359</v>
      </c>
      <c r="AT268" t="s">
        <v>5213</v>
      </c>
      <c r="AU268">
        <v>2013</v>
      </c>
      <c r="AV268">
        <v>8</v>
      </c>
      <c r="AW268">
        <v>6</v>
      </c>
      <c r="AX268" t="s">
        <v>74</v>
      </c>
      <c r="AY268" t="s">
        <v>74</v>
      </c>
      <c r="AZ268" t="s">
        <v>74</v>
      </c>
      <c r="BA268" t="s">
        <v>74</v>
      </c>
      <c r="BB268" t="s">
        <v>74</v>
      </c>
      <c r="BC268" t="s">
        <v>74</v>
      </c>
      <c r="BD268" t="s">
        <v>5250</v>
      </c>
      <c r="BE268" t="s">
        <v>5251</v>
      </c>
      <c r="BF268" t="str">
        <f>HYPERLINK("http://dx.doi.org/10.1371/journal.pone.0067231","http://dx.doi.org/10.1371/journal.pone.0067231")</f>
        <v>http://dx.doi.org/10.1371/journal.pone.0067231</v>
      </c>
      <c r="BG268" t="s">
        <v>74</v>
      </c>
      <c r="BH268" t="s">
        <v>74</v>
      </c>
      <c r="BI268">
        <v>13</v>
      </c>
      <c r="BJ268" t="s">
        <v>1880</v>
      </c>
      <c r="BK268" t="s">
        <v>102</v>
      </c>
      <c r="BL268" t="s">
        <v>1881</v>
      </c>
      <c r="BM268" t="s">
        <v>5235</v>
      </c>
      <c r="BN268">
        <v>23825645</v>
      </c>
      <c r="BO268" t="s">
        <v>2248</v>
      </c>
      <c r="BP268" t="s">
        <v>74</v>
      </c>
      <c r="BQ268" t="s">
        <v>74</v>
      </c>
      <c r="BR268" t="s">
        <v>105</v>
      </c>
      <c r="BS268" t="s">
        <v>5252</v>
      </c>
      <c r="BT268" t="str">
        <f>HYPERLINK("https%3A%2F%2Fwww.webofscience.com%2Fwos%2Fwoscc%2Ffull-record%2FWOS:000320576400180","View Full Record in Web of Science")</f>
        <v>View Full Record in Web of Science</v>
      </c>
    </row>
    <row r="269" spans="1:72" x14ac:dyDescent="0.15">
      <c r="A269" t="s">
        <v>72</v>
      </c>
      <c r="B269" t="s">
        <v>5253</v>
      </c>
      <c r="C269" t="s">
        <v>74</v>
      </c>
      <c r="D269" t="s">
        <v>74</v>
      </c>
      <c r="E269" t="s">
        <v>74</v>
      </c>
      <c r="F269" t="s">
        <v>5254</v>
      </c>
      <c r="G269" t="s">
        <v>74</v>
      </c>
      <c r="H269" t="s">
        <v>74</v>
      </c>
      <c r="I269" t="s">
        <v>5255</v>
      </c>
      <c r="J269" t="s">
        <v>2016</v>
      </c>
      <c r="K269" t="s">
        <v>74</v>
      </c>
      <c r="L269" t="s">
        <v>74</v>
      </c>
      <c r="M269" t="s">
        <v>78</v>
      </c>
      <c r="N269" t="s">
        <v>79</v>
      </c>
      <c r="O269" t="s">
        <v>74</v>
      </c>
      <c r="P269" t="s">
        <v>74</v>
      </c>
      <c r="Q269" t="s">
        <v>74</v>
      </c>
      <c r="R269" t="s">
        <v>74</v>
      </c>
      <c r="S269" t="s">
        <v>74</v>
      </c>
      <c r="T269" t="s">
        <v>5256</v>
      </c>
      <c r="U269" t="s">
        <v>5257</v>
      </c>
      <c r="V269" t="s">
        <v>5258</v>
      </c>
      <c r="W269" t="s">
        <v>5259</v>
      </c>
      <c r="X269" t="s">
        <v>5260</v>
      </c>
      <c r="Y269" t="s">
        <v>5261</v>
      </c>
      <c r="Z269" t="s">
        <v>5262</v>
      </c>
      <c r="AA269" t="s">
        <v>5263</v>
      </c>
      <c r="AB269" t="s">
        <v>74</v>
      </c>
      <c r="AC269" t="s">
        <v>5264</v>
      </c>
      <c r="AD269" t="s">
        <v>5265</v>
      </c>
      <c r="AE269" t="s">
        <v>74</v>
      </c>
      <c r="AF269" t="s">
        <v>74</v>
      </c>
      <c r="AG269">
        <v>38</v>
      </c>
      <c r="AH269">
        <v>74</v>
      </c>
      <c r="AI269">
        <v>79</v>
      </c>
      <c r="AJ269">
        <v>3</v>
      </c>
      <c r="AK269">
        <v>52</v>
      </c>
      <c r="AL269" t="s">
        <v>92</v>
      </c>
      <c r="AM269" t="s">
        <v>93</v>
      </c>
      <c r="AN269" t="s">
        <v>94</v>
      </c>
      <c r="AO269" t="s">
        <v>2029</v>
      </c>
      <c r="AP269" t="s">
        <v>2030</v>
      </c>
      <c r="AQ269" t="s">
        <v>74</v>
      </c>
      <c r="AR269" t="s">
        <v>2031</v>
      </c>
      <c r="AS269" t="s">
        <v>2032</v>
      </c>
      <c r="AT269" t="s">
        <v>5266</v>
      </c>
      <c r="AU269">
        <v>2013</v>
      </c>
      <c r="AV269">
        <v>118</v>
      </c>
      <c r="AW269">
        <v>11</v>
      </c>
      <c r="AX269" t="s">
        <v>74</v>
      </c>
      <c r="AY269" t="s">
        <v>74</v>
      </c>
      <c r="AZ269" t="s">
        <v>74</v>
      </c>
      <c r="BA269" t="s">
        <v>74</v>
      </c>
      <c r="BB269">
        <v>5105</v>
      </c>
      <c r="BC269">
        <v>5110</v>
      </c>
      <c r="BD269" t="s">
        <v>74</v>
      </c>
      <c r="BE269" t="s">
        <v>5267</v>
      </c>
      <c r="BF269" t="str">
        <f>HYPERLINK("http://dx.doi.org/10.1002/jgrd.50443","http://dx.doi.org/10.1002/jgrd.50443")</f>
        <v>http://dx.doi.org/10.1002/jgrd.50443</v>
      </c>
      <c r="BG269" t="s">
        <v>74</v>
      </c>
      <c r="BH269" t="s">
        <v>74</v>
      </c>
      <c r="BI269">
        <v>6</v>
      </c>
      <c r="BJ269" t="s">
        <v>305</v>
      </c>
      <c r="BK269" t="s">
        <v>102</v>
      </c>
      <c r="BL269" t="s">
        <v>305</v>
      </c>
      <c r="BM269" t="s">
        <v>5268</v>
      </c>
      <c r="BN269" t="s">
        <v>74</v>
      </c>
      <c r="BO269" t="s">
        <v>74</v>
      </c>
      <c r="BP269" t="s">
        <v>74</v>
      </c>
      <c r="BQ269" t="s">
        <v>74</v>
      </c>
      <c r="BR269" t="s">
        <v>105</v>
      </c>
      <c r="BS269" t="s">
        <v>5269</v>
      </c>
      <c r="BT269" t="str">
        <f>HYPERLINK("https%3A%2F%2Fwww.webofscience.com%2Fwos%2Fwoscc%2Ffull-record%2FWOS:000325212600004","View Full Record in Web of Science")</f>
        <v>View Full Record in Web of Science</v>
      </c>
    </row>
    <row r="270" spans="1:72" x14ac:dyDescent="0.15">
      <c r="A270" t="s">
        <v>72</v>
      </c>
      <c r="B270" t="s">
        <v>5270</v>
      </c>
      <c r="C270" t="s">
        <v>74</v>
      </c>
      <c r="D270" t="s">
        <v>74</v>
      </c>
      <c r="E270" t="s">
        <v>74</v>
      </c>
      <c r="F270" t="s">
        <v>5271</v>
      </c>
      <c r="G270" t="s">
        <v>74</v>
      </c>
      <c r="H270" t="s">
        <v>74</v>
      </c>
      <c r="I270" t="s">
        <v>5272</v>
      </c>
      <c r="J270" t="s">
        <v>1957</v>
      </c>
      <c r="K270" t="s">
        <v>74</v>
      </c>
      <c r="L270" t="s">
        <v>74</v>
      </c>
      <c r="M270" t="s">
        <v>78</v>
      </c>
      <c r="N270" t="s">
        <v>79</v>
      </c>
      <c r="O270" t="s">
        <v>74</v>
      </c>
      <c r="P270" t="s">
        <v>74</v>
      </c>
      <c r="Q270" t="s">
        <v>74</v>
      </c>
      <c r="R270" t="s">
        <v>74</v>
      </c>
      <c r="S270" t="s">
        <v>74</v>
      </c>
      <c r="T270" t="s">
        <v>5273</v>
      </c>
      <c r="U270" t="s">
        <v>5274</v>
      </c>
      <c r="V270" t="s">
        <v>5275</v>
      </c>
      <c r="W270" t="s">
        <v>5276</v>
      </c>
      <c r="X270" t="s">
        <v>5277</v>
      </c>
      <c r="Y270" t="s">
        <v>5278</v>
      </c>
      <c r="Z270" t="s">
        <v>5279</v>
      </c>
      <c r="AA270" t="s">
        <v>5280</v>
      </c>
      <c r="AB270" t="s">
        <v>5281</v>
      </c>
      <c r="AC270" t="s">
        <v>74</v>
      </c>
      <c r="AD270" t="s">
        <v>74</v>
      </c>
      <c r="AE270" t="s">
        <v>74</v>
      </c>
      <c r="AF270" t="s">
        <v>74</v>
      </c>
      <c r="AG270">
        <v>31</v>
      </c>
      <c r="AH270">
        <v>71</v>
      </c>
      <c r="AI270">
        <v>76</v>
      </c>
      <c r="AJ270">
        <v>0</v>
      </c>
      <c r="AK270">
        <v>32</v>
      </c>
      <c r="AL270" t="s">
        <v>92</v>
      </c>
      <c r="AM270" t="s">
        <v>93</v>
      </c>
      <c r="AN270" t="s">
        <v>94</v>
      </c>
      <c r="AO270" t="s">
        <v>1970</v>
      </c>
      <c r="AP270" t="s">
        <v>1971</v>
      </c>
      <c r="AQ270" t="s">
        <v>74</v>
      </c>
      <c r="AR270" t="s">
        <v>1972</v>
      </c>
      <c r="AS270" t="s">
        <v>1973</v>
      </c>
      <c r="AT270" t="s">
        <v>5266</v>
      </c>
      <c r="AU270">
        <v>2013</v>
      </c>
      <c r="AV270">
        <v>40</v>
      </c>
      <c r="AW270">
        <v>11</v>
      </c>
      <c r="AX270" t="s">
        <v>74</v>
      </c>
      <c r="AY270" t="s">
        <v>74</v>
      </c>
      <c r="AZ270" t="s">
        <v>74</v>
      </c>
      <c r="BA270" t="s">
        <v>74</v>
      </c>
      <c r="BB270">
        <v>2684</v>
      </c>
      <c r="BC270">
        <v>2688</v>
      </c>
      <c r="BD270" t="s">
        <v>74</v>
      </c>
      <c r="BE270" t="s">
        <v>5282</v>
      </c>
      <c r="BF270" t="str">
        <f>HYPERLINK("http://dx.doi.org/10.1002/grl.50559","http://dx.doi.org/10.1002/grl.50559")</f>
        <v>http://dx.doi.org/10.1002/grl.50559</v>
      </c>
      <c r="BG270" t="s">
        <v>74</v>
      </c>
      <c r="BH270" t="s">
        <v>74</v>
      </c>
      <c r="BI270">
        <v>5</v>
      </c>
      <c r="BJ270" t="s">
        <v>1426</v>
      </c>
      <c r="BK270" t="s">
        <v>102</v>
      </c>
      <c r="BL270" t="s">
        <v>219</v>
      </c>
      <c r="BM270" t="s">
        <v>5283</v>
      </c>
      <c r="BN270" t="s">
        <v>74</v>
      </c>
      <c r="BO270" t="s">
        <v>2011</v>
      </c>
      <c r="BP270" t="s">
        <v>74</v>
      </c>
      <c r="BQ270" t="s">
        <v>74</v>
      </c>
      <c r="BR270" t="s">
        <v>105</v>
      </c>
      <c r="BS270" t="s">
        <v>5284</v>
      </c>
      <c r="BT270" t="str">
        <f>HYPERLINK("https%3A%2F%2Fwww.webofscience.com%2Fwos%2Fwoscc%2Ffull-record%2FWOS:000321261600038","View Full Record in Web of Science")</f>
        <v>View Full Record in Web of Science</v>
      </c>
    </row>
    <row r="271" spans="1:72" x14ac:dyDescent="0.15">
      <c r="A271" t="s">
        <v>72</v>
      </c>
      <c r="B271" t="s">
        <v>5285</v>
      </c>
      <c r="C271" t="s">
        <v>74</v>
      </c>
      <c r="D271" t="s">
        <v>74</v>
      </c>
      <c r="E271" t="s">
        <v>74</v>
      </c>
      <c r="F271" t="s">
        <v>5286</v>
      </c>
      <c r="G271" t="s">
        <v>74</v>
      </c>
      <c r="H271" t="s">
        <v>74</v>
      </c>
      <c r="I271" t="s">
        <v>5287</v>
      </c>
      <c r="J271" t="s">
        <v>1957</v>
      </c>
      <c r="K271" t="s">
        <v>74</v>
      </c>
      <c r="L271" t="s">
        <v>74</v>
      </c>
      <c r="M271" t="s">
        <v>78</v>
      </c>
      <c r="N271" t="s">
        <v>79</v>
      </c>
      <c r="O271" t="s">
        <v>74</v>
      </c>
      <c r="P271" t="s">
        <v>74</v>
      </c>
      <c r="Q271" t="s">
        <v>74</v>
      </c>
      <c r="R271" t="s">
        <v>74</v>
      </c>
      <c r="S271" t="s">
        <v>74</v>
      </c>
      <c r="T271" t="s">
        <v>5288</v>
      </c>
      <c r="U271" t="s">
        <v>5289</v>
      </c>
      <c r="V271" t="s">
        <v>5290</v>
      </c>
      <c r="W271" t="s">
        <v>5291</v>
      </c>
      <c r="X271" t="s">
        <v>5292</v>
      </c>
      <c r="Y271" t="s">
        <v>5293</v>
      </c>
      <c r="Z271" t="s">
        <v>5294</v>
      </c>
      <c r="AA271" t="s">
        <v>5295</v>
      </c>
      <c r="AB271" t="s">
        <v>5296</v>
      </c>
      <c r="AC271" t="s">
        <v>5297</v>
      </c>
      <c r="AD271" t="s">
        <v>5298</v>
      </c>
      <c r="AE271" t="s">
        <v>5299</v>
      </c>
      <c r="AF271" t="s">
        <v>74</v>
      </c>
      <c r="AG271">
        <v>27</v>
      </c>
      <c r="AH271">
        <v>38</v>
      </c>
      <c r="AI271">
        <v>39</v>
      </c>
      <c r="AJ271">
        <v>0</v>
      </c>
      <c r="AK271">
        <v>26</v>
      </c>
      <c r="AL271" t="s">
        <v>92</v>
      </c>
      <c r="AM271" t="s">
        <v>93</v>
      </c>
      <c r="AN271" t="s">
        <v>94</v>
      </c>
      <c r="AO271" t="s">
        <v>1970</v>
      </c>
      <c r="AP271" t="s">
        <v>74</v>
      </c>
      <c r="AQ271" t="s">
        <v>74</v>
      </c>
      <c r="AR271" t="s">
        <v>1972</v>
      </c>
      <c r="AS271" t="s">
        <v>1973</v>
      </c>
      <c r="AT271" t="s">
        <v>5266</v>
      </c>
      <c r="AU271">
        <v>2013</v>
      </c>
      <c r="AV271">
        <v>40</v>
      </c>
      <c r="AW271">
        <v>11</v>
      </c>
      <c r="AX271" t="s">
        <v>74</v>
      </c>
      <c r="AY271" t="s">
        <v>74</v>
      </c>
      <c r="AZ271" t="s">
        <v>74</v>
      </c>
      <c r="BA271" t="s">
        <v>74</v>
      </c>
      <c r="BB271">
        <v>2755</v>
      </c>
      <c r="BC271">
        <v>2760</v>
      </c>
      <c r="BD271" t="s">
        <v>74</v>
      </c>
      <c r="BE271" t="s">
        <v>5300</v>
      </c>
      <c r="BF271" t="str">
        <f>HYPERLINK("http://dx.doi.org/10.1002/grl.50526","http://dx.doi.org/10.1002/grl.50526")</f>
        <v>http://dx.doi.org/10.1002/grl.50526</v>
      </c>
      <c r="BG271" t="s">
        <v>74</v>
      </c>
      <c r="BH271" t="s">
        <v>74</v>
      </c>
      <c r="BI271">
        <v>6</v>
      </c>
      <c r="BJ271" t="s">
        <v>1426</v>
      </c>
      <c r="BK271" t="s">
        <v>102</v>
      </c>
      <c r="BL271" t="s">
        <v>219</v>
      </c>
      <c r="BM271" t="s">
        <v>5283</v>
      </c>
      <c r="BN271" t="s">
        <v>74</v>
      </c>
      <c r="BO271" t="s">
        <v>4146</v>
      </c>
      <c r="BP271" t="s">
        <v>74</v>
      </c>
      <c r="BQ271" t="s">
        <v>74</v>
      </c>
      <c r="BR271" t="s">
        <v>105</v>
      </c>
      <c r="BS271" t="s">
        <v>5301</v>
      </c>
      <c r="BT271" t="str">
        <f>HYPERLINK("https%3A%2F%2Fwww.webofscience.com%2Fwos%2Fwoscc%2Ffull-record%2FWOS:000321261600051","View Full Record in Web of Science")</f>
        <v>View Full Record in Web of Science</v>
      </c>
    </row>
    <row r="272" spans="1:72" x14ac:dyDescent="0.15">
      <c r="A272" t="s">
        <v>72</v>
      </c>
      <c r="B272" t="s">
        <v>5302</v>
      </c>
      <c r="C272" t="s">
        <v>74</v>
      </c>
      <c r="D272" t="s">
        <v>74</v>
      </c>
      <c r="E272" t="s">
        <v>74</v>
      </c>
      <c r="F272" t="s">
        <v>5303</v>
      </c>
      <c r="G272" t="s">
        <v>74</v>
      </c>
      <c r="H272" t="s">
        <v>74</v>
      </c>
      <c r="I272" t="s">
        <v>5304</v>
      </c>
      <c r="J272" t="s">
        <v>2016</v>
      </c>
      <c r="K272" t="s">
        <v>74</v>
      </c>
      <c r="L272" t="s">
        <v>74</v>
      </c>
      <c r="M272" t="s">
        <v>78</v>
      </c>
      <c r="N272" t="s">
        <v>79</v>
      </c>
      <c r="O272" t="s">
        <v>74</v>
      </c>
      <c r="P272" t="s">
        <v>74</v>
      </c>
      <c r="Q272" t="s">
        <v>74</v>
      </c>
      <c r="R272" t="s">
        <v>74</v>
      </c>
      <c r="S272" t="s">
        <v>74</v>
      </c>
      <c r="T272" t="s">
        <v>5305</v>
      </c>
      <c r="U272" t="s">
        <v>5306</v>
      </c>
      <c r="V272" t="s">
        <v>5307</v>
      </c>
      <c r="W272" t="s">
        <v>5308</v>
      </c>
      <c r="X272" t="s">
        <v>5309</v>
      </c>
      <c r="Y272" t="s">
        <v>5310</v>
      </c>
      <c r="Z272" t="s">
        <v>5311</v>
      </c>
      <c r="AA272" t="s">
        <v>5312</v>
      </c>
      <c r="AB272" t="s">
        <v>5313</v>
      </c>
      <c r="AC272" t="s">
        <v>5314</v>
      </c>
      <c r="AD272" t="s">
        <v>5315</v>
      </c>
      <c r="AE272" t="s">
        <v>5316</v>
      </c>
      <c r="AF272" t="s">
        <v>74</v>
      </c>
      <c r="AG272">
        <v>45</v>
      </c>
      <c r="AH272">
        <v>63</v>
      </c>
      <c r="AI272">
        <v>69</v>
      </c>
      <c r="AJ272">
        <v>6</v>
      </c>
      <c r="AK272">
        <v>153</v>
      </c>
      <c r="AL272" t="s">
        <v>92</v>
      </c>
      <c r="AM272" t="s">
        <v>93</v>
      </c>
      <c r="AN272" t="s">
        <v>94</v>
      </c>
      <c r="AO272" t="s">
        <v>2029</v>
      </c>
      <c r="AP272" t="s">
        <v>2030</v>
      </c>
      <c r="AQ272" t="s">
        <v>74</v>
      </c>
      <c r="AR272" t="s">
        <v>2031</v>
      </c>
      <c r="AS272" t="s">
        <v>2032</v>
      </c>
      <c r="AT272" t="s">
        <v>5266</v>
      </c>
      <c r="AU272">
        <v>2013</v>
      </c>
      <c r="AV272">
        <v>118</v>
      </c>
      <c r="AW272">
        <v>11</v>
      </c>
      <c r="AX272" t="s">
        <v>74</v>
      </c>
      <c r="AY272" t="s">
        <v>74</v>
      </c>
      <c r="AZ272" t="s">
        <v>74</v>
      </c>
      <c r="BA272" t="s">
        <v>74</v>
      </c>
      <c r="BB272">
        <v>5822</v>
      </c>
      <c r="BC272">
        <v>5829</v>
      </c>
      <c r="BD272" t="s">
        <v>74</v>
      </c>
      <c r="BE272" t="s">
        <v>5317</v>
      </c>
      <c r="BF272" t="str">
        <f>HYPERLINK("http://dx.doi.org/10.1002/jgrd.50473","http://dx.doi.org/10.1002/jgrd.50473")</f>
        <v>http://dx.doi.org/10.1002/jgrd.50473</v>
      </c>
      <c r="BG272" t="s">
        <v>74</v>
      </c>
      <c r="BH272" t="s">
        <v>74</v>
      </c>
      <c r="BI272">
        <v>8</v>
      </c>
      <c r="BJ272" t="s">
        <v>305</v>
      </c>
      <c r="BK272" t="s">
        <v>102</v>
      </c>
      <c r="BL272" t="s">
        <v>305</v>
      </c>
      <c r="BM272" t="s">
        <v>5268</v>
      </c>
      <c r="BN272" t="s">
        <v>74</v>
      </c>
      <c r="BO272" t="s">
        <v>74</v>
      </c>
      <c r="BP272" t="s">
        <v>74</v>
      </c>
      <c r="BQ272" t="s">
        <v>74</v>
      </c>
      <c r="BR272" t="s">
        <v>105</v>
      </c>
      <c r="BS272" t="s">
        <v>5318</v>
      </c>
      <c r="BT272" t="str">
        <f>HYPERLINK("https%3A%2F%2Fwww.webofscience.com%2Fwos%2Fwoscc%2Ffull-record%2FWOS:000325212600044","View Full Record in Web of Science")</f>
        <v>View Full Record in Web of Science</v>
      </c>
    </row>
    <row r="273" spans="1:72" x14ac:dyDescent="0.15">
      <c r="A273" t="s">
        <v>72</v>
      </c>
      <c r="B273" t="s">
        <v>5319</v>
      </c>
      <c r="C273" t="s">
        <v>74</v>
      </c>
      <c r="D273" t="s">
        <v>74</v>
      </c>
      <c r="E273" t="s">
        <v>74</v>
      </c>
      <c r="F273" t="s">
        <v>5320</v>
      </c>
      <c r="G273" t="s">
        <v>74</v>
      </c>
      <c r="H273" t="s">
        <v>74</v>
      </c>
      <c r="I273" t="s">
        <v>5321</v>
      </c>
      <c r="J273" t="s">
        <v>5322</v>
      </c>
      <c r="K273" t="s">
        <v>74</v>
      </c>
      <c r="L273" t="s">
        <v>74</v>
      </c>
      <c r="M273" t="s">
        <v>78</v>
      </c>
      <c r="N273" t="s">
        <v>5323</v>
      </c>
      <c r="O273" t="s">
        <v>74</v>
      </c>
      <c r="P273" t="s">
        <v>74</v>
      </c>
      <c r="Q273" t="s">
        <v>74</v>
      </c>
      <c r="R273" t="s">
        <v>74</v>
      </c>
      <c r="S273" t="s">
        <v>74</v>
      </c>
      <c r="T273" t="s">
        <v>74</v>
      </c>
      <c r="U273" t="s">
        <v>74</v>
      </c>
      <c r="V273" t="s">
        <v>74</v>
      </c>
      <c r="W273" t="s">
        <v>2757</v>
      </c>
      <c r="X273" t="s">
        <v>1300</v>
      </c>
      <c r="Y273" t="s">
        <v>5324</v>
      </c>
      <c r="Z273" t="s">
        <v>74</v>
      </c>
      <c r="AA273" t="s">
        <v>74</v>
      </c>
      <c r="AB273" t="s">
        <v>74</v>
      </c>
      <c r="AC273" t="s">
        <v>74</v>
      </c>
      <c r="AD273" t="s">
        <v>74</v>
      </c>
      <c r="AE273" t="s">
        <v>74</v>
      </c>
      <c r="AF273" t="s">
        <v>74</v>
      </c>
      <c r="AG273">
        <v>0</v>
      </c>
      <c r="AH273">
        <v>0</v>
      </c>
      <c r="AI273">
        <v>0</v>
      </c>
      <c r="AJ273">
        <v>0</v>
      </c>
      <c r="AK273">
        <v>3</v>
      </c>
      <c r="AL273" t="s">
        <v>5325</v>
      </c>
      <c r="AM273" t="s">
        <v>5326</v>
      </c>
      <c r="AN273" t="s">
        <v>5327</v>
      </c>
      <c r="AO273" t="s">
        <v>5328</v>
      </c>
      <c r="AP273" t="s">
        <v>74</v>
      </c>
      <c r="AQ273" t="s">
        <v>74</v>
      </c>
      <c r="AR273" t="s">
        <v>5329</v>
      </c>
      <c r="AS273" t="s">
        <v>5330</v>
      </c>
      <c r="AT273" t="s">
        <v>5331</v>
      </c>
      <c r="AU273">
        <v>2013</v>
      </c>
      <c r="AV273">
        <v>218</v>
      </c>
      <c r="AW273">
        <v>2921</v>
      </c>
      <c r="AX273" t="s">
        <v>74</v>
      </c>
      <c r="AY273" t="s">
        <v>74</v>
      </c>
      <c r="AZ273" t="s">
        <v>74</v>
      </c>
      <c r="BA273" t="s">
        <v>74</v>
      </c>
      <c r="BB273">
        <v>32</v>
      </c>
      <c r="BC273">
        <v>32</v>
      </c>
      <c r="BD273" t="s">
        <v>74</v>
      </c>
      <c r="BE273" t="s">
        <v>74</v>
      </c>
      <c r="BF273" t="s">
        <v>74</v>
      </c>
      <c r="BG273" t="s">
        <v>74</v>
      </c>
      <c r="BH273" t="s">
        <v>74</v>
      </c>
      <c r="BI273">
        <v>1</v>
      </c>
      <c r="BJ273" t="s">
        <v>1880</v>
      </c>
      <c r="BK273" t="s">
        <v>102</v>
      </c>
      <c r="BL273" t="s">
        <v>1881</v>
      </c>
      <c r="BM273" t="s">
        <v>5332</v>
      </c>
      <c r="BN273" t="s">
        <v>74</v>
      </c>
      <c r="BO273" t="s">
        <v>74</v>
      </c>
      <c r="BP273" t="s">
        <v>74</v>
      </c>
      <c r="BQ273" t="s">
        <v>74</v>
      </c>
      <c r="BR273" t="s">
        <v>105</v>
      </c>
      <c r="BS273" t="s">
        <v>5333</v>
      </c>
      <c r="BT273" t="str">
        <f>HYPERLINK("https%3A%2F%2Fwww.webofscience.com%2Fwos%2Fwoscc%2Ffull-record%2FWOS:000320564600019","View Full Record in Web of Science")</f>
        <v>View Full Record in Web of Science</v>
      </c>
    </row>
    <row r="274" spans="1:72" x14ac:dyDescent="0.15">
      <c r="A274" t="s">
        <v>72</v>
      </c>
      <c r="B274" t="s">
        <v>5334</v>
      </c>
      <c r="C274" t="s">
        <v>74</v>
      </c>
      <c r="D274" t="s">
        <v>74</v>
      </c>
      <c r="E274" t="s">
        <v>74</v>
      </c>
      <c r="F274" t="s">
        <v>5335</v>
      </c>
      <c r="G274" t="s">
        <v>74</v>
      </c>
      <c r="H274" t="s">
        <v>74</v>
      </c>
      <c r="I274" t="s">
        <v>5336</v>
      </c>
      <c r="J274" t="s">
        <v>5337</v>
      </c>
      <c r="K274" t="s">
        <v>74</v>
      </c>
      <c r="L274" t="s">
        <v>74</v>
      </c>
      <c r="M274" t="s">
        <v>78</v>
      </c>
      <c r="N274" t="s">
        <v>79</v>
      </c>
      <c r="O274" t="s">
        <v>74</v>
      </c>
      <c r="P274" t="s">
        <v>74</v>
      </c>
      <c r="Q274" t="s">
        <v>74</v>
      </c>
      <c r="R274" t="s">
        <v>74</v>
      </c>
      <c r="S274" t="s">
        <v>74</v>
      </c>
      <c r="T274" t="s">
        <v>5338</v>
      </c>
      <c r="U274" t="s">
        <v>5339</v>
      </c>
      <c r="V274" t="s">
        <v>5340</v>
      </c>
      <c r="W274" t="s">
        <v>5341</v>
      </c>
      <c r="X274" t="s">
        <v>5342</v>
      </c>
      <c r="Y274" t="s">
        <v>5343</v>
      </c>
      <c r="Z274" t="s">
        <v>5344</v>
      </c>
      <c r="AA274" t="s">
        <v>5345</v>
      </c>
      <c r="AB274" t="s">
        <v>5346</v>
      </c>
      <c r="AC274" t="s">
        <v>5347</v>
      </c>
      <c r="AD274" t="s">
        <v>5348</v>
      </c>
      <c r="AE274" t="s">
        <v>5349</v>
      </c>
      <c r="AF274" t="s">
        <v>74</v>
      </c>
      <c r="AG274">
        <v>57</v>
      </c>
      <c r="AH274">
        <v>23</v>
      </c>
      <c r="AI274">
        <v>27</v>
      </c>
      <c r="AJ274">
        <v>3</v>
      </c>
      <c r="AK274">
        <v>102</v>
      </c>
      <c r="AL274" t="s">
        <v>506</v>
      </c>
      <c r="AM274" t="s">
        <v>442</v>
      </c>
      <c r="AN274" t="s">
        <v>507</v>
      </c>
      <c r="AO274" t="s">
        <v>5350</v>
      </c>
      <c r="AP274" t="s">
        <v>74</v>
      </c>
      <c r="AQ274" t="s">
        <v>74</v>
      </c>
      <c r="AR274" t="s">
        <v>5351</v>
      </c>
      <c r="AS274" t="s">
        <v>5352</v>
      </c>
      <c r="AT274" t="s">
        <v>5331</v>
      </c>
      <c r="AU274">
        <v>2013</v>
      </c>
      <c r="AV274">
        <v>21</v>
      </c>
      <c r="AW274">
        <v>12</v>
      </c>
      <c r="AX274" t="s">
        <v>74</v>
      </c>
      <c r="AY274" t="s">
        <v>74</v>
      </c>
      <c r="AZ274" t="s">
        <v>74</v>
      </c>
      <c r="BA274" t="s">
        <v>74</v>
      </c>
      <c r="BB274">
        <v>3569</v>
      </c>
      <c r="BC274">
        <v>3581</v>
      </c>
      <c r="BD274" t="s">
        <v>74</v>
      </c>
      <c r="BE274" t="s">
        <v>5353</v>
      </c>
      <c r="BF274" t="str">
        <f>HYPERLINK("http://dx.doi.org/10.1016/j.bmc.2013.02.025","http://dx.doi.org/10.1016/j.bmc.2013.02.025")</f>
        <v>http://dx.doi.org/10.1016/j.bmc.2013.02.025</v>
      </c>
      <c r="BG274" t="s">
        <v>74</v>
      </c>
      <c r="BH274" t="s">
        <v>74</v>
      </c>
      <c r="BI274">
        <v>13</v>
      </c>
      <c r="BJ274" t="s">
        <v>5354</v>
      </c>
      <c r="BK274" t="s">
        <v>5355</v>
      </c>
      <c r="BL274" t="s">
        <v>5356</v>
      </c>
      <c r="BM274" t="s">
        <v>5357</v>
      </c>
      <c r="BN274">
        <v>23523384</v>
      </c>
      <c r="BO274" t="s">
        <v>74</v>
      </c>
      <c r="BP274" t="s">
        <v>74</v>
      </c>
      <c r="BQ274" t="s">
        <v>74</v>
      </c>
      <c r="BR274" t="s">
        <v>105</v>
      </c>
      <c r="BS274" t="s">
        <v>5358</v>
      </c>
      <c r="BT274" t="str">
        <f>HYPERLINK("https%3A%2F%2Fwww.webofscience.com%2Fwos%2Fwoscc%2Ffull-record%2FWOS:000319502800024","View Full Record in Web of Science")</f>
        <v>View Full Record in Web of Science</v>
      </c>
    </row>
    <row r="275" spans="1:72" x14ac:dyDescent="0.15">
      <c r="A275" t="s">
        <v>72</v>
      </c>
      <c r="B275" t="s">
        <v>5359</v>
      </c>
      <c r="C275" t="s">
        <v>74</v>
      </c>
      <c r="D275" t="s">
        <v>74</v>
      </c>
      <c r="E275" t="s">
        <v>74</v>
      </c>
      <c r="F275" t="s">
        <v>5360</v>
      </c>
      <c r="G275" t="s">
        <v>74</v>
      </c>
      <c r="H275" t="s">
        <v>74</v>
      </c>
      <c r="I275" t="s">
        <v>5361</v>
      </c>
      <c r="J275" t="s">
        <v>5362</v>
      </c>
      <c r="K275" t="s">
        <v>74</v>
      </c>
      <c r="L275" t="s">
        <v>74</v>
      </c>
      <c r="M275" t="s">
        <v>78</v>
      </c>
      <c r="N275" t="s">
        <v>79</v>
      </c>
      <c r="O275" t="s">
        <v>74</v>
      </c>
      <c r="P275" t="s">
        <v>74</v>
      </c>
      <c r="Q275" t="s">
        <v>74</v>
      </c>
      <c r="R275" t="s">
        <v>74</v>
      </c>
      <c r="S275" t="s">
        <v>74</v>
      </c>
      <c r="T275" t="s">
        <v>74</v>
      </c>
      <c r="U275" t="s">
        <v>5363</v>
      </c>
      <c r="V275" t="s">
        <v>5364</v>
      </c>
      <c r="W275" t="s">
        <v>5365</v>
      </c>
      <c r="X275" t="s">
        <v>5366</v>
      </c>
      <c r="Y275" t="s">
        <v>5367</v>
      </c>
      <c r="Z275" t="s">
        <v>5368</v>
      </c>
      <c r="AA275" t="s">
        <v>5369</v>
      </c>
      <c r="AB275" t="s">
        <v>5370</v>
      </c>
      <c r="AC275" t="s">
        <v>5371</v>
      </c>
      <c r="AD275" t="s">
        <v>5372</v>
      </c>
      <c r="AE275" t="s">
        <v>5373</v>
      </c>
      <c r="AF275" t="s">
        <v>74</v>
      </c>
      <c r="AG275">
        <v>186</v>
      </c>
      <c r="AH275">
        <v>63</v>
      </c>
      <c r="AI275">
        <v>74</v>
      </c>
      <c r="AJ275">
        <v>1</v>
      </c>
      <c r="AK275">
        <v>77</v>
      </c>
      <c r="AL275" t="s">
        <v>5020</v>
      </c>
      <c r="AM275" t="s">
        <v>93</v>
      </c>
      <c r="AN275" t="s">
        <v>5021</v>
      </c>
      <c r="AO275" t="s">
        <v>5374</v>
      </c>
      <c r="AP275" t="s">
        <v>5375</v>
      </c>
      <c r="AQ275" t="s">
        <v>74</v>
      </c>
      <c r="AR275" t="s">
        <v>5376</v>
      </c>
      <c r="AS275" t="s">
        <v>5377</v>
      </c>
      <c r="AT275" t="s">
        <v>5378</v>
      </c>
      <c r="AU275">
        <v>2013</v>
      </c>
      <c r="AV275">
        <v>117</v>
      </c>
      <c r="AW275">
        <v>23</v>
      </c>
      <c r="AX275" t="s">
        <v>74</v>
      </c>
      <c r="AY275" t="s">
        <v>74</v>
      </c>
      <c r="AZ275" t="s">
        <v>74</v>
      </c>
      <c r="BA275" t="s">
        <v>74</v>
      </c>
      <c r="BB275">
        <v>4733</v>
      </c>
      <c r="BC275">
        <v>4749</v>
      </c>
      <c r="BD275" t="s">
        <v>74</v>
      </c>
      <c r="BE275" t="s">
        <v>5379</v>
      </c>
      <c r="BF275" t="str">
        <f>HYPERLINK("http://dx.doi.org/10.1021/jp3123314","http://dx.doi.org/10.1021/jp3123314")</f>
        <v>http://dx.doi.org/10.1021/jp3123314</v>
      </c>
      <c r="BG275" t="s">
        <v>74</v>
      </c>
      <c r="BH275" t="s">
        <v>74</v>
      </c>
      <c r="BI275">
        <v>17</v>
      </c>
      <c r="BJ275" t="s">
        <v>5380</v>
      </c>
      <c r="BK275" t="s">
        <v>102</v>
      </c>
      <c r="BL275" t="s">
        <v>5381</v>
      </c>
      <c r="BM275" t="s">
        <v>5382</v>
      </c>
      <c r="BN275">
        <v>23597185</v>
      </c>
      <c r="BO275" t="s">
        <v>74</v>
      </c>
      <c r="BP275" t="s">
        <v>74</v>
      </c>
      <c r="BQ275" t="s">
        <v>74</v>
      </c>
      <c r="BR275" t="s">
        <v>105</v>
      </c>
      <c r="BS275" t="s">
        <v>5383</v>
      </c>
      <c r="BT275" t="str">
        <f>HYPERLINK("https%3A%2F%2Fwww.webofscience.com%2Fwos%2Fwoscc%2Ffull-record%2FWOS:000320640800001","View Full Record in Web of Science")</f>
        <v>View Full Record in Web of Science</v>
      </c>
    </row>
    <row r="276" spans="1:72" x14ac:dyDescent="0.15">
      <c r="A276" t="s">
        <v>72</v>
      </c>
      <c r="B276" t="s">
        <v>5384</v>
      </c>
      <c r="C276" t="s">
        <v>74</v>
      </c>
      <c r="D276" t="s">
        <v>74</v>
      </c>
      <c r="E276" t="s">
        <v>74</v>
      </c>
      <c r="F276" t="s">
        <v>5385</v>
      </c>
      <c r="G276" t="s">
        <v>74</v>
      </c>
      <c r="H276" t="s">
        <v>5386</v>
      </c>
      <c r="I276" t="s">
        <v>5387</v>
      </c>
      <c r="J276" t="s">
        <v>2253</v>
      </c>
      <c r="K276" t="s">
        <v>74</v>
      </c>
      <c r="L276" t="s">
        <v>74</v>
      </c>
      <c r="M276" t="s">
        <v>78</v>
      </c>
      <c r="N276" t="s">
        <v>79</v>
      </c>
      <c r="O276" t="s">
        <v>74</v>
      </c>
      <c r="P276" t="s">
        <v>74</v>
      </c>
      <c r="Q276" t="s">
        <v>74</v>
      </c>
      <c r="R276" t="s">
        <v>74</v>
      </c>
      <c r="S276" t="s">
        <v>74</v>
      </c>
      <c r="T276" t="s">
        <v>5388</v>
      </c>
      <c r="U276" t="s">
        <v>5389</v>
      </c>
      <c r="V276" t="s">
        <v>5390</v>
      </c>
      <c r="W276" t="s">
        <v>5391</v>
      </c>
      <c r="X276" t="s">
        <v>5392</v>
      </c>
      <c r="Y276" t="s">
        <v>5393</v>
      </c>
      <c r="Z276" t="s">
        <v>5394</v>
      </c>
      <c r="AA276" t="s">
        <v>5395</v>
      </c>
      <c r="AB276" t="s">
        <v>5396</v>
      </c>
      <c r="AC276" t="s">
        <v>5397</v>
      </c>
      <c r="AD276" t="s">
        <v>5398</v>
      </c>
      <c r="AE276" t="s">
        <v>5399</v>
      </c>
      <c r="AF276" t="s">
        <v>74</v>
      </c>
      <c r="AG276">
        <v>45</v>
      </c>
      <c r="AH276">
        <v>170</v>
      </c>
      <c r="AI276">
        <v>182</v>
      </c>
      <c r="AJ276">
        <v>1</v>
      </c>
      <c r="AK276">
        <v>108</v>
      </c>
      <c r="AL276" t="s">
        <v>2266</v>
      </c>
      <c r="AM276" t="s">
        <v>93</v>
      </c>
      <c r="AN276" t="s">
        <v>2267</v>
      </c>
      <c r="AO276" t="s">
        <v>2268</v>
      </c>
      <c r="AP276" t="s">
        <v>74</v>
      </c>
      <c r="AQ276" t="s">
        <v>74</v>
      </c>
      <c r="AR276" t="s">
        <v>2269</v>
      </c>
      <c r="AS276" t="s">
        <v>2270</v>
      </c>
      <c r="AT276" t="s">
        <v>5400</v>
      </c>
      <c r="AU276">
        <v>2013</v>
      </c>
      <c r="AV276">
        <v>110</v>
      </c>
      <c r="AW276">
        <v>24</v>
      </c>
      <c r="AX276" t="s">
        <v>74</v>
      </c>
      <c r="AY276" t="s">
        <v>74</v>
      </c>
      <c r="AZ276" t="s">
        <v>74</v>
      </c>
      <c r="BA276" t="s">
        <v>74</v>
      </c>
      <c r="BB276">
        <v>9645</v>
      </c>
      <c r="BC276">
        <v>9650</v>
      </c>
      <c r="BD276" t="s">
        <v>74</v>
      </c>
      <c r="BE276" t="s">
        <v>5401</v>
      </c>
      <c r="BF276" t="str">
        <f>HYPERLINK("http://dx.doi.org/10.1073/pnas.1220872110","http://dx.doi.org/10.1073/pnas.1220872110")</f>
        <v>http://dx.doi.org/10.1073/pnas.1220872110</v>
      </c>
      <c r="BG276" t="s">
        <v>74</v>
      </c>
      <c r="BH276" t="s">
        <v>74</v>
      </c>
      <c r="BI276">
        <v>6</v>
      </c>
      <c r="BJ276" t="s">
        <v>1880</v>
      </c>
      <c r="BK276" t="s">
        <v>102</v>
      </c>
      <c r="BL276" t="s">
        <v>1881</v>
      </c>
      <c r="BM276" t="s">
        <v>5402</v>
      </c>
      <c r="BN276">
        <v>23720311</v>
      </c>
      <c r="BO276" t="s">
        <v>5403</v>
      </c>
      <c r="BP276" t="s">
        <v>74</v>
      </c>
      <c r="BQ276" t="s">
        <v>74</v>
      </c>
      <c r="BR276" t="s">
        <v>105</v>
      </c>
      <c r="BS276" t="s">
        <v>5404</v>
      </c>
      <c r="BT276" t="str">
        <f>HYPERLINK("https%3A%2F%2Fwww.webofscience.com%2Fwos%2Fwoscc%2Ffull-record%2FWOS:000320930100026","View Full Record in Web of Science")</f>
        <v>View Full Record in Web of Science</v>
      </c>
    </row>
    <row r="277" spans="1:72" x14ac:dyDescent="0.15">
      <c r="A277" t="s">
        <v>72</v>
      </c>
      <c r="B277" t="s">
        <v>5405</v>
      </c>
      <c r="C277" t="s">
        <v>74</v>
      </c>
      <c r="D277" t="s">
        <v>74</v>
      </c>
      <c r="E277" t="s">
        <v>74</v>
      </c>
      <c r="F277" t="s">
        <v>5406</v>
      </c>
      <c r="G277" t="s">
        <v>74</v>
      </c>
      <c r="H277" t="s">
        <v>74</v>
      </c>
      <c r="I277" t="s">
        <v>5407</v>
      </c>
      <c r="J277" t="s">
        <v>5408</v>
      </c>
      <c r="K277" t="s">
        <v>74</v>
      </c>
      <c r="L277" t="s">
        <v>74</v>
      </c>
      <c r="M277" t="s">
        <v>78</v>
      </c>
      <c r="N277" t="s">
        <v>79</v>
      </c>
      <c r="O277" t="s">
        <v>74</v>
      </c>
      <c r="P277" t="s">
        <v>74</v>
      </c>
      <c r="Q277" t="s">
        <v>74</v>
      </c>
      <c r="R277" t="s">
        <v>74</v>
      </c>
      <c r="S277" t="s">
        <v>74</v>
      </c>
      <c r="T277" t="s">
        <v>5409</v>
      </c>
      <c r="U277" t="s">
        <v>5410</v>
      </c>
      <c r="V277" t="s">
        <v>5411</v>
      </c>
      <c r="W277" t="s">
        <v>5412</v>
      </c>
      <c r="X277" t="s">
        <v>5413</v>
      </c>
      <c r="Y277" t="s">
        <v>5414</v>
      </c>
      <c r="Z277" t="s">
        <v>5415</v>
      </c>
      <c r="AA277" t="s">
        <v>5416</v>
      </c>
      <c r="AB277" t="s">
        <v>5417</v>
      </c>
      <c r="AC277" t="s">
        <v>5418</v>
      </c>
      <c r="AD277" t="s">
        <v>5419</v>
      </c>
      <c r="AE277" t="s">
        <v>5420</v>
      </c>
      <c r="AF277" t="s">
        <v>74</v>
      </c>
      <c r="AG277">
        <v>45</v>
      </c>
      <c r="AH277">
        <v>38</v>
      </c>
      <c r="AI277">
        <v>40</v>
      </c>
      <c r="AJ277">
        <v>2</v>
      </c>
      <c r="AK277">
        <v>55</v>
      </c>
      <c r="AL277" t="s">
        <v>1244</v>
      </c>
      <c r="AM277" t="s">
        <v>391</v>
      </c>
      <c r="AN277" t="s">
        <v>1245</v>
      </c>
      <c r="AO277" t="s">
        <v>5421</v>
      </c>
      <c r="AP277" t="s">
        <v>5422</v>
      </c>
      <c r="AQ277" t="s">
        <v>74</v>
      </c>
      <c r="AR277" t="s">
        <v>5423</v>
      </c>
      <c r="AS277" t="s">
        <v>5424</v>
      </c>
      <c r="AT277" t="s">
        <v>5425</v>
      </c>
      <c r="AU277">
        <v>2013</v>
      </c>
      <c r="AV277">
        <v>53</v>
      </c>
      <c r="AW277">
        <v>1</v>
      </c>
      <c r="AX277" t="s">
        <v>74</v>
      </c>
      <c r="AY277" t="s">
        <v>74</v>
      </c>
      <c r="AZ277" t="s">
        <v>74</v>
      </c>
      <c r="BA277" t="s">
        <v>74</v>
      </c>
      <c r="BB277">
        <v>18</v>
      </c>
      <c r="BC277">
        <v>24</v>
      </c>
      <c r="BD277" t="s">
        <v>74</v>
      </c>
      <c r="BE277" t="s">
        <v>5426</v>
      </c>
      <c r="BF277" t="str">
        <f>HYPERLINK("http://dx.doi.org/10.1016/j.enzmictec.2013.03.021","http://dx.doi.org/10.1016/j.enzmictec.2013.03.021")</f>
        <v>http://dx.doi.org/10.1016/j.enzmictec.2013.03.021</v>
      </c>
      <c r="BG277" t="s">
        <v>74</v>
      </c>
      <c r="BH277" t="s">
        <v>74</v>
      </c>
      <c r="BI277">
        <v>7</v>
      </c>
      <c r="BJ277" t="s">
        <v>2583</v>
      </c>
      <c r="BK277" t="s">
        <v>102</v>
      </c>
      <c r="BL277" t="s">
        <v>2583</v>
      </c>
      <c r="BM277" t="s">
        <v>5427</v>
      </c>
      <c r="BN277">
        <v>23683700</v>
      </c>
      <c r="BO277" t="s">
        <v>74</v>
      </c>
      <c r="BP277" t="s">
        <v>74</v>
      </c>
      <c r="BQ277" t="s">
        <v>74</v>
      </c>
      <c r="BR277" t="s">
        <v>105</v>
      </c>
      <c r="BS277" t="s">
        <v>5428</v>
      </c>
      <c r="BT277" t="str">
        <f>HYPERLINK("https%3A%2F%2Fwww.webofscience.com%2Fwos%2Fwoscc%2Ffull-record%2FWOS:000320352100004","View Full Record in Web of Science")</f>
        <v>View Full Record in Web of Science</v>
      </c>
    </row>
    <row r="278" spans="1:72" x14ac:dyDescent="0.15">
      <c r="A278" t="s">
        <v>72</v>
      </c>
      <c r="B278" t="s">
        <v>5429</v>
      </c>
      <c r="C278" t="s">
        <v>74</v>
      </c>
      <c r="D278" t="s">
        <v>74</v>
      </c>
      <c r="E278" t="s">
        <v>74</v>
      </c>
      <c r="F278" t="s">
        <v>5430</v>
      </c>
      <c r="G278" t="s">
        <v>74</v>
      </c>
      <c r="H278" t="s">
        <v>74</v>
      </c>
      <c r="I278" t="s">
        <v>5431</v>
      </c>
      <c r="J278" t="s">
        <v>5432</v>
      </c>
      <c r="K278" t="s">
        <v>74</v>
      </c>
      <c r="L278" t="s">
        <v>74</v>
      </c>
      <c r="M278" t="s">
        <v>78</v>
      </c>
      <c r="N278" t="s">
        <v>79</v>
      </c>
      <c r="O278" t="s">
        <v>74</v>
      </c>
      <c r="P278" t="s">
        <v>74</v>
      </c>
      <c r="Q278" t="s">
        <v>74</v>
      </c>
      <c r="R278" t="s">
        <v>74</v>
      </c>
      <c r="S278" t="s">
        <v>74</v>
      </c>
      <c r="T278" t="s">
        <v>5433</v>
      </c>
      <c r="U278" t="s">
        <v>5434</v>
      </c>
      <c r="V278" t="s">
        <v>5435</v>
      </c>
      <c r="W278" t="s">
        <v>5436</v>
      </c>
      <c r="X278" t="s">
        <v>5437</v>
      </c>
      <c r="Y278" t="s">
        <v>5438</v>
      </c>
      <c r="Z278" t="s">
        <v>5439</v>
      </c>
      <c r="AA278" t="s">
        <v>5440</v>
      </c>
      <c r="AB278" t="s">
        <v>5441</v>
      </c>
      <c r="AC278" t="s">
        <v>5442</v>
      </c>
      <c r="AD278" t="s">
        <v>5442</v>
      </c>
      <c r="AE278" t="s">
        <v>5443</v>
      </c>
      <c r="AF278" t="s">
        <v>74</v>
      </c>
      <c r="AG278">
        <v>73</v>
      </c>
      <c r="AH278">
        <v>29</v>
      </c>
      <c r="AI278">
        <v>33</v>
      </c>
      <c r="AJ278">
        <v>1</v>
      </c>
      <c r="AK278">
        <v>52</v>
      </c>
      <c r="AL278" t="s">
        <v>195</v>
      </c>
      <c r="AM278" t="s">
        <v>155</v>
      </c>
      <c r="AN278" t="s">
        <v>196</v>
      </c>
      <c r="AO278" t="s">
        <v>5444</v>
      </c>
      <c r="AP278" t="s">
        <v>5445</v>
      </c>
      <c r="AQ278" t="s">
        <v>74</v>
      </c>
      <c r="AR278" t="s">
        <v>5446</v>
      </c>
      <c r="AS278" t="s">
        <v>5447</v>
      </c>
      <c r="AT278" t="s">
        <v>5425</v>
      </c>
      <c r="AU278">
        <v>2013</v>
      </c>
      <c r="AV278">
        <v>258</v>
      </c>
      <c r="AW278" t="s">
        <v>74</v>
      </c>
      <c r="AX278" t="s">
        <v>74</v>
      </c>
      <c r="AY278" t="s">
        <v>74</v>
      </c>
      <c r="AZ278" t="s">
        <v>74</v>
      </c>
      <c r="BA278" t="s">
        <v>74</v>
      </c>
      <c r="BB278">
        <v>16</v>
      </c>
      <c r="BC278">
        <v>32</v>
      </c>
      <c r="BD278" t="s">
        <v>74</v>
      </c>
      <c r="BE278" t="s">
        <v>5448</v>
      </c>
      <c r="BF278" t="str">
        <f>HYPERLINK("http://dx.doi.org/10.1016/j.ecolmodel.2013.02.022","http://dx.doi.org/10.1016/j.ecolmodel.2013.02.022")</f>
        <v>http://dx.doi.org/10.1016/j.ecolmodel.2013.02.022</v>
      </c>
      <c r="BG278" t="s">
        <v>74</v>
      </c>
      <c r="BH278" t="s">
        <v>74</v>
      </c>
      <c r="BI278">
        <v>17</v>
      </c>
      <c r="BJ278" t="s">
        <v>5449</v>
      </c>
      <c r="BK278" t="s">
        <v>102</v>
      </c>
      <c r="BL278" t="s">
        <v>262</v>
      </c>
      <c r="BM278" t="s">
        <v>5450</v>
      </c>
      <c r="BN278" t="s">
        <v>74</v>
      </c>
      <c r="BO278" t="s">
        <v>74</v>
      </c>
      <c r="BP278" t="s">
        <v>74</v>
      </c>
      <c r="BQ278" t="s">
        <v>74</v>
      </c>
      <c r="BR278" t="s">
        <v>105</v>
      </c>
      <c r="BS278" t="s">
        <v>5451</v>
      </c>
      <c r="BT278" t="str">
        <f>HYPERLINK("https%3A%2F%2Fwww.webofscience.com%2Fwos%2Fwoscc%2Ffull-record%2FWOS:000319095400003","View Full Record in Web of Science")</f>
        <v>View Full Record in Web of Science</v>
      </c>
    </row>
    <row r="279" spans="1:72" x14ac:dyDescent="0.15">
      <c r="A279" t="s">
        <v>72</v>
      </c>
      <c r="B279" t="s">
        <v>5452</v>
      </c>
      <c r="C279" t="s">
        <v>74</v>
      </c>
      <c r="D279" t="s">
        <v>74</v>
      </c>
      <c r="E279" t="s">
        <v>74</v>
      </c>
      <c r="F279" t="s">
        <v>5453</v>
      </c>
      <c r="G279" t="s">
        <v>74</v>
      </c>
      <c r="H279" t="s">
        <v>74</v>
      </c>
      <c r="I279" t="s">
        <v>5454</v>
      </c>
      <c r="J279" t="s">
        <v>5455</v>
      </c>
      <c r="K279" t="s">
        <v>74</v>
      </c>
      <c r="L279" t="s">
        <v>74</v>
      </c>
      <c r="M279" t="s">
        <v>78</v>
      </c>
      <c r="N279" t="s">
        <v>79</v>
      </c>
      <c r="O279" t="s">
        <v>74</v>
      </c>
      <c r="P279" t="s">
        <v>74</v>
      </c>
      <c r="Q279" t="s">
        <v>74</v>
      </c>
      <c r="R279" t="s">
        <v>74</v>
      </c>
      <c r="S279" t="s">
        <v>74</v>
      </c>
      <c r="T279" t="s">
        <v>5456</v>
      </c>
      <c r="U279" t="s">
        <v>5457</v>
      </c>
      <c r="V279" t="s">
        <v>5458</v>
      </c>
      <c r="W279" t="s">
        <v>5459</v>
      </c>
      <c r="X279" t="s">
        <v>5460</v>
      </c>
      <c r="Y279" t="s">
        <v>5461</v>
      </c>
      <c r="Z279" t="s">
        <v>5462</v>
      </c>
      <c r="AA279" t="s">
        <v>74</v>
      </c>
      <c r="AB279" t="s">
        <v>5463</v>
      </c>
      <c r="AC279" t="s">
        <v>5464</v>
      </c>
      <c r="AD279" t="s">
        <v>5464</v>
      </c>
      <c r="AE279" t="s">
        <v>5465</v>
      </c>
      <c r="AF279" t="s">
        <v>74</v>
      </c>
      <c r="AG279">
        <v>51</v>
      </c>
      <c r="AH279">
        <v>22</v>
      </c>
      <c r="AI279">
        <v>22</v>
      </c>
      <c r="AJ279">
        <v>1</v>
      </c>
      <c r="AK279">
        <v>58</v>
      </c>
      <c r="AL279" t="s">
        <v>906</v>
      </c>
      <c r="AM279" t="s">
        <v>643</v>
      </c>
      <c r="AN279" t="s">
        <v>907</v>
      </c>
      <c r="AO279" t="s">
        <v>5466</v>
      </c>
      <c r="AP279" t="s">
        <v>5467</v>
      </c>
      <c r="AQ279" t="s">
        <v>74</v>
      </c>
      <c r="AR279" t="s">
        <v>5468</v>
      </c>
      <c r="AS279" t="s">
        <v>5469</v>
      </c>
      <c r="AT279" t="s">
        <v>5425</v>
      </c>
      <c r="AU279">
        <v>2013</v>
      </c>
      <c r="AV279">
        <v>124</v>
      </c>
      <c r="AW279" t="s">
        <v>74</v>
      </c>
      <c r="AX279" t="s">
        <v>74</v>
      </c>
      <c r="AY279" t="s">
        <v>74</v>
      </c>
      <c r="AZ279" t="s">
        <v>74</v>
      </c>
      <c r="BA279" t="s">
        <v>74</v>
      </c>
      <c r="BB279">
        <v>44</v>
      </c>
      <c r="BC279">
        <v>55</v>
      </c>
      <c r="BD279" t="s">
        <v>74</v>
      </c>
      <c r="BE279" t="s">
        <v>5470</v>
      </c>
      <c r="BF279" t="str">
        <f>HYPERLINK("http://dx.doi.org/10.1016/j.ecss.2013.03.003","http://dx.doi.org/10.1016/j.ecss.2013.03.003")</f>
        <v>http://dx.doi.org/10.1016/j.ecss.2013.03.003</v>
      </c>
      <c r="BG279" t="s">
        <v>74</v>
      </c>
      <c r="BH279" t="s">
        <v>74</v>
      </c>
      <c r="BI279">
        <v>12</v>
      </c>
      <c r="BJ279" t="s">
        <v>3206</v>
      </c>
      <c r="BK279" t="s">
        <v>102</v>
      </c>
      <c r="BL279" t="s">
        <v>3206</v>
      </c>
      <c r="BM279" t="s">
        <v>5471</v>
      </c>
      <c r="BN279" t="s">
        <v>74</v>
      </c>
      <c r="BO279" t="s">
        <v>74</v>
      </c>
      <c r="BP279" t="s">
        <v>74</v>
      </c>
      <c r="BQ279" t="s">
        <v>74</v>
      </c>
      <c r="BR279" t="s">
        <v>105</v>
      </c>
      <c r="BS279" t="s">
        <v>5472</v>
      </c>
      <c r="BT279" t="str">
        <f>HYPERLINK("https%3A%2F%2Fwww.webofscience.com%2Fwos%2Fwoscc%2Ffull-record%2FWOS:000319248300005","View Full Record in Web of Science")</f>
        <v>View Full Record in Web of Science</v>
      </c>
    </row>
    <row r="280" spans="1:72" x14ac:dyDescent="0.15">
      <c r="A280" t="s">
        <v>72</v>
      </c>
      <c r="B280" t="s">
        <v>5473</v>
      </c>
      <c r="C280" t="s">
        <v>74</v>
      </c>
      <c r="D280" t="s">
        <v>74</v>
      </c>
      <c r="E280" t="s">
        <v>74</v>
      </c>
      <c r="F280" t="s">
        <v>5474</v>
      </c>
      <c r="G280" t="s">
        <v>74</v>
      </c>
      <c r="H280" t="s">
        <v>74</v>
      </c>
      <c r="I280" t="s">
        <v>5475</v>
      </c>
      <c r="J280" t="s">
        <v>2343</v>
      </c>
      <c r="K280" t="s">
        <v>74</v>
      </c>
      <c r="L280" t="s">
        <v>74</v>
      </c>
      <c r="M280" t="s">
        <v>78</v>
      </c>
      <c r="N280" t="s">
        <v>79</v>
      </c>
      <c r="O280" t="s">
        <v>74</v>
      </c>
      <c r="P280" t="s">
        <v>74</v>
      </c>
      <c r="Q280" t="s">
        <v>74</v>
      </c>
      <c r="R280" t="s">
        <v>74</v>
      </c>
      <c r="S280" t="s">
        <v>74</v>
      </c>
      <c r="T280" t="s">
        <v>74</v>
      </c>
      <c r="U280" t="s">
        <v>5476</v>
      </c>
      <c r="V280" t="s">
        <v>5477</v>
      </c>
      <c r="W280" t="s">
        <v>5478</v>
      </c>
      <c r="X280" t="s">
        <v>5479</v>
      </c>
      <c r="Y280" t="s">
        <v>5480</v>
      </c>
      <c r="Z280" t="s">
        <v>5481</v>
      </c>
      <c r="AA280" t="s">
        <v>5482</v>
      </c>
      <c r="AB280" t="s">
        <v>5483</v>
      </c>
      <c r="AC280" t="s">
        <v>5484</v>
      </c>
      <c r="AD280" t="s">
        <v>5485</v>
      </c>
      <c r="AE280" t="s">
        <v>5486</v>
      </c>
      <c r="AF280" t="s">
        <v>74</v>
      </c>
      <c r="AG280">
        <v>59</v>
      </c>
      <c r="AH280">
        <v>55</v>
      </c>
      <c r="AI280">
        <v>59</v>
      </c>
      <c r="AJ280">
        <v>2</v>
      </c>
      <c r="AK280">
        <v>15</v>
      </c>
      <c r="AL280" t="s">
        <v>2355</v>
      </c>
      <c r="AM280" t="s">
        <v>2356</v>
      </c>
      <c r="AN280" t="s">
        <v>2357</v>
      </c>
      <c r="AO280" t="s">
        <v>2358</v>
      </c>
      <c r="AP280" t="s">
        <v>74</v>
      </c>
      <c r="AQ280" t="s">
        <v>74</v>
      </c>
      <c r="AR280" t="s">
        <v>2343</v>
      </c>
      <c r="AS280" t="s">
        <v>2359</v>
      </c>
      <c r="AT280" t="s">
        <v>5487</v>
      </c>
      <c r="AU280">
        <v>2013</v>
      </c>
      <c r="AV280">
        <v>8</v>
      </c>
      <c r="AW280">
        <v>6</v>
      </c>
      <c r="AX280" t="s">
        <v>74</v>
      </c>
      <c r="AY280" t="s">
        <v>74</v>
      </c>
      <c r="AZ280" t="s">
        <v>74</v>
      </c>
      <c r="BA280" t="s">
        <v>74</v>
      </c>
      <c r="BB280" t="s">
        <v>74</v>
      </c>
      <c r="BC280" t="s">
        <v>74</v>
      </c>
      <c r="BD280" t="s">
        <v>5488</v>
      </c>
      <c r="BE280" t="s">
        <v>5489</v>
      </c>
      <c r="BF280" t="str">
        <f>HYPERLINK("http://dx.doi.org/10.1371/journal.pone.0065553","http://dx.doi.org/10.1371/journal.pone.0065553")</f>
        <v>http://dx.doi.org/10.1371/journal.pone.0065553</v>
      </c>
      <c r="BG280" t="s">
        <v>74</v>
      </c>
      <c r="BH280" t="s">
        <v>74</v>
      </c>
      <c r="BI280">
        <v>11</v>
      </c>
      <c r="BJ280" t="s">
        <v>1880</v>
      </c>
      <c r="BK280" t="s">
        <v>102</v>
      </c>
      <c r="BL280" t="s">
        <v>1881</v>
      </c>
      <c r="BM280" t="s">
        <v>5490</v>
      </c>
      <c r="BN280">
        <v>23762393</v>
      </c>
      <c r="BO280" t="s">
        <v>5491</v>
      </c>
      <c r="BP280" t="s">
        <v>74</v>
      </c>
      <c r="BQ280" t="s">
        <v>74</v>
      </c>
      <c r="BR280" t="s">
        <v>105</v>
      </c>
      <c r="BS280" t="s">
        <v>5492</v>
      </c>
      <c r="BT280" t="str">
        <f>HYPERLINK("https%3A%2F%2Fwww.webofscience.com%2Fwos%2Fwoscc%2Ffull-record%2FWOS:000321094800064","View Full Record in Web of Science")</f>
        <v>View Full Record in Web of Science</v>
      </c>
    </row>
    <row r="281" spans="1:72" x14ac:dyDescent="0.15">
      <c r="A281" t="s">
        <v>72</v>
      </c>
      <c r="B281" t="s">
        <v>5493</v>
      </c>
      <c r="C281" t="s">
        <v>74</v>
      </c>
      <c r="D281" t="s">
        <v>74</v>
      </c>
      <c r="E281" t="s">
        <v>74</v>
      </c>
      <c r="F281" t="s">
        <v>5494</v>
      </c>
      <c r="G281" t="s">
        <v>74</v>
      </c>
      <c r="H281" t="s">
        <v>74</v>
      </c>
      <c r="I281" t="s">
        <v>5495</v>
      </c>
      <c r="J281" t="s">
        <v>4968</v>
      </c>
      <c r="K281" t="s">
        <v>74</v>
      </c>
      <c r="L281" t="s">
        <v>74</v>
      </c>
      <c r="M281" t="s">
        <v>78</v>
      </c>
      <c r="N281" t="s">
        <v>79</v>
      </c>
      <c r="O281" t="s">
        <v>74</v>
      </c>
      <c r="P281" t="s">
        <v>74</v>
      </c>
      <c r="Q281" t="s">
        <v>74</v>
      </c>
      <c r="R281" t="s">
        <v>74</v>
      </c>
      <c r="S281" t="s">
        <v>74</v>
      </c>
      <c r="T281" t="s">
        <v>5496</v>
      </c>
      <c r="U281" t="s">
        <v>5497</v>
      </c>
      <c r="V281" t="s">
        <v>5498</v>
      </c>
      <c r="W281" t="s">
        <v>5499</v>
      </c>
      <c r="X281" t="s">
        <v>5500</v>
      </c>
      <c r="Y281" t="s">
        <v>5501</v>
      </c>
      <c r="Z281" t="s">
        <v>5502</v>
      </c>
      <c r="AA281" t="s">
        <v>5503</v>
      </c>
      <c r="AB281" t="s">
        <v>5504</v>
      </c>
      <c r="AC281" t="s">
        <v>5505</v>
      </c>
      <c r="AD281" t="s">
        <v>5506</v>
      </c>
      <c r="AE281" t="s">
        <v>5507</v>
      </c>
      <c r="AF281" t="s">
        <v>74</v>
      </c>
      <c r="AG281">
        <v>100</v>
      </c>
      <c r="AH281">
        <v>52</v>
      </c>
      <c r="AI281">
        <v>52</v>
      </c>
      <c r="AJ281">
        <v>0</v>
      </c>
      <c r="AK281">
        <v>26</v>
      </c>
      <c r="AL281" t="s">
        <v>154</v>
      </c>
      <c r="AM281" t="s">
        <v>155</v>
      </c>
      <c r="AN281" t="s">
        <v>156</v>
      </c>
      <c r="AO281" t="s">
        <v>4980</v>
      </c>
      <c r="AP281" t="s">
        <v>4981</v>
      </c>
      <c r="AQ281" t="s">
        <v>74</v>
      </c>
      <c r="AR281" t="s">
        <v>4982</v>
      </c>
      <c r="AS281" t="s">
        <v>4983</v>
      </c>
      <c r="AT281" t="s">
        <v>5508</v>
      </c>
      <c r="AU281">
        <v>2013</v>
      </c>
      <c r="AV281">
        <v>347</v>
      </c>
      <c r="AW281" t="s">
        <v>74</v>
      </c>
      <c r="AX281" t="s">
        <v>74</v>
      </c>
      <c r="AY281" t="s">
        <v>74</v>
      </c>
      <c r="AZ281" t="s">
        <v>74</v>
      </c>
      <c r="BA281" t="s">
        <v>74</v>
      </c>
      <c r="BB281">
        <v>271</v>
      </c>
      <c r="BC281">
        <v>283</v>
      </c>
      <c r="BD281" t="s">
        <v>74</v>
      </c>
      <c r="BE281" t="s">
        <v>5509</v>
      </c>
      <c r="BF281" t="str">
        <f>HYPERLINK("http://dx.doi.org/10.1016/j.chemgeo.2013.04.013","http://dx.doi.org/10.1016/j.chemgeo.2013.04.013")</f>
        <v>http://dx.doi.org/10.1016/j.chemgeo.2013.04.013</v>
      </c>
      <c r="BG281" t="s">
        <v>74</v>
      </c>
      <c r="BH281" t="s">
        <v>74</v>
      </c>
      <c r="BI281">
        <v>13</v>
      </c>
      <c r="BJ281" t="s">
        <v>766</v>
      </c>
      <c r="BK281" t="s">
        <v>102</v>
      </c>
      <c r="BL281" t="s">
        <v>766</v>
      </c>
      <c r="BM281" t="s">
        <v>5510</v>
      </c>
      <c r="BN281" t="s">
        <v>74</v>
      </c>
      <c r="BO281" t="s">
        <v>74</v>
      </c>
      <c r="BP281" t="s">
        <v>74</v>
      </c>
      <c r="BQ281" t="s">
        <v>74</v>
      </c>
      <c r="BR281" t="s">
        <v>105</v>
      </c>
      <c r="BS281" t="s">
        <v>5511</v>
      </c>
      <c r="BT281" t="str">
        <f>HYPERLINK("https%3A%2F%2Fwww.webofscience.com%2Fwos%2Fwoscc%2Ffull-record%2FWOS:000321233100024","View Full Record in Web of Science")</f>
        <v>View Full Record in Web of Science</v>
      </c>
    </row>
    <row r="282" spans="1:72" x14ac:dyDescent="0.15">
      <c r="A282" t="s">
        <v>72</v>
      </c>
      <c r="B282" t="s">
        <v>5512</v>
      </c>
      <c r="C282" t="s">
        <v>74</v>
      </c>
      <c r="D282" t="s">
        <v>74</v>
      </c>
      <c r="E282" t="s">
        <v>74</v>
      </c>
      <c r="F282" t="s">
        <v>5513</v>
      </c>
      <c r="G282" t="s">
        <v>74</v>
      </c>
      <c r="H282" t="s">
        <v>74</v>
      </c>
      <c r="I282" t="s">
        <v>5514</v>
      </c>
      <c r="J282" t="s">
        <v>4968</v>
      </c>
      <c r="K282" t="s">
        <v>74</v>
      </c>
      <c r="L282" t="s">
        <v>74</v>
      </c>
      <c r="M282" t="s">
        <v>78</v>
      </c>
      <c r="N282" t="s">
        <v>79</v>
      </c>
      <c r="O282" t="s">
        <v>74</v>
      </c>
      <c r="P282" t="s">
        <v>74</v>
      </c>
      <c r="Q282" t="s">
        <v>74</v>
      </c>
      <c r="R282" t="s">
        <v>74</v>
      </c>
      <c r="S282" t="s">
        <v>74</v>
      </c>
      <c r="T282" t="s">
        <v>5515</v>
      </c>
      <c r="U282" t="s">
        <v>5516</v>
      </c>
      <c r="V282" t="s">
        <v>5517</v>
      </c>
      <c r="W282" t="s">
        <v>5518</v>
      </c>
      <c r="X282" t="s">
        <v>5519</v>
      </c>
      <c r="Y282" t="s">
        <v>5520</v>
      </c>
      <c r="Z282" t="s">
        <v>5521</v>
      </c>
      <c r="AA282" t="s">
        <v>5522</v>
      </c>
      <c r="AB282" t="s">
        <v>74</v>
      </c>
      <c r="AC282" t="s">
        <v>5523</v>
      </c>
      <c r="AD282" t="s">
        <v>5524</v>
      </c>
      <c r="AE282" t="s">
        <v>5525</v>
      </c>
      <c r="AF282" t="s">
        <v>74</v>
      </c>
      <c r="AG282">
        <v>86</v>
      </c>
      <c r="AH282">
        <v>2</v>
      </c>
      <c r="AI282">
        <v>2</v>
      </c>
      <c r="AJ282">
        <v>0</v>
      </c>
      <c r="AK282">
        <v>17</v>
      </c>
      <c r="AL282" t="s">
        <v>195</v>
      </c>
      <c r="AM282" t="s">
        <v>155</v>
      </c>
      <c r="AN282" t="s">
        <v>196</v>
      </c>
      <c r="AO282" t="s">
        <v>4980</v>
      </c>
      <c r="AP282" t="s">
        <v>4981</v>
      </c>
      <c r="AQ282" t="s">
        <v>74</v>
      </c>
      <c r="AR282" t="s">
        <v>4982</v>
      </c>
      <c r="AS282" t="s">
        <v>4983</v>
      </c>
      <c r="AT282" t="s">
        <v>5508</v>
      </c>
      <c r="AU282">
        <v>2013</v>
      </c>
      <c r="AV282">
        <v>347</v>
      </c>
      <c r="AW282" t="s">
        <v>74</v>
      </c>
      <c r="AX282" t="s">
        <v>74</v>
      </c>
      <c r="AY282" t="s">
        <v>74</v>
      </c>
      <c r="AZ282" t="s">
        <v>74</v>
      </c>
      <c r="BA282" t="s">
        <v>74</v>
      </c>
      <c r="BB282">
        <v>69</v>
      </c>
      <c r="BC282">
        <v>81</v>
      </c>
      <c r="BD282" t="s">
        <v>74</v>
      </c>
      <c r="BE282" t="s">
        <v>5526</v>
      </c>
      <c r="BF282" t="str">
        <f>HYPERLINK("http://dx.doi.org/10.1016/j.chemgeo.2013.03.004","http://dx.doi.org/10.1016/j.chemgeo.2013.03.004")</f>
        <v>http://dx.doi.org/10.1016/j.chemgeo.2013.03.004</v>
      </c>
      <c r="BG282" t="s">
        <v>74</v>
      </c>
      <c r="BH282" t="s">
        <v>74</v>
      </c>
      <c r="BI282">
        <v>13</v>
      </c>
      <c r="BJ282" t="s">
        <v>766</v>
      </c>
      <c r="BK282" t="s">
        <v>102</v>
      </c>
      <c r="BL282" t="s">
        <v>766</v>
      </c>
      <c r="BM282" t="s">
        <v>5510</v>
      </c>
      <c r="BN282" t="s">
        <v>74</v>
      </c>
      <c r="BO282" t="s">
        <v>74</v>
      </c>
      <c r="BP282" t="s">
        <v>74</v>
      </c>
      <c r="BQ282" t="s">
        <v>74</v>
      </c>
      <c r="BR282" t="s">
        <v>105</v>
      </c>
      <c r="BS282" t="s">
        <v>5527</v>
      </c>
      <c r="BT282" t="str">
        <f>HYPERLINK("https%3A%2F%2Fwww.webofscience.com%2Fwos%2Fwoscc%2Ffull-record%2FWOS:000321233100007","View Full Record in Web of Science")</f>
        <v>View Full Record in Web of Science</v>
      </c>
    </row>
    <row r="283" spans="1:72" x14ac:dyDescent="0.15">
      <c r="A283" t="s">
        <v>72</v>
      </c>
      <c r="B283" t="s">
        <v>5528</v>
      </c>
      <c r="C283" t="s">
        <v>74</v>
      </c>
      <c r="D283" t="s">
        <v>74</v>
      </c>
      <c r="E283" t="s">
        <v>74</v>
      </c>
      <c r="F283" t="s">
        <v>5529</v>
      </c>
      <c r="G283" t="s">
        <v>74</v>
      </c>
      <c r="H283" t="s">
        <v>74</v>
      </c>
      <c r="I283" t="s">
        <v>5530</v>
      </c>
      <c r="J283" t="s">
        <v>5531</v>
      </c>
      <c r="K283" t="s">
        <v>74</v>
      </c>
      <c r="L283" t="s">
        <v>74</v>
      </c>
      <c r="M283" t="s">
        <v>78</v>
      </c>
      <c r="N283" t="s">
        <v>1459</v>
      </c>
      <c r="O283" t="s">
        <v>74</v>
      </c>
      <c r="P283" t="s">
        <v>74</v>
      </c>
      <c r="Q283" t="s">
        <v>74</v>
      </c>
      <c r="R283" t="s">
        <v>74</v>
      </c>
      <c r="S283" t="s">
        <v>74</v>
      </c>
      <c r="T283" t="s">
        <v>74</v>
      </c>
      <c r="U283" t="s">
        <v>5532</v>
      </c>
      <c r="V283" t="s">
        <v>5533</v>
      </c>
      <c r="W283" t="s">
        <v>5534</v>
      </c>
      <c r="X283" t="s">
        <v>5535</v>
      </c>
      <c r="Y283" t="s">
        <v>5536</v>
      </c>
      <c r="Z283" t="s">
        <v>5537</v>
      </c>
      <c r="AA283" t="s">
        <v>5538</v>
      </c>
      <c r="AB283" t="s">
        <v>5539</v>
      </c>
      <c r="AC283" t="s">
        <v>5540</v>
      </c>
      <c r="AD283" t="s">
        <v>5541</v>
      </c>
      <c r="AE283" t="s">
        <v>5542</v>
      </c>
      <c r="AF283" t="s">
        <v>74</v>
      </c>
      <c r="AG283">
        <v>100</v>
      </c>
      <c r="AH283">
        <v>213</v>
      </c>
      <c r="AI283">
        <v>252</v>
      </c>
      <c r="AJ283">
        <v>4</v>
      </c>
      <c r="AK283">
        <v>371</v>
      </c>
      <c r="AL283" t="s">
        <v>1850</v>
      </c>
      <c r="AM283" t="s">
        <v>1851</v>
      </c>
      <c r="AN283" t="s">
        <v>1852</v>
      </c>
      <c r="AO283" t="s">
        <v>5543</v>
      </c>
      <c r="AP283" t="s">
        <v>5544</v>
      </c>
      <c r="AQ283" t="s">
        <v>74</v>
      </c>
      <c r="AR283" t="s">
        <v>5531</v>
      </c>
      <c r="AS283" t="s">
        <v>5545</v>
      </c>
      <c r="AT283" t="s">
        <v>5508</v>
      </c>
      <c r="AU283">
        <v>2013</v>
      </c>
      <c r="AV283">
        <v>498</v>
      </c>
      <c r="AW283">
        <v>7452</v>
      </c>
      <c r="AX283" t="s">
        <v>74</v>
      </c>
      <c r="AY283" t="s">
        <v>74</v>
      </c>
      <c r="AZ283" t="s">
        <v>74</v>
      </c>
      <c r="BA283" t="s">
        <v>74</v>
      </c>
      <c r="BB283">
        <v>51</v>
      </c>
      <c r="BC283">
        <v>59</v>
      </c>
      <c r="BD283" t="s">
        <v>74</v>
      </c>
      <c r="BE283" t="s">
        <v>5546</v>
      </c>
      <c r="BF283" t="str">
        <f>HYPERLINK("http://dx.doi.org/10.1038/nature12238","http://dx.doi.org/10.1038/nature12238")</f>
        <v>http://dx.doi.org/10.1038/nature12238</v>
      </c>
      <c r="BG283" t="s">
        <v>74</v>
      </c>
      <c r="BH283" t="s">
        <v>74</v>
      </c>
      <c r="BI283">
        <v>9</v>
      </c>
      <c r="BJ283" t="s">
        <v>1880</v>
      </c>
      <c r="BK283" t="s">
        <v>102</v>
      </c>
      <c r="BL283" t="s">
        <v>1881</v>
      </c>
      <c r="BM283" t="s">
        <v>5547</v>
      </c>
      <c r="BN283">
        <v>23739423</v>
      </c>
      <c r="BO283" t="s">
        <v>1063</v>
      </c>
      <c r="BP283" t="s">
        <v>74</v>
      </c>
      <c r="BQ283" t="s">
        <v>74</v>
      </c>
      <c r="BR283" t="s">
        <v>105</v>
      </c>
      <c r="BS283" t="s">
        <v>5548</v>
      </c>
      <c r="BT283" t="str">
        <f>HYPERLINK("https%3A%2F%2Fwww.webofscience.com%2Fwos%2Fwoscc%2Ffull-record%2FWOS:000319947800031","View Full Record in Web of Science")</f>
        <v>View Full Record in Web of Science</v>
      </c>
    </row>
    <row r="284" spans="1:72" x14ac:dyDescent="0.15">
      <c r="A284" t="s">
        <v>72</v>
      </c>
      <c r="B284" t="s">
        <v>5549</v>
      </c>
      <c r="C284" t="s">
        <v>74</v>
      </c>
      <c r="D284" t="s">
        <v>74</v>
      </c>
      <c r="E284" t="s">
        <v>74</v>
      </c>
      <c r="F284" t="s">
        <v>5550</v>
      </c>
      <c r="G284" t="s">
        <v>74</v>
      </c>
      <c r="H284" t="s">
        <v>74</v>
      </c>
      <c r="I284" t="s">
        <v>5551</v>
      </c>
      <c r="J284" t="s">
        <v>2101</v>
      </c>
      <c r="K284" t="s">
        <v>74</v>
      </c>
      <c r="L284" t="s">
        <v>74</v>
      </c>
      <c r="M284" t="s">
        <v>78</v>
      </c>
      <c r="N284" t="s">
        <v>79</v>
      </c>
      <c r="O284" t="s">
        <v>74</v>
      </c>
      <c r="P284" t="s">
        <v>74</v>
      </c>
      <c r="Q284" t="s">
        <v>74</v>
      </c>
      <c r="R284" t="s">
        <v>74</v>
      </c>
      <c r="S284" t="s">
        <v>74</v>
      </c>
      <c r="T284" t="s">
        <v>5552</v>
      </c>
      <c r="U284" t="s">
        <v>5553</v>
      </c>
      <c r="V284" t="s">
        <v>5554</v>
      </c>
      <c r="W284" t="s">
        <v>5555</v>
      </c>
      <c r="X284" t="s">
        <v>5556</v>
      </c>
      <c r="Y284" t="s">
        <v>5557</v>
      </c>
      <c r="Z284" t="s">
        <v>5558</v>
      </c>
      <c r="AA284" t="s">
        <v>5559</v>
      </c>
      <c r="AB284" t="s">
        <v>5560</v>
      </c>
      <c r="AC284" t="s">
        <v>5561</v>
      </c>
      <c r="AD284" t="s">
        <v>5562</v>
      </c>
      <c r="AE284" t="s">
        <v>5563</v>
      </c>
      <c r="AF284" t="s">
        <v>74</v>
      </c>
      <c r="AG284">
        <v>608</v>
      </c>
      <c r="AH284">
        <v>45</v>
      </c>
      <c r="AI284">
        <v>54</v>
      </c>
      <c r="AJ284">
        <v>0</v>
      </c>
      <c r="AK284">
        <v>25</v>
      </c>
      <c r="AL284" t="s">
        <v>2112</v>
      </c>
      <c r="AM284" t="s">
        <v>2113</v>
      </c>
      <c r="AN284" t="s">
        <v>2114</v>
      </c>
      <c r="AO284" t="s">
        <v>2115</v>
      </c>
      <c r="AP284" t="s">
        <v>2116</v>
      </c>
      <c r="AQ284" t="s">
        <v>74</v>
      </c>
      <c r="AR284" t="s">
        <v>2101</v>
      </c>
      <c r="AS284" t="s">
        <v>2117</v>
      </c>
      <c r="AT284" t="s">
        <v>5564</v>
      </c>
      <c r="AU284">
        <v>2013</v>
      </c>
      <c r="AV284">
        <v>3667</v>
      </c>
      <c r="AW284">
        <v>1</v>
      </c>
      <c r="AX284" t="s">
        <v>74</v>
      </c>
      <c r="AY284" t="s">
        <v>74</v>
      </c>
      <c r="AZ284" t="s">
        <v>74</v>
      </c>
      <c r="BA284" t="s">
        <v>74</v>
      </c>
      <c r="BB284">
        <v>1</v>
      </c>
      <c r="BC284">
        <v>89</v>
      </c>
      <c r="BD284" t="s">
        <v>74</v>
      </c>
      <c r="BE284" t="s">
        <v>74</v>
      </c>
      <c r="BF284" t="s">
        <v>74</v>
      </c>
      <c r="BG284" t="s">
        <v>74</v>
      </c>
      <c r="BH284" t="s">
        <v>74</v>
      </c>
      <c r="BI284">
        <v>89</v>
      </c>
      <c r="BJ284" t="s">
        <v>2120</v>
      </c>
      <c r="BK284" t="s">
        <v>102</v>
      </c>
      <c r="BL284" t="s">
        <v>2120</v>
      </c>
      <c r="BM284" t="s">
        <v>5565</v>
      </c>
      <c r="BN284">
        <v>26079003</v>
      </c>
      <c r="BO284" t="s">
        <v>74</v>
      </c>
      <c r="BP284" t="s">
        <v>74</v>
      </c>
      <c r="BQ284" t="s">
        <v>74</v>
      </c>
      <c r="BR284" t="s">
        <v>105</v>
      </c>
      <c r="BS284" t="s">
        <v>5566</v>
      </c>
      <c r="BT284" t="str">
        <f>HYPERLINK("https%3A%2F%2Fwww.webofscience.com%2Fwos%2Fwoscc%2Ffull-record%2FWOS:000319871100001","View Full Record in Web of Science")</f>
        <v>View Full Record in Web of Science</v>
      </c>
    </row>
    <row r="285" spans="1:72" x14ac:dyDescent="0.15">
      <c r="A285" t="s">
        <v>72</v>
      </c>
      <c r="B285" t="s">
        <v>5567</v>
      </c>
      <c r="C285" t="s">
        <v>74</v>
      </c>
      <c r="D285" t="s">
        <v>74</v>
      </c>
      <c r="E285" t="s">
        <v>74</v>
      </c>
      <c r="F285" t="s">
        <v>5568</v>
      </c>
      <c r="G285" t="s">
        <v>74</v>
      </c>
      <c r="H285" t="s">
        <v>74</v>
      </c>
      <c r="I285" t="s">
        <v>5569</v>
      </c>
      <c r="J285" t="s">
        <v>5197</v>
      </c>
      <c r="K285" t="s">
        <v>74</v>
      </c>
      <c r="L285" t="s">
        <v>74</v>
      </c>
      <c r="M285" t="s">
        <v>78</v>
      </c>
      <c r="N285" t="s">
        <v>79</v>
      </c>
      <c r="O285" t="s">
        <v>74</v>
      </c>
      <c r="P285" t="s">
        <v>74</v>
      </c>
      <c r="Q285" t="s">
        <v>74</v>
      </c>
      <c r="R285" t="s">
        <v>74</v>
      </c>
      <c r="S285" t="s">
        <v>74</v>
      </c>
      <c r="T285" t="s">
        <v>74</v>
      </c>
      <c r="U285" t="s">
        <v>5570</v>
      </c>
      <c r="V285" t="s">
        <v>5571</v>
      </c>
      <c r="W285" t="s">
        <v>5572</v>
      </c>
      <c r="X285" t="s">
        <v>5573</v>
      </c>
      <c r="Y285" t="s">
        <v>5574</v>
      </c>
      <c r="Z285" t="s">
        <v>5575</v>
      </c>
      <c r="AA285" t="s">
        <v>5576</v>
      </c>
      <c r="AB285" t="s">
        <v>5577</v>
      </c>
      <c r="AC285" t="s">
        <v>5578</v>
      </c>
      <c r="AD285" t="s">
        <v>5579</v>
      </c>
      <c r="AE285" t="s">
        <v>5580</v>
      </c>
      <c r="AF285" t="s">
        <v>74</v>
      </c>
      <c r="AG285">
        <v>77</v>
      </c>
      <c r="AH285">
        <v>37</v>
      </c>
      <c r="AI285">
        <v>38</v>
      </c>
      <c r="AJ285">
        <v>1</v>
      </c>
      <c r="AK285">
        <v>102</v>
      </c>
      <c r="AL285" t="s">
        <v>5020</v>
      </c>
      <c r="AM285" t="s">
        <v>93</v>
      </c>
      <c r="AN285" t="s">
        <v>5021</v>
      </c>
      <c r="AO285" t="s">
        <v>5209</v>
      </c>
      <c r="AP285" t="s">
        <v>5210</v>
      </c>
      <c r="AQ285" t="s">
        <v>74</v>
      </c>
      <c r="AR285" t="s">
        <v>5211</v>
      </c>
      <c r="AS285" t="s">
        <v>5212</v>
      </c>
      <c r="AT285" t="s">
        <v>5581</v>
      </c>
      <c r="AU285">
        <v>2013</v>
      </c>
      <c r="AV285">
        <v>47</v>
      </c>
      <c r="AW285">
        <v>11</v>
      </c>
      <c r="AX285" t="s">
        <v>74</v>
      </c>
      <c r="AY285" t="s">
        <v>74</v>
      </c>
      <c r="AZ285" t="s">
        <v>74</v>
      </c>
      <c r="BA285" t="s">
        <v>74</v>
      </c>
      <c r="BB285">
        <v>5643</v>
      </c>
      <c r="BC285">
        <v>5651</v>
      </c>
      <c r="BD285" t="s">
        <v>74</v>
      </c>
      <c r="BE285" t="s">
        <v>5582</v>
      </c>
      <c r="BF285" t="str">
        <f>HYPERLINK("http://dx.doi.org/10.1021/es303553h","http://dx.doi.org/10.1021/es303553h")</f>
        <v>http://dx.doi.org/10.1021/es303553h</v>
      </c>
      <c r="BG285" t="s">
        <v>74</v>
      </c>
      <c r="BH285" t="s">
        <v>74</v>
      </c>
      <c r="BI285">
        <v>9</v>
      </c>
      <c r="BJ285" t="s">
        <v>5215</v>
      </c>
      <c r="BK285" t="s">
        <v>102</v>
      </c>
      <c r="BL285" t="s">
        <v>5216</v>
      </c>
      <c r="BM285" t="s">
        <v>5583</v>
      </c>
      <c r="BN285">
        <v>23594357</v>
      </c>
      <c r="BO285" t="s">
        <v>1014</v>
      </c>
      <c r="BP285" t="s">
        <v>74</v>
      </c>
      <c r="BQ285" t="s">
        <v>74</v>
      </c>
      <c r="BR285" t="s">
        <v>105</v>
      </c>
      <c r="BS285" t="s">
        <v>5584</v>
      </c>
      <c r="BT285" t="str">
        <f>HYPERLINK("https%3A%2F%2Fwww.webofscience.com%2Fwos%2Fwoscc%2Ffull-record%2FWOS:000320097400019","View Full Record in Web of Science")</f>
        <v>View Full Record in Web of Science</v>
      </c>
    </row>
    <row r="286" spans="1:72" x14ac:dyDescent="0.15">
      <c r="A286" t="s">
        <v>72</v>
      </c>
      <c r="B286" t="s">
        <v>5585</v>
      </c>
      <c r="C286" t="s">
        <v>74</v>
      </c>
      <c r="D286" t="s">
        <v>74</v>
      </c>
      <c r="E286" t="s">
        <v>74</v>
      </c>
      <c r="F286" t="s">
        <v>5586</v>
      </c>
      <c r="G286" t="s">
        <v>74</v>
      </c>
      <c r="H286" t="s">
        <v>74</v>
      </c>
      <c r="I286" t="s">
        <v>5587</v>
      </c>
      <c r="J286" t="s">
        <v>5197</v>
      </c>
      <c r="K286" t="s">
        <v>74</v>
      </c>
      <c r="L286" t="s">
        <v>74</v>
      </c>
      <c r="M286" t="s">
        <v>78</v>
      </c>
      <c r="N286" t="s">
        <v>79</v>
      </c>
      <c r="O286" t="s">
        <v>74</v>
      </c>
      <c r="P286" t="s">
        <v>74</v>
      </c>
      <c r="Q286" t="s">
        <v>74</v>
      </c>
      <c r="R286" t="s">
        <v>74</v>
      </c>
      <c r="S286" t="s">
        <v>74</v>
      </c>
      <c r="T286" t="s">
        <v>74</v>
      </c>
      <c r="U286" t="s">
        <v>5588</v>
      </c>
      <c r="V286" t="s">
        <v>5589</v>
      </c>
      <c r="W286" t="s">
        <v>5590</v>
      </c>
      <c r="X286" t="s">
        <v>5591</v>
      </c>
      <c r="Y286" t="s">
        <v>5592</v>
      </c>
      <c r="Z286" t="s">
        <v>5593</v>
      </c>
      <c r="AA286" t="s">
        <v>5594</v>
      </c>
      <c r="AB286" t="s">
        <v>5595</v>
      </c>
      <c r="AC286" t="s">
        <v>5596</v>
      </c>
      <c r="AD286" t="s">
        <v>5597</v>
      </c>
      <c r="AE286" t="s">
        <v>5598</v>
      </c>
      <c r="AF286" t="s">
        <v>74</v>
      </c>
      <c r="AG286">
        <v>77</v>
      </c>
      <c r="AH286">
        <v>64</v>
      </c>
      <c r="AI286">
        <v>69</v>
      </c>
      <c r="AJ286">
        <v>4</v>
      </c>
      <c r="AK286">
        <v>121</v>
      </c>
      <c r="AL286" t="s">
        <v>5020</v>
      </c>
      <c r="AM286" t="s">
        <v>93</v>
      </c>
      <c r="AN286" t="s">
        <v>5021</v>
      </c>
      <c r="AO286" t="s">
        <v>5209</v>
      </c>
      <c r="AP286" t="s">
        <v>5210</v>
      </c>
      <c r="AQ286" t="s">
        <v>74</v>
      </c>
      <c r="AR286" t="s">
        <v>5211</v>
      </c>
      <c r="AS286" t="s">
        <v>5212</v>
      </c>
      <c r="AT286" t="s">
        <v>5581</v>
      </c>
      <c r="AU286">
        <v>2013</v>
      </c>
      <c r="AV286">
        <v>47</v>
      </c>
      <c r="AW286">
        <v>11</v>
      </c>
      <c r="AX286" t="s">
        <v>74</v>
      </c>
      <c r="AY286" t="s">
        <v>74</v>
      </c>
      <c r="AZ286" t="s">
        <v>74</v>
      </c>
      <c r="BA286" t="s">
        <v>74</v>
      </c>
      <c r="BB286">
        <v>5578</v>
      </c>
      <c r="BC286">
        <v>5587</v>
      </c>
      <c r="BD286" t="s">
        <v>74</v>
      </c>
      <c r="BE286" t="s">
        <v>5599</v>
      </c>
      <c r="BF286" t="str">
        <f>HYPERLINK("http://dx.doi.org/10.1021/es400030q","http://dx.doi.org/10.1021/es400030q")</f>
        <v>http://dx.doi.org/10.1021/es400030q</v>
      </c>
      <c r="BG286" t="s">
        <v>74</v>
      </c>
      <c r="BH286" t="s">
        <v>74</v>
      </c>
      <c r="BI286">
        <v>10</v>
      </c>
      <c r="BJ286" t="s">
        <v>5215</v>
      </c>
      <c r="BK286" t="s">
        <v>102</v>
      </c>
      <c r="BL286" t="s">
        <v>5216</v>
      </c>
      <c r="BM286" t="s">
        <v>5583</v>
      </c>
      <c r="BN286">
        <v>23627767</v>
      </c>
      <c r="BO286" t="s">
        <v>74</v>
      </c>
      <c r="BP286" t="s">
        <v>74</v>
      </c>
      <c r="BQ286" t="s">
        <v>74</v>
      </c>
      <c r="BR286" t="s">
        <v>105</v>
      </c>
      <c r="BS286" t="s">
        <v>5600</v>
      </c>
      <c r="BT286" t="str">
        <f>HYPERLINK("https%3A%2F%2Fwww.webofscience.com%2Fwos%2Fwoscc%2Ffull-record%2FWOS:000320097400011","View Full Record in Web of Science")</f>
        <v>View Full Record in Web of Science</v>
      </c>
    </row>
    <row r="287" spans="1:72" x14ac:dyDescent="0.15">
      <c r="A287" t="s">
        <v>72</v>
      </c>
      <c r="B287" t="s">
        <v>5601</v>
      </c>
      <c r="C287" t="s">
        <v>74</v>
      </c>
      <c r="D287" t="s">
        <v>74</v>
      </c>
      <c r="E287" t="s">
        <v>74</v>
      </c>
      <c r="F287" t="s">
        <v>5602</v>
      </c>
      <c r="G287" t="s">
        <v>74</v>
      </c>
      <c r="H287" t="s">
        <v>74</v>
      </c>
      <c r="I287" t="s">
        <v>5603</v>
      </c>
      <c r="J287" t="s">
        <v>5604</v>
      </c>
      <c r="K287" t="s">
        <v>74</v>
      </c>
      <c r="L287" t="s">
        <v>74</v>
      </c>
      <c r="M287" t="s">
        <v>78</v>
      </c>
      <c r="N287" t="s">
        <v>79</v>
      </c>
      <c r="O287" t="s">
        <v>74</v>
      </c>
      <c r="P287" t="s">
        <v>74</v>
      </c>
      <c r="Q287" t="s">
        <v>74</v>
      </c>
      <c r="R287" t="s">
        <v>74</v>
      </c>
      <c r="S287" t="s">
        <v>74</v>
      </c>
      <c r="T287" t="s">
        <v>5605</v>
      </c>
      <c r="U287" t="s">
        <v>5606</v>
      </c>
      <c r="V287" t="s">
        <v>5607</v>
      </c>
      <c r="W287" t="s">
        <v>5608</v>
      </c>
      <c r="X287" t="s">
        <v>5609</v>
      </c>
      <c r="Y287" t="s">
        <v>5610</v>
      </c>
      <c r="Z287" t="s">
        <v>5611</v>
      </c>
      <c r="AA287" t="s">
        <v>5612</v>
      </c>
      <c r="AB287" t="s">
        <v>74</v>
      </c>
      <c r="AC287" t="s">
        <v>5613</v>
      </c>
      <c r="AD287" t="s">
        <v>5614</v>
      </c>
      <c r="AE287" t="s">
        <v>5615</v>
      </c>
      <c r="AF287" t="s">
        <v>74</v>
      </c>
      <c r="AG287">
        <v>59</v>
      </c>
      <c r="AH287">
        <v>34</v>
      </c>
      <c r="AI287">
        <v>35</v>
      </c>
      <c r="AJ287">
        <v>6</v>
      </c>
      <c r="AK287">
        <v>41</v>
      </c>
      <c r="AL287" t="s">
        <v>195</v>
      </c>
      <c r="AM287" t="s">
        <v>155</v>
      </c>
      <c r="AN287" t="s">
        <v>196</v>
      </c>
      <c r="AO287" t="s">
        <v>5616</v>
      </c>
      <c r="AP287" t="s">
        <v>5617</v>
      </c>
      <c r="AQ287" t="s">
        <v>74</v>
      </c>
      <c r="AR287" t="s">
        <v>5604</v>
      </c>
      <c r="AS287" t="s">
        <v>5618</v>
      </c>
      <c r="AT287" t="s">
        <v>5619</v>
      </c>
      <c r="AU287">
        <v>2013</v>
      </c>
      <c r="AV287">
        <v>318</v>
      </c>
      <c r="AW287" t="s">
        <v>74</v>
      </c>
      <c r="AX287" t="s">
        <v>74</v>
      </c>
      <c r="AY287" t="s">
        <v>74</v>
      </c>
      <c r="AZ287" t="s">
        <v>74</v>
      </c>
      <c r="BA287" t="s">
        <v>74</v>
      </c>
      <c r="BB287">
        <v>64</v>
      </c>
      <c r="BC287">
        <v>71</v>
      </c>
      <c r="BD287" t="s">
        <v>74</v>
      </c>
      <c r="BE287" t="s">
        <v>5620</v>
      </c>
      <c r="BF287" t="str">
        <f>HYPERLINK("http://dx.doi.org/10.1016/j.desal.2013.03.017","http://dx.doi.org/10.1016/j.desal.2013.03.017")</f>
        <v>http://dx.doi.org/10.1016/j.desal.2013.03.017</v>
      </c>
      <c r="BG287" t="s">
        <v>74</v>
      </c>
      <c r="BH287" t="s">
        <v>74</v>
      </c>
      <c r="BI287">
        <v>8</v>
      </c>
      <c r="BJ287" t="s">
        <v>5621</v>
      </c>
      <c r="BK287" t="s">
        <v>102</v>
      </c>
      <c r="BL287" t="s">
        <v>5622</v>
      </c>
      <c r="BM287" t="s">
        <v>5623</v>
      </c>
      <c r="BN287" t="s">
        <v>74</v>
      </c>
      <c r="BO287" t="s">
        <v>74</v>
      </c>
      <c r="BP287" t="s">
        <v>74</v>
      </c>
      <c r="BQ287" t="s">
        <v>74</v>
      </c>
      <c r="BR287" t="s">
        <v>105</v>
      </c>
      <c r="BS287" t="s">
        <v>5624</v>
      </c>
      <c r="BT287" t="str">
        <f>HYPERLINK("https%3A%2F%2Fwww.webofscience.com%2Fwos%2Fwoscc%2Ffull-record%2FWOS:000319646600008","View Full Record in Web of Science")</f>
        <v>View Full Record in Web of Science</v>
      </c>
    </row>
    <row r="288" spans="1:72" x14ac:dyDescent="0.15">
      <c r="A288" t="s">
        <v>72</v>
      </c>
      <c r="B288" t="s">
        <v>5625</v>
      </c>
      <c r="C288" t="s">
        <v>74</v>
      </c>
      <c r="D288" t="s">
        <v>74</v>
      </c>
      <c r="E288" t="s">
        <v>74</v>
      </c>
      <c r="F288" t="s">
        <v>5626</v>
      </c>
      <c r="G288" t="s">
        <v>74</v>
      </c>
      <c r="H288" t="s">
        <v>74</v>
      </c>
      <c r="I288" t="s">
        <v>5627</v>
      </c>
      <c r="J288" t="s">
        <v>5628</v>
      </c>
      <c r="K288" t="s">
        <v>74</v>
      </c>
      <c r="L288" t="s">
        <v>74</v>
      </c>
      <c r="M288" t="s">
        <v>78</v>
      </c>
      <c r="N288" t="s">
        <v>79</v>
      </c>
      <c r="O288" t="s">
        <v>74</v>
      </c>
      <c r="P288" t="s">
        <v>74</v>
      </c>
      <c r="Q288" t="s">
        <v>74</v>
      </c>
      <c r="R288" t="s">
        <v>74</v>
      </c>
      <c r="S288" t="s">
        <v>74</v>
      </c>
      <c r="T288" t="s">
        <v>5629</v>
      </c>
      <c r="U288" t="s">
        <v>5630</v>
      </c>
      <c r="V288" t="s">
        <v>5631</v>
      </c>
      <c r="W288" t="s">
        <v>5632</v>
      </c>
      <c r="X288" t="s">
        <v>5633</v>
      </c>
      <c r="Y288" t="s">
        <v>5634</v>
      </c>
      <c r="Z288" t="s">
        <v>5635</v>
      </c>
      <c r="AA288" t="s">
        <v>74</v>
      </c>
      <c r="AB288" t="s">
        <v>74</v>
      </c>
      <c r="AC288" t="s">
        <v>74</v>
      </c>
      <c r="AD288" t="s">
        <v>74</v>
      </c>
      <c r="AE288" t="s">
        <v>74</v>
      </c>
      <c r="AF288" t="s">
        <v>74</v>
      </c>
      <c r="AG288">
        <v>443</v>
      </c>
      <c r="AH288">
        <v>16</v>
      </c>
      <c r="AI288">
        <v>20</v>
      </c>
      <c r="AJ288">
        <v>1</v>
      </c>
      <c r="AK288">
        <v>65</v>
      </c>
      <c r="AL288" t="s">
        <v>5636</v>
      </c>
      <c r="AM288" t="s">
        <v>5637</v>
      </c>
      <c r="AN288" t="s">
        <v>5638</v>
      </c>
      <c r="AO288" t="s">
        <v>5639</v>
      </c>
      <c r="AP288" t="s">
        <v>5640</v>
      </c>
      <c r="AQ288" t="s">
        <v>74</v>
      </c>
      <c r="AR288" t="s">
        <v>5628</v>
      </c>
      <c r="AS288" t="s">
        <v>5641</v>
      </c>
      <c r="AT288" t="s">
        <v>5642</v>
      </c>
      <c r="AU288">
        <v>2013</v>
      </c>
      <c r="AV288">
        <v>26</v>
      </c>
      <c r="AW288">
        <v>3</v>
      </c>
      <c r="AX288" t="s">
        <v>74</v>
      </c>
      <c r="AY288" t="s">
        <v>74</v>
      </c>
      <c r="AZ288" t="s">
        <v>74</v>
      </c>
      <c r="BA288" t="s">
        <v>74</v>
      </c>
      <c r="BB288">
        <v>415</v>
      </c>
      <c r="BC288">
        <v>458</v>
      </c>
      <c r="BD288" t="s">
        <v>74</v>
      </c>
      <c r="BE288" t="s">
        <v>5643</v>
      </c>
      <c r="BF288" t="str">
        <f>HYPERLINK("http://dx.doi.org/10.1016/S0187-6236(13)71086-5","http://dx.doi.org/10.1016/S0187-6236(13)71086-5")</f>
        <v>http://dx.doi.org/10.1016/S0187-6236(13)71086-5</v>
      </c>
      <c r="BG288" t="s">
        <v>74</v>
      </c>
      <c r="BH288" t="s">
        <v>74</v>
      </c>
      <c r="BI288">
        <v>44</v>
      </c>
      <c r="BJ288" t="s">
        <v>305</v>
      </c>
      <c r="BK288" t="s">
        <v>102</v>
      </c>
      <c r="BL288" t="s">
        <v>305</v>
      </c>
      <c r="BM288" t="s">
        <v>5644</v>
      </c>
      <c r="BN288" t="s">
        <v>74</v>
      </c>
      <c r="BO288" t="s">
        <v>248</v>
      </c>
      <c r="BP288" t="s">
        <v>74</v>
      </c>
      <c r="BQ288" t="s">
        <v>74</v>
      </c>
      <c r="BR288" t="s">
        <v>105</v>
      </c>
      <c r="BS288" t="s">
        <v>5645</v>
      </c>
      <c r="BT288" t="str">
        <f>HYPERLINK("https%3A%2F%2Fwww.webofscience.com%2Fwos%2Fwoscc%2Ffull-record%2FWOS:000328266300010","View Full Record in Web of Science")</f>
        <v>View Full Record in Web of Science</v>
      </c>
    </row>
    <row r="289" spans="1:72" x14ac:dyDescent="0.15">
      <c r="A289" t="s">
        <v>72</v>
      </c>
      <c r="B289" t="s">
        <v>5646</v>
      </c>
      <c r="C289" t="s">
        <v>74</v>
      </c>
      <c r="D289" t="s">
        <v>74</v>
      </c>
      <c r="E289" t="s">
        <v>74</v>
      </c>
      <c r="F289" t="s">
        <v>5647</v>
      </c>
      <c r="G289" t="s">
        <v>74</v>
      </c>
      <c r="H289" t="s">
        <v>74</v>
      </c>
      <c r="I289" t="s">
        <v>5648</v>
      </c>
      <c r="J289" t="s">
        <v>5649</v>
      </c>
      <c r="K289" t="s">
        <v>74</v>
      </c>
      <c r="L289" t="s">
        <v>74</v>
      </c>
      <c r="M289" t="s">
        <v>78</v>
      </c>
      <c r="N289" t="s">
        <v>79</v>
      </c>
      <c r="O289" t="s">
        <v>74</v>
      </c>
      <c r="P289" t="s">
        <v>74</v>
      </c>
      <c r="Q289" t="s">
        <v>74</v>
      </c>
      <c r="R289" t="s">
        <v>74</v>
      </c>
      <c r="S289" t="s">
        <v>74</v>
      </c>
      <c r="T289" t="s">
        <v>5650</v>
      </c>
      <c r="U289" t="s">
        <v>5651</v>
      </c>
      <c r="V289" t="s">
        <v>5652</v>
      </c>
      <c r="W289" t="s">
        <v>5653</v>
      </c>
      <c r="X289" t="s">
        <v>5654</v>
      </c>
      <c r="Y289" t="s">
        <v>5655</v>
      </c>
      <c r="Z289" t="s">
        <v>74</v>
      </c>
      <c r="AA289" t="s">
        <v>5656</v>
      </c>
      <c r="AB289" t="s">
        <v>5657</v>
      </c>
      <c r="AC289" t="s">
        <v>74</v>
      </c>
      <c r="AD289" t="s">
        <v>74</v>
      </c>
      <c r="AE289" t="s">
        <v>74</v>
      </c>
      <c r="AF289" t="s">
        <v>74</v>
      </c>
      <c r="AG289">
        <v>46</v>
      </c>
      <c r="AH289">
        <v>6</v>
      </c>
      <c r="AI289">
        <v>6</v>
      </c>
      <c r="AJ289">
        <v>0</v>
      </c>
      <c r="AK289">
        <v>9</v>
      </c>
      <c r="AL289" t="s">
        <v>5658</v>
      </c>
      <c r="AM289" t="s">
        <v>5659</v>
      </c>
      <c r="AN289" t="s">
        <v>5660</v>
      </c>
      <c r="AO289" t="s">
        <v>5661</v>
      </c>
      <c r="AP289" t="s">
        <v>5662</v>
      </c>
      <c r="AQ289" t="s">
        <v>74</v>
      </c>
      <c r="AR289" t="s">
        <v>5663</v>
      </c>
      <c r="AS289" t="s">
        <v>5664</v>
      </c>
      <c r="AT289" t="s">
        <v>5642</v>
      </c>
      <c r="AU289">
        <v>2013</v>
      </c>
      <c r="AV289">
        <v>17</v>
      </c>
      <c r="AW289">
        <v>1</v>
      </c>
      <c r="AX289" t="s">
        <v>74</v>
      </c>
      <c r="AY289" t="s">
        <v>74</v>
      </c>
      <c r="AZ289" t="s">
        <v>74</v>
      </c>
      <c r="BA289" t="s">
        <v>74</v>
      </c>
      <c r="BB289">
        <v>7</v>
      </c>
      <c r="BC289">
        <v>12</v>
      </c>
      <c r="BD289" t="s">
        <v>74</v>
      </c>
      <c r="BE289" t="s">
        <v>74</v>
      </c>
      <c r="BF289" t="s">
        <v>74</v>
      </c>
      <c r="BG289" t="s">
        <v>74</v>
      </c>
      <c r="BH289" t="s">
        <v>74</v>
      </c>
      <c r="BI289">
        <v>6</v>
      </c>
      <c r="BJ289" t="s">
        <v>1426</v>
      </c>
      <c r="BK289" t="s">
        <v>102</v>
      </c>
      <c r="BL289" t="s">
        <v>219</v>
      </c>
      <c r="BM289" t="s">
        <v>5665</v>
      </c>
      <c r="BN289" t="s">
        <v>74</v>
      </c>
      <c r="BO289" t="s">
        <v>74</v>
      </c>
      <c r="BP289" t="s">
        <v>74</v>
      </c>
      <c r="BQ289" t="s">
        <v>74</v>
      </c>
      <c r="BR289" t="s">
        <v>105</v>
      </c>
      <c r="BS289" t="s">
        <v>5666</v>
      </c>
      <c r="BT289" t="str">
        <f>HYPERLINK("https%3A%2F%2Fwww.webofscience.com%2Fwos%2Fwoscc%2Ffull-record%2FWOS:000328580100002","View Full Record in Web of Science")</f>
        <v>View Full Record in Web of Science</v>
      </c>
    </row>
    <row r="290" spans="1:72" x14ac:dyDescent="0.15">
      <c r="A290" t="s">
        <v>72</v>
      </c>
      <c r="B290" t="s">
        <v>5667</v>
      </c>
      <c r="C290" t="s">
        <v>74</v>
      </c>
      <c r="D290" t="s">
        <v>74</v>
      </c>
      <c r="E290" t="s">
        <v>74</v>
      </c>
      <c r="F290" t="s">
        <v>5668</v>
      </c>
      <c r="G290" t="s">
        <v>74</v>
      </c>
      <c r="H290" t="s">
        <v>74</v>
      </c>
      <c r="I290" t="s">
        <v>5669</v>
      </c>
      <c r="J290" t="s">
        <v>5670</v>
      </c>
      <c r="K290" t="s">
        <v>74</v>
      </c>
      <c r="L290" t="s">
        <v>74</v>
      </c>
      <c r="M290" t="s">
        <v>78</v>
      </c>
      <c r="N290" t="s">
        <v>79</v>
      </c>
      <c r="O290" t="s">
        <v>74</v>
      </c>
      <c r="P290" t="s">
        <v>74</v>
      </c>
      <c r="Q290" t="s">
        <v>74</v>
      </c>
      <c r="R290" t="s">
        <v>74</v>
      </c>
      <c r="S290" t="s">
        <v>74</v>
      </c>
      <c r="T290" t="s">
        <v>74</v>
      </c>
      <c r="U290" t="s">
        <v>5671</v>
      </c>
      <c r="V290" t="s">
        <v>5672</v>
      </c>
      <c r="W290" t="s">
        <v>5673</v>
      </c>
      <c r="X290" t="s">
        <v>2692</v>
      </c>
      <c r="Y290" t="s">
        <v>5674</v>
      </c>
      <c r="Z290" t="s">
        <v>5675</v>
      </c>
      <c r="AA290" t="s">
        <v>74</v>
      </c>
      <c r="AB290" t="s">
        <v>74</v>
      </c>
      <c r="AC290" t="s">
        <v>5676</v>
      </c>
      <c r="AD290" t="s">
        <v>5677</v>
      </c>
      <c r="AE290" t="s">
        <v>5678</v>
      </c>
      <c r="AF290" t="s">
        <v>74</v>
      </c>
      <c r="AG290">
        <v>17</v>
      </c>
      <c r="AH290">
        <v>86</v>
      </c>
      <c r="AI290">
        <v>92</v>
      </c>
      <c r="AJ290">
        <v>1</v>
      </c>
      <c r="AK290">
        <v>26</v>
      </c>
      <c r="AL290" t="s">
        <v>5679</v>
      </c>
      <c r="AM290" t="s">
        <v>5680</v>
      </c>
      <c r="AN290" t="s">
        <v>5681</v>
      </c>
      <c r="AO290" t="s">
        <v>5682</v>
      </c>
      <c r="AP290" t="s">
        <v>74</v>
      </c>
      <c r="AQ290" t="s">
        <v>74</v>
      </c>
      <c r="AR290" t="s">
        <v>5670</v>
      </c>
      <c r="AS290" t="s">
        <v>327</v>
      </c>
      <c r="AT290" t="s">
        <v>5642</v>
      </c>
      <c r="AU290">
        <v>2013</v>
      </c>
      <c r="AV290">
        <v>26</v>
      </c>
      <c r="AW290">
        <v>2</v>
      </c>
      <c r="AX290" t="s">
        <v>74</v>
      </c>
      <c r="AY290" t="s">
        <v>74</v>
      </c>
      <c r="AZ290" t="s">
        <v>935</v>
      </c>
      <c r="BA290" t="s">
        <v>74</v>
      </c>
      <c r="BB290">
        <v>100</v>
      </c>
      <c r="BC290">
        <v>111</v>
      </c>
      <c r="BD290" t="s">
        <v>74</v>
      </c>
      <c r="BE290" t="s">
        <v>74</v>
      </c>
      <c r="BF290" t="s">
        <v>74</v>
      </c>
      <c r="BG290" t="s">
        <v>74</v>
      </c>
      <c r="BH290" t="s">
        <v>74</v>
      </c>
      <c r="BI290">
        <v>12</v>
      </c>
      <c r="BJ290" t="s">
        <v>327</v>
      </c>
      <c r="BK290" t="s">
        <v>102</v>
      </c>
      <c r="BL290" t="s">
        <v>327</v>
      </c>
      <c r="BM290" t="s">
        <v>5683</v>
      </c>
      <c r="BN290" t="s">
        <v>74</v>
      </c>
      <c r="BO290" t="s">
        <v>74</v>
      </c>
      <c r="BP290" t="s">
        <v>74</v>
      </c>
      <c r="BQ290" t="s">
        <v>74</v>
      </c>
      <c r="BR290" t="s">
        <v>105</v>
      </c>
      <c r="BS290" t="s">
        <v>5684</v>
      </c>
      <c r="BT290" t="str">
        <f>HYPERLINK("https%3A%2F%2Fwww.webofscience.com%2Fwos%2Fwoscc%2Ffull-record%2FWOS:000326852800014","View Full Record in Web of Science")</f>
        <v>View Full Record in Web of Science</v>
      </c>
    </row>
    <row r="291" spans="1:72" x14ac:dyDescent="0.15">
      <c r="A291" t="s">
        <v>72</v>
      </c>
      <c r="B291" t="s">
        <v>5685</v>
      </c>
      <c r="C291" t="s">
        <v>74</v>
      </c>
      <c r="D291" t="s">
        <v>74</v>
      </c>
      <c r="E291" t="s">
        <v>74</v>
      </c>
      <c r="F291" t="s">
        <v>5686</v>
      </c>
      <c r="G291" t="s">
        <v>74</v>
      </c>
      <c r="H291" t="s">
        <v>74</v>
      </c>
      <c r="I291" t="s">
        <v>5687</v>
      </c>
      <c r="J291" t="s">
        <v>5688</v>
      </c>
      <c r="K291" t="s">
        <v>74</v>
      </c>
      <c r="L291" t="s">
        <v>74</v>
      </c>
      <c r="M291" t="s">
        <v>78</v>
      </c>
      <c r="N291" t="s">
        <v>79</v>
      </c>
      <c r="O291" t="s">
        <v>74</v>
      </c>
      <c r="P291" t="s">
        <v>74</v>
      </c>
      <c r="Q291" t="s">
        <v>74</v>
      </c>
      <c r="R291" t="s">
        <v>74</v>
      </c>
      <c r="S291" t="s">
        <v>74</v>
      </c>
      <c r="T291" t="s">
        <v>5689</v>
      </c>
      <c r="U291" t="s">
        <v>5690</v>
      </c>
      <c r="V291" t="s">
        <v>5691</v>
      </c>
      <c r="W291" t="s">
        <v>5692</v>
      </c>
      <c r="X291" t="s">
        <v>5693</v>
      </c>
      <c r="Y291" t="s">
        <v>5694</v>
      </c>
      <c r="Z291" t="s">
        <v>5695</v>
      </c>
      <c r="AA291" t="s">
        <v>74</v>
      </c>
      <c r="AB291" t="s">
        <v>74</v>
      </c>
      <c r="AC291" t="s">
        <v>5696</v>
      </c>
      <c r="AD291" t="s">
        <v>5697</v>
      </c>
      <c r="AE291" t="s">
        <v>5698</v>
      </c>
      <c r="AF291" t="s">
        <v>74</v>
      </c>
      <c r="AG291">
        <v>80</v>
      </c>
      <c r="AH291">
        <v>34</v>
      </c>
      <c r="AI291">
        <v>35</v>
      </c>
      <c r="AJ291">
        <v>0</v>
      </c>
      <c r="AK291">
        <v>18</v>
      </c>
      <c r="AL291" t="s">
        <v>92</v>
      </c>
      <c r="AM291" t="s">
        <v>93</v>
      </c>
      <c r="AN291" t="s">
        <v>94</v>
      </c>
      <c r="AO291" t="s">
        <v>5699</v>
      </c>
      <c r="AP291" t="s">
        <v>5700</v>
      </c>
      <c r="AQ291" t="s">
        <v>74</v>
      </c>
      <c r="AR291" t="s">
        <v>5701</v>
      </c>
      <c r="AS291" t="s">
        <v>5702</v>
      </c>
      <c r="AT291" t="s">
        <v>5642</v>
      </c>
      <c r="AU291">
        <v>2013</v>
      </c>
      <c r="AV291">
        <v>118</v>
      </c>
      <c r="AW291">
        <v>2</v>
      </c>
      <c r="AX291" t="s">
        <v>74</v>
      </c>
      <c r="AY291" t="s">
        <v>74</v>
      </c>
      <c r="AZ291" t="s">
        <v>74</v>
      </c>
      <c r="BA291" t="s">
        <v>74</v>
      </c>
      <c r="BB291">
        <v>461</v>
      </c>
      <c r="BC291">
        <v>479</v>
      </c>
      <c r="BD291" t="s">
        <v>74</v>
      </c>
      <c r="BE291" t="s">
        <v>5703</v>
      </c>
      <c r="BF291" t="str">
        <f>HYPERLINK("http://dx.doi.org/10.1002/jgrf.20007","http://dx.doi.org/10.1002/jgrf.20007")</f>
        <v>http://dx.doi.org/10.1002/jgrf.20007</v>
      </c>
      <c r="BG291" t="s">
        <v>74</v>
      </c>
      <c r="BH291" t="s">
        <v>74</v>
      </c>
      <c r="BI291">
        <v>19</v>
      </c>
      <c r="BJ291" t="s">
        <v>1426</v>
      </c>
      <c r="BK291" t="s">
        <v>102</v>
      </c>
      <c r="BL291" t="s">
        <v>219</v>
      </c>
      <c r="BM291" t="s">
        <v>5704</v>
      </c>
      <c r="BN291" t="s">
        <v>74</v>
      </c>
      <c r="BO291" t="s">
        <v>74</v>
      </c>
      <c r="BP291" t="s">
        <v>74</v>
      </c>
      <c r="BQ291" t="s">
        <v>74</v>
      </c>
      <c r="BR291" t="s">
        <v>105</v>
      </c>
      <c r="BS291" t="s">
        <v>5705</v>
      </c>
      <c r="BT291" t="str">
        <f>HYPERLINK("https%3A%2F%2Fwww.webofscience.com%2Fwos%2Fwoscc%2Ffull-record%2FWOS:000324993900009","View Full Record in Web of Science")</f>
        <v>View Full Record in Web of Science</v>
      </c>
    </row>
    <row r="292" spans="1:72" x14ac:dyDescent="0.15">
      <c r="A292" t="s">
        <v>72</v>
      </c>
      <c r="B292" t="s">
        <v>5706</v>
      </c>
      <c r="C292" t="s">
        <v>74</v>
      </c>
      <c r="D292" t="s">
        <v>74</v>
      </c>
      <c r="E292" t="s">
        <v>74</v>
      </c>
      <c r="F292" t="s">
        <v>5707</v>
      </c>
      <c r="G292" t="s">
        <v>74</v>
      </c>
      <c r="H292" t="s">
        <v>74</v>
      </c>
      <c r="I292" t="s">
        <v>5708</v>
      </c>
      <c r="J292" t="s">
        <v>1710</v>
      </c>
      <c r="K292" t="s">
        <v>74</v>
      </c>
      <c r="L292" t="s">
        <v>74</v>
      </c>
      <c r="M292" t="s">
        <v>78</v>
      </c>
      <c r="N292" t="s">
        <v>79</v>
      </c>
      <c r="O292" t="s">
        <v>74</v>
      </c>
      <c r="P292" t="s">
        <v>74</v>
      </c>
      <c r="Q292" t="s">
        <v>74</v>
      </c>
      <c r="R292" t="s">
        <v>74</v>
      </c>
      <c r="S292" t="s">
        <v>74</v>
      </c>
      <c r="T292" t="s">
        <v>5709</v>
      </c>
      <c r="U292" t="s">
        <v>5710</v>
      </c>
      <c r="V292" t="s">
        <v>5711</v>
      </c>
      <c r="W292" t="s">
        <v>5712</v>
      </c>
      <c r="X292" t="s">
        <v>5713</v>
      </c>
      <c r="Y292" t="s">
        <v>5714</v>
      </c>
      <c r="Z292" t="s">
        <v>5715</v>
      </c>
      <c r="AA292" t="s">
        <v>5716</v>
      </c>
      <c r="AB292" t="s">
        <v>5717</v>
      </c>
      <c r="AC292" t="s">
        <v>5718</v>
      </c>
      <c r="AD292" t="s">
        <v>5719</v>
      </c>
      <c r="AE292" t="s">
        <v>5720</v>
      </c>
      <c r="AF292" t="s">
        <v>74</v>
      </c>
      <c r="AG292">
        <v>88</v>
      </c>
      <c r="AH292">
        <v>180</v>
      </c>
      <c r="AI292">
        <v>201</v>
      </c>
      <c r="AJ292">
        <v>2</v>
      </c>
      <c r="AK292">
        <v>62</v>
      </c>
      <c r="AL292" t="s">
        <v>92</v>
      </c>
      <c r="AM292" t="s">
        <v>93</v>
      </c>
      <c r="AN292" t="s">
        <v>94</v>
      </c>
      <c r="AO292" t="s">
        <v>1723</v>
      </c>
      <c r="AP292" t="s">
        <v>1724</v>
      </c>
      <c r="AQ292" t="s">
        <v>74</v>
      </c>
      <c r="AR292" t="s">
        <v>1725</v>
      </c>
      <c r="AS292" t="s">
        <v>1726</v>
      </c>
      <c r="AT292" t="s">
        <v>5642</v>
      </c>
      <c r="AU292">
        <v>2013</v>
      </c>
      <c r="AV292">
        <v>118</v>
      </c>
      <c r="AW292">
        <v>6</v>
      </c>
      <c r="AX292" t="s">
        <v>74</v>
      </c>
      <c r="AY292" t="s">
        <v>74</v>
      </c>
      <c r="AZ292" t="s">
        <v>74</v>
      </c>
      <c r="BA292" t="s">
        <v>74</v>
      </c>
      <c r="BB292">
        <v>2992</v>
      </c>
      <c r="BC292">
        <v>3006</v>
      </c>
      <c r="BD292" t="s">
        <v>74</v>
      </c>
      <c r="BE292" t="s">
        <v>5721</v>
      </c>
      <c r="BF292" t="str">
        <f>HYPERLINK("http://dx.doi.org/10.1002/jgrc.20210","http://dx.doi.org/10.1002/jgrc.20210")</f>
        <v>http://dx.doi.org/10.1002/jgrc.20210</v>
      </c>
      <c r="BG292" t="s">
        <v>74</v>
      </c>
      <c r="BH292" t="s">
        <v>74</v>
      </c>
      <c r="BI292">
        <v>15</v>
      </c>
      <c r="BJ292" t="s">
        <v>327</v>
      </c>
      <c r="BK292" t="s">
        <v>102</v>
      </c>
      <c r="BL292" t="s">
        <v>327</v>
      </c>
      <c r="BM292" t="s">
        <v>5722</v>
      </c>
      <c r="BN292" t="s">
        <v>74</v>
      </c>
      <c r="BO292" t="s">
        <v>74</v>
      </c>
      <c r="BP292" t="s">
        <v>74</v>
      </c>
      <c r="BQ292" t="s">
        <v>74</v>
      </c>
      <c r="BR292" t="s">
        <v>105</v>
      </c>
      <c r="BS292" t="s">
        <v>5723</v>
      </c>
      <c r="BT292" t="str">
        <f>HYPERLINK("https%3A%2F%2Fwww.webofscience.com%2Fwos%2Fwoscc%2Ffull-record%2FWOS:000324885500017","View Full Record in Web of Science")</f>
        <v>View Full Record in Web of Science</v>
      </c>
    </row>
    <row r="293" spans="1:72" x14ac:dyDescent="0.15">
      <c r="A293" t="s">
        <v>72</v>
      </c>
      <c r="B293" t="s">
        <v>5724</v>
      </c>
      <c r="C293" t="s">
        <v>74</v>
      </c>
      <c r="D293" t="s">
        <v>74</v>
      </c>
      <c r="E293" t="s">
        <v>74</v>
      </c>
      <c r="F293" t="s">
        <v>5725</v>
      </c>
      <c r="G293" t="s">
        <v>74</v>
      </c>
      <c r="H293" t="s">
        <v>74</v>
      </c>
      <c r="I293" t="s">
        <v>5726</v>
      </c>
      <c r="J293" t="s">
        <v>1710</v>
      </c>
      <c r="K293" t="s">
        <v>74</v>
      </c>
      <c r="L293" t="s">
        <v>74</v>
      </c>
      <c r="M293" t="s">
        <v>78</v>
      </c>
      <c r="N293" t="s">
        <v>79</v>
      </c>
      <c r="O293" t="s">
        <v>74</v>
      </c>
      <c r="P293" t="s">
        <v>74</v>
      </c>
      <c r="Q293" t="s">
        <v>74</v>
      </c>
      <c r="R293" t="s">
        <v>74</v>
      </c>
      <c r="S293" t="s">
        <v>74</v>
      </c>
      <c r="T293" t="s">
        <v>5727</v>
      </c>
      <c r="U293" t="s">
        <v>5728</v>
      </c>
      <c r="V293" t="s">
        <v>5729</v>
      </c>
      <c r="W293" t="s">
        <v>5730</v>
      </c>
      <c r="X293" t="s">
        <v>5731</v>
      </c>
      <c r="Y293" t="s">
        <v>5732</v>
      </c>
      <c r="Z293" t="s">
        <v>5733</v>
      </c>
      <c r="AA293" t="s">
        <v>5734</v>
      </c>
      <c r="AB293" t="s">
        <v>5735</v>
      </c>
      <c r="AC293" t="s">
        <v>5736</v>
      </c>
      <c r="AD293" t="s">
        <v>5737</v>
      </c>
      <c r="AE293" t="s">
        <v>5738</v>
      </c>
      <c r="AF293" t="s">
        <v>74</v>
      </c>
      <c r="AG293">
        <v>46</v>
      </c>
      <c r="AH293">
        <v>13</v>
      </c>
      <c r="AI293">
        <v>14</v>
      </c>
      <c r="AJ293">
        <v>1</v>
      </c>
      <c r="AK293">
        <v>8</v>
      </c>
      <c r="AL293" t="s">
        <v>92</v>
      </c>
      <c r="AM293" t="s">
        <v>93</v>
      </c>
      <c r="AN293" t="s">
        <v>94</v>
      </c>
      <c r="AO293" t="s">
        <v>1723</v>
      </c>
      <c r="AP293" t="s">
        <v>1724</v>
      </c>
      <c r="AQ293" t="s">
        <v>74</v>
      </c>
      <c r="AR293" t="s">
        <v>1725</v>
      </c>
      <c r="AS293" t="s">
        <v>1726</v>
      </c>
      <c r="AT293" t="s">
        <v>5642</v>
      </c>
      <c r="AU293">
        <v>2013</v>
      </c>
      <c r="AV293">
        <v>118</v>
      </c>
      <c r="AW293">
        <v>6</v>
      </c>
      <c r="AX293" t="s">
        <v>74</v>
      </c>
      <c r="AY293" t="s">
        <v>74</v>
      </c>
      <c r="AZ293" t="s">
        <v>74</v>
      </c>
      <c r="BA293" t="s">
        <v>74</v>
      </c>
      <c r="BB293">
        <v>3046</v>
      </c>
      <c r="BC293">
        <v>3058</v>
      </c>
      <c r="BD293" t="s">
        <v>74</v>
      </c>
      <c r="BE293" t="s">
        <v>5739</v>
      </c>
      <c r="BF293" t="str">
        <f>HYPERLINK("http://dx.doi.org/10.1002/jgrc.20195","http://dx.doi.org/10.1002/jgrc.20195")</f>
        <v>http://dx.doi.org/10.1002/jgrc.20195</v>
      </c>
      <c r="BG293" t="s">
        <v>74</v>
      </c>
      <c r="BH293" t="s">
        <v>74</v>
      </c>
      <c r="BI293">
        <v>13</v>
      </c>
      <c r="BJ293" t="s">
        <v>327</v>
      </c>
      <c r="BK293" t="s">
        <v>102</v>
      </c>
      <c r="BL293" t="s">
        <v>327</v>
      </c>
      <c r="BM293" t="s">
        <v>5722</v>
      </c>
      <c r="BN293" t="s">
        <v>74</v>
      </c>
      <c r="BO293" t="s">
        <v>104</v>
      </c>
      <c r="BP293" t="s">
        <v>74</v>
      </c>
      <c r="BQ293" t="s">
        <v>74</v>
      </c>
      <c r="BR293" t="s">
        <v>105</v>
      </c>
      <c r="BS293" t="s">
        <v>5740</v>
      </c>
      <c r="BT293" t="str">
        <f>HYPERLINK("https%3A%2F%2Fwww.webofscience.com%2Fwos%2Fwoscc%2Ffull-record%2FWOS:000324885500020","View Full Record in Web of Science")</f>
        <v>View Full Record in Web of Science</v>
      </c>
    </row>
    <row r="294" spans="1:72" x14ac:dyDescent="0.15">
      <c r="A294" t="s">
        <v>72</v>
      </c>
      <c r="B294" t="s">
        <v>5741</v>
      </c>
      <c r="C294" t="s">
        <v>74</v>
      </c>
      <c r="D294" t="s">
        <v>74</v>
      </c>
      <c r="E294" t="s">
        <v>74</v>
      </c>
      <c r="F294" t="s">
        <v>5742</v>
      </c>
      <c r="G294" t="s">
        <v>74</v>
      </c>
      <c r="H294" t="s">
        <v>74</v>
      </c>
      <c r="I294" t="s">
        <v>5743</v>
      </c>
      <c r="J294" t="s">
        <v>1710</v>
      </c>
      <c r="K294" t="s">
        <v>74</v>
      </c>
      <c r="L294" t="s">
        <v>74</v>
      </c>
      <c r="M294" t="s">
        <v>78</v>
      </c>
      <c r="N294" t="s">
        <v>79</v>
      </c>
      <c r="O294" t="s">
        <v>74</v>
      </c>
      <c r="P294" t="s">
        <v>74</v>
      </c>
      <c r="Q294" t="s">
        <v>74</v>
      </c>
      <c r="R294" t="s">
        <v>74</v>
      </c>
      <c r="S294" t="s">
        <v>74</v>
      </c>
      <c r="T294" t="s">
        <v>5744</v>
      </c>
      <c r="U294" t="s">
        <v>5745</v>
      </c>
      <c r="V294" t="s">
        <v>5746</v>
      </c>
      <c r="W294" t="s">
        <v>5747</v>
      </c>
      <c r="X294" t="s">
        <v>5748</v>
      </c>
      <c r="Y294" t="s">
        <v>5749</v>
      </c>
      <c r="Z294" t="s">
        <v>5750</v>
      </c>
      <c r="AA294" t="s">
        <v>5751</v>
      </c>
      <c r="AB294" t="s">
        <v>74</v>
      </c>
      <c r="AC294" t="s">
        <v>5752</v>
      </c>
      <c r="AD294" t="s">
        <v>5753</v>
      </c>
      <c r="AE294" t="s">
        <v>5754</v>
      </c>
      <c r="AF294" t="s">
        <v>74</v>
      </c>
      <c r="AG294">
        <v>27</v>
      </c>
      <c r="AH294">
        <v>32</v>
      </c>
      <c r="AI294">
        <v>35</v>
      </c>
      <c r="AJ294">
        <v>0</v>
      </c>
      <c r="AK294">
        <v>14</v>
      </c>
      <c r="AL294" t="s">
        <v>92</v>
      </c>
      <c r="AM294" t="s">
        <v>93</v>
      </c>
      <c r="AN294" t="s">
        <v>94</v>
      </c>
      <c r="AO294" t="s">
        <v>74</v>
      </c>
      <c r="AP294" t="s">
        <v>1724</v>
      </c>
      <c r="AQ294" t="s">
        <v>74</v>
      </c>
      <c r="AR294" t="s">
        <v>1725</v>
      </c>
      <c r="AS294" t="s">
        <v>1726</v>
      </c>
      <c r="AT294" t="s">
        <v>5642</v>
      </c>
      <c r="AU294">
        <v>2013</v>
      </c>
      <c r="AV294">
        <v>118</v>
      </c>
      <c r="AW294">
        <v>6</v>
      </c>
      <c r="AX294" t="s">
        <v>74</v>
      </c>
      <c r="AY294" t="s">
        <v>74</v>
      </c>
      <c r="AZ294" t="s">
        <v>74</v>
      </c>
      <c r="BA294" t="s">
        <v>74</v>
      </c>
      <c r="BB294">
        <v>3138</v>
      </c>
      <c r="BC294">
        <v>3145</v>
      </c>
      <c r="BD294" t="s">
        <v>74</v>
      </c>
      <c r="BE294" t="s">
        <v>5755</v>
      </c>
      <c r="BF294" t="str">
        <f>HYPERLINK("http://dx.doi.org/10.1002/jgrc.20236","http://dx.doi.org/10.1002/jgrc.20236")</f>
        <v>http://dx.doi.org/10.1002/jgrc.20236</v>
      </c>
      <c r="BG294" t="s">
        <v>74</v>
      </c>
      <c r="BH294" t="s">
        <v>74</v>
      </c>
      <c r="BI294">
        <v>8</v>
      </c>
      <c r="BJ294" t="s">
        <v>327</v>
      </c>
      <c r="BK294" t="s">
        <v>102</v>
      </c>
      <c r="BL294" t="s">
        <v>327</v>
      </c>
      <c r="BM294" t="s">
        <v>5722</v>
      </c>
      <c r="BN294" t="s">
        <v>74</v>
      </c>
      <c r="BO294" t="s">
        <v>74</v>
      </c>
      <c r="BP294" t="s">
        <v>74</v>
      </c>
      <c r="BQ294" t="s">
        <v>74</v>
      </c>
      <c r="BR294" t="s">
        <v>105</v>
      </c>
      <c r="BS294" t="s">
        <v>5756</v>
      </c>
      <c r="BT294" t="str">
        <f>HYPERLINK("https%3A%2F%2Fwww.webofscience.com%2Fwos%2Fwoscc%2Ffull-record%2FWOS:000324885500027","View Full Record in Web of Science")</f>
        <v>View Full Record in Web of Science</v>
      </c>
    </row>
    <row r="295" spans="1:72" x14ac:dyDescent="0.15">
      <c r="A295" t="s">
        <v>72</v>
      </c>
      <c r="B295" t="s">
        <v>5757</v>
      </c>
      <c r="C295" t="s">
        <v>74</v>
      </c>
      <c r="D295" t="s">
        <v>74</v>
      </c>
      <c r="E295" t="s">
        <v>74</v>
      </c>
      <c r="F295" t="s">
        <v>5758</v>
      </c>
      <c r="G295" t="s">
        <v>74</v>
      </c>
      <c r="H295" t="s">
        <v>74</v>
      </c>
      <c r="I295" t="s">
        <v>5759</v>
      </c>
      <c r="J295" t="s">
        <v>77</v>
      </c>
      <c r="K295" t="s">
        <v>74</v>
      </c>
      <c r="L295" t="s">
        <v>74</v>
      </c>
      <c r="M295" t="s">
        <v>78</v>
      </c>
      <c r="N295" t="s">
        <v>79</v>
      </c>
      <c r="O295" t="s">
        <v>74</v>
      </c>
      <c r="P295" t="s">
        <v>74</v>
      </c>
      <c r="Q295" t="s">
        <v>74</v>
      </c>
      <c r="R295" t="s">
        <v>74</v>
      </c>
      <c r="S295" t="s">
        <v>74</v>
      </c>
      <c r="T295" t="s">
        <v>5760</v>
      </c>
      <c r="U295" t="s">
        <v>5761</v>
      </c>
      <c r="V295" t="s">
        <v>5762</v>
      </c>
      <c r="W295" t="s">
        <v>5763</v>
      </c>
      <c r="X295" t="s">
        <v>5764</v>
      </c>
      <c r="Y295" t="s">
        <v>5765</v>
      </c>
      <c r="Z295" t="s">
        <v>5766</v>
      </c>
      <c r="AA295" t="s">
        <v>5767</v>
      </c>
      <c r="AB295" t="s">
        <v>5768</v>
      </c>
      <c r="AC295" t="s">
        <v>5769</v>
      </c>
      <c r="AD295" t="s">
        <v>5770</v>
      </c>
      <c r="AE295" t="s">
        <v>5771</v>
      </c>
      <c r="AF295" t="s">
        <v>74</v>
      </c>
      <c r="AG295">
        <v>30</v>
      </c>
      <c r="AH295">
        <v>25</v>
      </c>
      <c r="AI295">
        <v>29</v>
      </c>
      <c r="AJ295">
        <v>0</v>
      </c>
      <c r="AK295">
        <v>6</v>
      </c>
      <c r="AL295" t="s">
        <v>92</v>
      </c>
      <c r="AM295" t="s">
        <v>93</v>
      </c>
      <c r="AN295" t="s">
        <v>94</v>
      </c>
      <c r="AO295" t="s">
        <v>95</v>
      </c>
      <c r="AP295" t="s">
        <v>74</v>
      </c>
      <c r="AQ295" t="s">
        <v>74</v>
      </c>
      <c r="AR295" t="s">
        <v>97</v>
      </c>
      <c r="AS295" t="s">
        <v>98</v>
      </c>
      <c r="AT295" t="s">
        <v>5642</v>
      </c>
      <c r="AU295">
        <v>2013</v>
      </c>
      <c r="AV295">
        <v>118</v>
      </c>
      <c r="AW295">
        <v>6</v>
      </c>
      <c r="AX295" t="s">
        <v>74</v>
      </c>
      <c r="AY295" t="s">
        <v>74</v>
      </c>
      <c r="AZ295" t="s">
        <v>74</v>
      </c>
      <c r="BA295" t="s">
        <v>74</v>
      </c>
      <c r="BB295">
        <v>3747</v>
      </c>
      <c r="BC295">
        <v>3759</v>
      </c>
      <c r="BD295" t="s">
        <v>74</v>
      </c>
      <c r="BE295" t="s">
        <v>5772</v>
      </c>
      <c r="BF295" t="str">
        <f>HYPERLINK("http://dx.doi.org/10.1002/jgra.50343","http://dx.doi.org/10.1002/jgra.50343")</f>
        <v>http://dx.doi.org/10.1002/jgra.50343</v>
      </c>
      <c r="BG295" t="s">
        <v>74</v>
      </c>
      <c r="BH295" t="s">
        <v>74</v>
      </c>
      <c r="BI295">
        <v>13</v>
      </c>
      <c r="BJ295" t="s">
        <v>101</v>
      </c>
      <c r="BK295" t="s">
        <v>102</v>
      </c>
      <c r="BL295" t="s">
        <v>101</v>
      </c>
      <c r="BM295" t="s">
        <v>5773</v>
      </c>
      <c r="BN295" t="s">
        <v>74</v>
      </c>
      <c r="BO295" t="s">
        <v>74</v>
      </c>
      <c r="BP295" t="s">
        <v>74</v>
      </c>
      <c r="BQ295" t="s">
        <v>74</v>
      </c>
      <c r="BR295" t="s">
        <v>105</v>
      </c>
      <c r="BS295" t="s">
        <v>5774</v>
      </c>
      <c r="BT295" t="str">
        <f>HYPERLINK("https%3A%2F%2Fwww.webofscience.com%2Fwos%2Fwoscc%2Ffull-record%2FWOS:000325217100093","View Full Record in Web of Science")</f>
        <v>View Full Record in Web of Science</v>
      </c>
    </row>
    <row r="296" spans="1:72" x14ac:dyDescent="0.15">
      <c r="A296" t="s">
        <v>72</v>
      </c>
      <c r="B296" t="s">
        <v>5775</v>
      </c>
      <c r="C296" t="s">
        <v>74</v>
      </c>
      <c r="D296" t="s">
        <v>74</v>
      </c>
      <c r="E296" t="s">
        <v>74</v>
      </c>
      <c r="F296" t="s">
        <v>5776</v>
      </c>
      <c r="G296" t="s">
        <v>74</v>
      </c>
      <c r="H296" t="s">
        <v>74</v>
      </c>
      <c r="I296" t="s">
        <v>5777</v>
      </c>
      <c r="J296" t="s">
        <v>5778</v>
      </c>
      <c r="K296" t="s">
        <v>74</v>
      </c>
      <c r="L296" t="s">
        <v>74</v>
      </c>
      <c r="M296" t="s">
        <v>78</v>
      </c>
      <c r="N296" t="s">
        <v>79</v>
      </c>
      <c r="O296" t="s">
        <v>74</v>
      </c>
      <c r="P296" t="s">
        <v>74</v>
      </c>
      <c r="Q296" t="s">
        <v>74</v>
      </c>
      <c r="R296" t="s">
        <v>74</v>
      </c>
      <c r="S296" t="s">
        <v>74</v>
      </c>
      <c r="T296" t="s">
        <v>74</v>
      </c>
      <c r="U296" t="s">
        <v>5779</v>
      </c>
      <c r="V296" t="s">
        <v>5780</v>
      </c>
      <c r="W296" t="s">
        <v>5781</v>
      </c>
      <c r="X296" t="s">
        <v>5782</v>
      </c>
      <c r="Y296" t="s">
        <v>5783</v>
      </c>
      <c r="Z296" t="s">
        <v>5784</v>
      </c>
      <c r="AA296" t="s">
        <v>5785</v>
      </c>
      <c r="AB296" t="s">
        <v>5786</v>
      </c>
      <c r="AC296" t="s">
        <v>74</v>
      </c>
      <c r="AD296" t="s">
        <v>74</v>
      </c>
      <c r="AE296" t="s">
        <v>74</v>
      </c>
      <c r="AF296" t="s">
        <v>74</v>
      </c>
      <c r="AG296">
        <v>26</v>
      </c>
      <c r="AH296">
        <v>7</v>
      </c>
      <c r="AI296">
        <v>8</v>
      </c>
      <c r="AJ296">
        <v>1</v>
      </c>
      <c r="AK296">
        <v>11</v>
      </c>
      <c r="AL296" t="s">
        <v>5787</v>
      </c>
      <c r="AM296" t="s">
        <v>3003</v>
      </c>
      <c r="AN296" t="s">
        <v>5788</v>
      </c>
      <c r="AO296" t="s">
        <v>5789</v>
      </c>
      <c r="AP296" t="s">
        <v>5790</v>
      </c>
      <c r="AQ296" t="s">
        <v>74</v>
      </c>
      <c r="AR296" t="s">
        <v>5791</v>
      </c>
      <c r="AS296" t="s">
        <v>5792</v>
      </c>
      <c r="AT296" t="s">
        <v>5642</v>
      </c>
      <c r="AU296">
        <v>2013</v>
      </c>
      <c r="AV296">
        <v>99</v>
      </c>
      <c r="AW296">
        <v>3</v>
      </c>
      <c r="AX296" t="s">
        <v>74</v>
      </c>
      <c r="AY296" t="s">
        <v>74</v>
      </c>
      <c r="AZ296" t="s">
        <v>74</v>
      </c>
      <c r="BA296" t="s">
        <v>74</v>
      </c>
      <c r="BB296">
        <v>487</v>
      </c>
      <c r="BC296">
        <v>489</v>
      </c>
      <c r="BD296" t="s">
        <v>74</v>
      </c>
      <c r="BE296" t="s">
        <v>5793</v>
      </c>
      <c r="BF296" t="str">
        <f>HYPERLINK("http://dx.doi.org/10.1645/GE-3167.1","http://dx.doi.org/10.1645/GE-3167.1")</f>
        <v>http://dx.doi.org/10.1645/GE-3167.1</v>
      </c>
      <c r="BG296" t="s">
        <v>74</v>
      </c>
      <c r="BH296" t="s">
        <v>74</v>
      </c>
      <c r="BI296">
        <v>3</v>
      </c>
      <c r="BJ296" t="s">
        <v>5794</v>
      </c>
      <c r="BK296" t="s">
        <v>102</v>
      </c>
      <c r="BL296" t="s">
        <v>5794</v>
      </c>
      <c r="BM296" t="s">
        <v>5795</v>
      </c>
      <c r="BN296">
        <v>23216130</v>
      </c>
      <c r="BO296" t="s">
        <v>74</v>
      </c>
      <c r="BP296" t="s">
        <v>74</v>
      </c>
      <c r="BQ296" t="s">
        <v>74</v>
      </c>
      <c r="BR296" t="s">
        <v>105</v>
      </c>
      <c r="BS296" t="s">
        <v>5796</v>
      </c>
      <c r="BT296" t="str">
        <f>HYPERLINK("https%3A%2F%2Fwww.webofscience.com%2Fwos%2Fwoscc%2Ffull-record%2FWOS:000322521800018","View Full Record in Web of Science")</f>
        <v>View Full Record in Web of Science</v>
      </c>
    </row>
    <row r="297" spans="1:72" x14ac:dyDescent="0.15">
      <c r="A297" t="s">
        <v>72</v>
      </c>
      <c r="B297" t="s">
        <v>5797</v>
      </c>
      <c r="C297" t="s">
        <v>74</v>
      </c>
      <c r="D297" t="s">
        <v>74</v>
      </c>
      <c r="E297" t="s">
        <v>74</v>
      </c>
      <c r="F297" t="s">
        <v>5798</v>
      </c>
      <c r="G297" t="s">
        <v>74</v>
      </c>
      <c r="H297" t="s">
        <v>74</v>
      </c>
      <c r="I297" t="s">
        <v>5799</v>
      </c>
      <c r="J297" t="s">
        <v>5800</v>
      </c>
      <c r="K297" t="s">
        <v>74</v>
      </c>
      <c r="L297" t="s">
        <v>74</v>
      </c>
      <c r="M297" t="s">
        <v>78</v>
      </c>
      <c r="N297" t="s">
        <v>79</v>
      </c>
      <c r="O297" t="s">
        <v>74</v>
      </c>
      <c r="P297" t="s">
        <v>74</v>
      </c>
      <c r="Q297" t="s">
        <v>74</v>
      </c>
      <c r="R297" t="s">
        <v>74</v>
      </c>
      <c r="S297" t="s">
        <v>74</v>
      </c>
      <c r="T297" t="s">
        <v>74</v>
      </c>
      <c r="U297" t="s">
        <v>74</v>
      </c>
      <c r="V297" t="s">
        <v>5801</v>
      </c>
      <c r="W297" t="s">
        <v>5802</v>
      </c>
      <c r="X297" t="s">
        <v>5803</v>
      </c>
      <c r="Y297" t="s">
        <v>5804</v>
      </c>
      <c r="Z297" t="s">
        <v>74</v>
      </c>
      <c r="AA297" t="s">
        <v>5805</v>
      </c>
      <c r="AB297" t="s">
        <v>5806</v>
      </c>
      <c r="AC297" t="s">
        <v>74</v>
      </c>
      <c r="AD297" t="s">
        <v>74</v>
      </c>
      <c r="AE297" t="s">
        <v>74</v>
      </c>
      <c r="AF297" t="s">
        <v>74</v>
      </c>
      <c r="AG297">
        <v>32</v>
      </c>
      <c r="AH297">
        <v>5</v>
      </c>
      <c r="AI297">
        <v>8</v>
      </c>
      <c r="AJ297">
        <v>0</v>
      </c>
      <c r="AK297">
        <v>14</v>
      </c>
      <c r="AL297" t="s">
        <v>5807</v>
      </c>
      <c r="AM297" t="s">
        <v>5808</v>
      </c>
      <c r="AN297" t="s">
        <v>5809</v>
      </c>
      <c r="AO297" t="s">
        <v>5810</v>
      </c>
      <c r="AP297" t="s">
        <v>5811</v>
      </c>
      <c r="AQ297" t="s">
        <v>74</v>
      </c>
      <c r="AR297" t="s">
        <v>5812</v>
      </c>
      <c r="AS297" t="s">
        <v>5813</v>
      </c>
      <c r="AT297" t="s">
        <v>5642</v>
      </c>
      <c r="AU297">
        <v>2013</v>
      </c>
      <c r="AV297">
        <v>38</v>
      </c>
      <c r="AW297">
        <v>6</v>
      </c>
      <c r="AX297" t="s">
        <v>74</v>
      </c>
      <c r="AY297" t="s">
        <v>74</v>
      </c>
      <c r="AZ297" t="s">
        <v>74</v>
      </c>
      <c r="BA297" t="s">
        <v>74</v>
      </c>
      <c r="BB297">
        <v>405</v>
      </c>
      <c r="BC297">
        <v>413</v>
      </c>
      <c r="BD297" t="s">
        <v>74</v>
      </c>
      <c r="BE297" t="s">
        <v>5814</v>
      </c>
      <c r="BF297" t="str">
        <f>HYPERLINK("http://dx.doi.org/10.3103/S1068373913060058","http://dx.doi.org/10.3103/S1068373913060058")</f>
        <v>http://dx.doi.org/10.3103/S1068373913060058</v>
      </c>
      <c r="BG297" t="s">
        <v>74</v>
      </c>
      <c r="BH297" t="s">
        <v>74</v>
      </c>
      <c r="BI297">
        <v>9</v>
      </c>
      <c r="BJ297" t="s">
        <v>305</v>
      </c>
      <c r="BK297" t="s">
        <v>102</v>
      </c>
      <c r="BL297" t="s">
        <v>305</v>
      </c>
      <c r="BM297" t="s">
        <v>5815</v>
      </c>
      <c r="BN297" t="s">
        <v>74</v>
      </c>
      <c r="BO297" t="s">
        <v>74</v>
      </c>
      <c r="BP297" t="s">
        <v>74</v>
      </c>
      <c r="BQ297" t="s">
        <v>74</v>
      </c>
      <c r="BR297" t="s">
        <v>105</v>
      </c>
      <c r="BS297" t="s">
        <v>5816</v>
      </c>
      <c r="BT297" t="str">
        <f>HYPERLINK("https%3A%2F%2Fwww.webofscience.com%2Fwos%2Fwoscc%2Ffull-record%2FWOS:000322389100005","View Full Record in Web of Science")</f>
        <v>View Full Record in Web of Science</v>
      </c>
    </row>
    <row r="298" spans="1:72" x14ac:dyDescent="0.15">
      <c r="A298" t="s">
        <v>72</v>
      </c>
      <c r="B298" t="s">
        <v>5817</v>
      </c>
      <c r="C298" t="s">
        <v>74</v>
      </c>
      <c r="D298" t="s">
        <v>74</v>
      </c>
      <c r="E298" t="s">
        <v>74</v>
      </c>
      <c r="F298" t="s">
        <v>5818</v>
      </c>
      <c r="G298" t="s">
        <v>74</v>
      </c>
      <c r="H298" t="s">
        <v>74</v>
      </c>
      <c r="I298" t="s">
        <v>5819</v>
      </c>
      <c r="J298" t="s">
        <v>1571</v>
      </c>
      <c r="K298" t="s">
        <v>74</v>
      </c>
      <c r="L298" t="s">
        <v>74</v>
      </c>
      <c r="M298" t="s">
        <v>78</v>
      </c>
      <c r="N298" t="s">
        <v>79</v>
      </c>
      <c r="O298" t="s">
        <v>74</v>
      </c>
      <c r="P298" t="s">
        <v>74</v>
      </c>
      <c r="Q298" t="s">
        <v>74</v>
      </c>
      <c r="R298" t="s">
        <v>74</v>
      </c>
      <c r="S298" t="s">
        <v>74</v>
      </c>
      <c r="T298" t="s">
        <v>5820</v>
      </c>
      <c r="U298" t="s">
        <v>5821</v>
      </c>
      <c r="V298" t="s">
        <v>5822</v>
      </c>
      <c r="W298" t="s">
        <v>5823</v>
      </c>
      <c r="X298" t="s">
        <v>5824</v>
      </c>
      <c r="Y298" t="s">
        <v>5825</v>
      </c>
      <c r="Z298" t="s">
        <v>1599</v>
      </c>
      <c r="AA298" t="s">
        <v>5826</v>
      </c>
      <c r="AB298" t="s">
        <v>5827</v>
      </c>
      <c r="AC298" t="s">
        <v>5828</v>
      </c>
      <c r="AD298" t="s">
        <v>5829</v>
      </c>
      <c r="AE298" t="s">
        <v>5830</v>
      </c>
      <c r="AF298" t="s">
        <v>74</v>
      </c>
      <c r="AG298">
        <v>87</v>
      </c>
      <c r="AH298">
        <v>89</v>
      </c>
      <c r="AI298">
        <v>96</v>
      </c>
      <c r="AJ298">
        <v>3</v>
      </c>
      <c r="AK298">
        <v>36</v>
      </c>
      <c r="AL298" t="s">
        <v>92</v>
      </c>
      <c r="AM298" t="s">
        <v>93</v>
      </c>
      <c r="AN298" t="s">
        <v>94</v>
      </c>
      <c r="AO298" t="s">
        <v>74</v>
      </c>
      <c r="AP298" t="s">
        <v>1584</v>
      </c>
      <c r="AQ298" t="s">
        <v>74</v>
      </c>
      <c r="AR298" t="s">
        <v>1585</v>
      </c>
      <c r="AS298" t="s">
        <v>1586</v>
      </c>
      <c r="AT298" t="s">
        <v>5642</v>
      </c>
      <c r="AU298">
        <v>2013</v>
      </c>
      <c r="AV298">
        <v>14</v>
      </c>
      <c r="AW298">
        <v>6</v>
      </c>
      <c r="AX298" t="s">
        <v>74</v>
      </c>
      <c r="AY298" t="s">
        <v>74</v>
      </c>
      <c r="AZ298" t="s">
        <v>74</v>
      </c>
      <c r="BA298" t="s">
        <v>74</v>
      </c>
      <c r="BB298">
        <v>1891</v>
      </c>
      <c r="BC298">
        <v>1909</v>
      </c>
      <c r="BD298" t="s">
        <v>74</v>
      </c>
      <c r="BE298" t="s">
        <v>5831</v>
      </c>
      <c r="BF298" t="str">
        <f>HYPERLINK("http://dx.doi.org/10.1002/ggge.20120","http://dx.doi.org/10.1002/ggge.20120")</f>
        <v>http://dx.doi.org/10.1002/ggge.20120</v>
      </c>
      <c r="BG298" t="s">
        <v>74</v>
      </c>
      <c r="BH298" t="s">
        <v>74</v>
      </c>
      <c r="BI298">
        <v>19</v>
      </c>
      <c r="BJ298" t="s">
        <v>766</v>
      </c>
      <c r="BK298" t="s">
        <v>102</v>
      </c>
      <c r="BL298" t="s">
        <v>766</v>
      </c>
      <c r="BM298" t="s">
        <v>5832</v>
      </c>
      <c r="BN298" t="s">
        <v>74</v>
      </c>
      <c r="BO298" t="s">
        <v>997</v>
      </c>
      <c r="BP298" t="s">
        <v>74</v>
      </c>
      <c r="BQ298" t="s">
        <v>74</v>
      </c>
      <c r="BR298" t="s">
        <v>105</v>
      </c>
      <c r="BS298" t="s">
        <v>5833</v>
      </c>
      <c r="BT298" t="str">
        <f>HYPERLINK("https%3A%2F%2Fwww.webofscience.com%2Fwos%2Fwoscc%2Ffull-record%2FWOS:000321960000014","View Full Record in Web of Science")</f>
        <v>View Full Record in Web of Science</v>
      </c>
    </row>
    <row r="299" spans="1:72" x14ac:dyDescent="0.15">
      <c r="A299" t="s">
        <v>72</v>
      </c>
      <c r="B299" t="s">
        <v>5834</v>
      </c>
      <c r="C299" t="s">
        <v>74</v>
      </c>
      <c r="D299" t="s">
        <v>74</v>
      </c>
      <c r="E299" t="s">
        <v>74</v>
      </c>
      <c r="F299" t="s">
        <v>5835</v>
      </c>
      <c r="G299" t="s">
        <v>74</v>
      </c>
      <c r="H299" t="s">
        <v>74</v>
      </c>
      <c r="I299" t="s">
        <v>5836</v>
      </c>
      <c r="J299" t="s">
        <v>5837</v>
      </c>
      <c r="K299" t="s">
        <v>74</v>
      </c>
      <c r="L299" t="s">
        <v>74</v>
      </c>
      <c r="M299" t="s">
        <v>78</v>
      </c>
      <c r="N299" t="s">
        <v>79</v>
      </c>
      <c r="O299" t="s">
        <v>74</v>
      </c>
      <c r="P299" t="s">
        <v>74</v>
      </c>
      <c r="Q299" t="s">
        <v>74</v>
      </c>
      <c r="R299" t="s">
        <v>74</v>
      </c>
      <c r="S299" t="s">
        <v>74</v>
      </c>
      <c r="T299" t="s">
        <v>5838</v>
      </c>
      <c r="U299" t="s">
        <v>5839</v>
      </c>
      <c r="V299" t="s">
        <v>5840</v>
      </c>
      <c r="W299" t="s">
        <v>5841</v>
      </c>
      <c r="X299" t="s">
        <v>5842</v>
      </c>
      <c r="Y299" t="s">
        <v>5843</v>
      </c>
      <c r="Z299" t="s">
        <v>5844</v>
      </c>
      <c r="AA299" t="s">
        <v>5845</v>
      </c>
      <c r="AB299" t="s">
        <v>5846</v>
      </c>
      <c r="AC299" t="s">
        <v>5847</v>
      </c>
      <c r="AD299" t="s">
        <v>5848</v>
      </c>
      <c r="AE299" t="s">
        <v>5849</v>
      </c>
      <c r="AF299" t="s">
        <v>74</v>
      </c>
      <c r="AG299">
        <v>56</v>
      </c>
      <c r="AH299">
        <v>39</v>
      </c>
      <c r="AI299">
        <v>42</v>
      </c>
      <c r="AJ299">
        <v>1</v>
      </c>
      <c r="AK299">
        <v>37</v>
      </c>
      <c r="AL299" t="s">
        <v>529</v>
      </c>
      <c r="AM299" t="s">
        <v>1151</v>
      </c>
      <c r="AN299" t="s">
        <v>1152</v>
      </c>
      <c r="AO299" t="s">
        <v>5850</v>
      </c>
      <c r="AP299" t="s">
        <v>5851</v>
      </c>
      <c r="AQ299" t="s">
        <v>74</v>
      </c>
      <c r="AR299" t="s">
        <v>5852</v>
      </c>
      <c r="AS299" t="s">
        <v>5853</v>
      </c>
      <c r="AT299" t="s">
        <v>5642</v>
      </c>
      <c r="AU299">
        <v>2013</v>
      </c>
      <c r="AV299">
        <v>43</v>
      </c>
      <c r="AW299">
        <v>3</v>
      </c>
      <c r="AX299" t="s">
        <v>74</v>
      </c>
      <c r="AY299" t="s">
        <v>74</v>
      </c>
      <c r="AZ299" t="s">
        <v>74</v>
      </c>
      <c r="BA299" t="s">
        <v>74</v>
      </c>
      <c r="BB299">
        <v>283</v>
      </c>
      <c r="BC299">
        <v>303</v>
      </c>
      <c r="BD299" t="s">
        <v>74</v>
      </c>
      <c r="BE299" t="s">
        <v>5854</v>
      </c>
      <c r="BF299" t="str">
        <f>HYPERLINK("http://dx.doi.org/10.1007/s11084-013-9337-2","http://dx.doi.org/10.1007/s11084-013-9337-2")</f>
        <v>http://dx.doi.org/10.1007/s11084-013-9337-2</v>
      </c>
      <c r="BG299" t="s">
        <v>74</v>
      </c>
      <c r="BH299" t="s">
        <v>74</v>
      </c>
      <c r="BI299">
        <v>21</v>
      </c>
      <c r="BJ299" t="s">
        <v>1685</v>
      </c>
      <c r="BK299" t="s">
        <v>102</v>
      </c>
      <c r="BL299" t="s">
        <v>1686</v>
      </c>
      <c r="BM299" t="s">
        <v>5855</v>
      </c>
      <c r="BN299">
        <v>23868319</v>
      </c>
      <c r="BO299" t="s">
        <v>74</v>
      </c>
      <c r="BP299" t="s">
        <v>74</v>
      </c>
      <c r="BQ299" t="s">
        <v>74</v>
      </c>
      <c r="BR299" t="s">
        <v>105</v>
      </c>
      <c r="BS299" t="s">
        <v>5856</v>
      </c>
      <c r="BT299" t="str">
        <f>HYPERLINK("https%3A%2F%2Fwww.webofscience.com%2Fwos%2Fwoscc%2Ffull-record%2FWOS:000322373300007","View Full Record in Web of Science")</f>
        <v>View Full Record in Web of Science</v>
      </c>
    </row>
    <row r="300" spans="1:72" x14ac:dyDescent="0.15">
      <c r="A300" t="s">
        <v>72</v>
      </c>
      <c r="B300" t="s">
        <v>5857</v>
      </c>
      <c r="C300" t="s">
        <v>74</v>
      </c>
      <c r="D300" t="s">
        <v>74</v>
      </c>
      <c r="E300" t="s">
        <v>74</v>
      </c>
      <c r="F300" t="s">
        <v>5858</v>
      </c>
      <c r="G300" t="s">
        <v>74</v>
      </c>
      <c r="H300" t="s">
        <v>74</v>
      </c>
      <c r="I300" t="s">
        <v>5859</v>
      </c>
      <c r="J300" t="s">
        <v>5860</v>
      </c>
      <c r="K300" t="s">
        <v>74</v>
      </c>
      <c r="L300" t="s">
        <v>74</v>
      </c>
      <c r="M300" t="s">
        <v>78</v>
      </c>
      <c r="N300" t="s">
        <v>79</v>
      </c>
      <c r="O300" t="s">
        <v>74</v>
      </c>
      <c r="P300" t="s">
        <v>74</v>
      </c>
      <c r="Q300" t="s">
        <v>74</v>
      </c>
      <c r="R300" t="s">
        <v>74</v>
      </c>
      <c r="S300" t="s">
        <v>74</v>
      </c>
      <c r="T300" t="s">
        <v>5861</v>
      </c>
      <c r="U300" t="s">
        <v>5862</v>
      </c>
      <c r="V300" t="s">
        <v>5863</v>
      </c>
      <c r="W300" t="s">
        <v>5864</v>
      </c>
      <c r="X300" t="s">
        <v>5865</v>
      </c>
      <c r="Y300" t="s">
        <v>5866</v>
      </c>
      <c r="Z300" t="s">
        <v>5867</v>
      </c>
      <c r="AA300" t="s">
        <v>5868</v>
      </c>
      <c r="AB300" t="s">
        <v>5869</v>
      </c>
      <c r="AC300" t="s">
        <v>74</v>
      </c>
      <c r="AD300" t="s">
        <v>74</v>
      </c>
      <c r="AE300" t="s">
        <v>74</v>
      </c>
      <c r="AF300" t="s">
        <v>74</v>
      </c>
      <c r="AG300">
        <v>88</v>
      </c>
      <c r="AH300">
        <v>27</v>
      </c>
      <c r="AI300">
        <v>31</v>
      </c>
      <c r="AJ300">
        <v>1</v>
      </c>
      <c r="AK300">
        <v>49</v>
      </c>
      <c r="AL300" t="s">
        <v>92</v>
      </c>
      <c r="AM300" t="s">
        <v>93</v>
      </c>
      <c r="AN300" t="s">
        <v>94</v>
      </c>
      <c r="AO300" t="s">
        <v>5870</v>
      </c>
      <c r="AP300" t="s">
        <v>5871</v>
      </c>
      <c r="AQ300" t="s">
        <v>74</v>
      </c>
      <c r="AR300" t="s">
        <v>5860</v>
      </c>
      <c r="AS300" t="s">
        <v>5872</v>
      </c>
      <c r="AT300" t="s">
        <v>5642</v>
      </c>
      <c r="AU300">
        <v>2013</v>
      </c>
      <c r="AV300">
        <v>28</v>
      </c>
      <c r="AW300">
        <v>2</v>
      </c>
      <c r="AX300" t="s">
        <v>74</v>
      </c>
      <c r="AY300" t="s">
        <v>74</v>
      </c>
      <c r="AZ300" t="s">
        <v>74</v>
      </c>
      <c r="BA300" t="s">
        <v>74</v>
      </c>
      <c r="BB300">
        <v>347</v>
      </c>
      <c r="BC300">
        <v>362</v>
      </c>
      <c r="BD300" t="s">
        <v>74</v>
      </c>
      <c r="BE300" t="s">
        <v>5873</v>
      </c>
      <c r="BF300" t="str">
        <f>HYPERLINK("http://dx.doi.org/10.1002/palo.20032","http://dx.doi.org/10.1002/palo.20032")</f>
        <v>http://dx.doi.org/10.1002/palo.20032</v>
      </c>
      <c r="BG300" t="s">
        <v>74</v>
      </c>
      <c r="BH300" t="s">
        <v>74</v>
      </c>
      <c r="BI300">
        <v>16</v>
      </c>
      <c r="BJ300" t="s">
        <v>5874</v>
      </c>
      <c r="BK300" t="s">
        <v>102</v>
      </c>
      <c r="BL300" t="s">
        <v>5875</v>
      </c>
      <c r="BM300" t="s">
        <v>5876</v>
      </c>
      <c r="BN300" t="s">
        <v>74</v>
      </c>
      <c r="BO300" t="s">
        <v>1589</v>
      </c>
      <c r="BP300" t="s">
        <v>74</v>
      </c>
      <c r="BQ300" t="s">
        <v>74</v>
      </c>
      <c r="BR300" t="s">
        <v>105</v>
      </c>
      <c r="BS300" t="s">
        <v>5877</v>
      </c>
      <c r="BT300" t="str">
        <f>HYPERLINK("https%3A%2F%2Fwww.webofscience.com%2Fwos%2Fwoscc%2Ffull-record%2FWOS:000322013900012","View Full Record in Web of Science")</f>
        <v>View Full Record in Web of Science</v>
      </c>
    </row>
    <row r="301" spans="1:72" x14ac:dyDescent="0.15">
      <c r="A301" t="s">
        <v>72</v>
      </c>
      <c r="B301" t="s">
        <v>5878</v>
      </c>
      <c r="C301" t="s">
        <v>74</v>
      </c>
      <c r="D301" t="s">
        <v>74</v>
      </c>
      <c r="E301" t="s">
        <v>74</v>
      </c>
      <c r="F301" t="s">
        <v>5879</v>
      </c>
      <c r="G301" t="s">
        <v>74</v>
      </c>
      <c r="H301" t="s">
        <v>74</v>
      </c>
      <c r="I301" t="s">
        <v>5880</v>
      </c>
      <c r="J301" t="s">
        <v>5881</v>
      </c>
      <c r="K301" t="s">
        <v>74</v>
      </c>
      <c r="L301" t="s">
        <v>74</v>
      </c>
      <c r="M301" t="s">
        <v>78</v>
      </c>
      <c r="N301" t="s">
        <v>79</v>
      </c>
      <c r="O301" t="s">
        <v>74</v>
      </c>
      <c r="P301" t="s">
        <v>74</v>
      </c>
      <c r="Q301" t="s">
        <v>74</v>
      </c>
      <c r="R301" t="s">
        <v>74</v>
      </c>
      <c r="S301" t="s">
        <v>74</v>
      </c>
      <c r="T301" t="s">
        <v>5882</v>
      </c>
      <c r="U301" t="s">
        <v>5883</v>
      </c>
      <c r="V301" t="s">
        <v>5884</v>
      </c>
      <c r="W301" t="s">
        <v>5885</v>
      </c>
      <c r="X301" t="s">
        <v>5886</v>
      </c>
      <c r="Y301" t="s">
        <v>5887</v>
      </c>
      <c r="Z301" t="s">
        <v>5888</v>
      </c>
      <c r="AA301" t="s">
        <v>74</v>
      </c>
      <c r="AB301" t="s">
        <v>5889</v>
      </c>
      <c r="AC301" t="s">
        <v>5890</v>
      </c>
      <c r="AD301" t="s">
        <v>5891</v>
      </c>
      <c r="AE301" t="s">
        <v>5892</v>
      </c>
      <c r="AF301" t="s">
        <v>74</v>
      </c>
      <c r="AG301">
        <v>14</v>
      </c>
      <c r="AH301">
        <v>19</v>
      </c>
      <c r="AI301">
        <v>21</v>
      </c>
      <c r="AJ301">
        <v>0</v>
      </c>
      <c r="AK301">
        <v>2</v>
      </c>
      <c r="AL301" t="s">
        <v>5893</v>
      </c>
      <c r="AM301" t="s">
        <v>5894</v>
      </c>
      <c r="AN301" t="s">
        <v>5895</v>
      </c>
      <c r="AO301" t="s">
        <v>5896</v>
      </c>
      <c r="AP301" t="s">
        <v>74</v>
      </c>
      <c r="AQ301" t="s">
        <v>74</v>
      </c>
      <c r="AR301" t="s">
        <v>5897</v>
      </c>
      <c r="AS301" t="s">
        <v>5898</v>
      </c>
      <c r="AT301" t="s">
        <v>5642</v>
      </c>
      <c r="AU301">
        <v>2013</v>
      </c>
      <c r="AV301">
        <v>554</v>
      </c>
      <c r="AW301" t="s">
        <v>74</v>
      </c>
      <c r="AX301" t="s">
        <v>74</v>
      </c>
      <c r="AY301" t="s">
        <v>74</v>
      </c>
      <c r="AZ301" t="s">
        <v>74</v>
      </c>
      <c r="BA301" t="s">
        <v>74</v>
      </c>
      <c r="BB301" t="s">
        <v>74</v>
      </c>
      <c r="BC301" t="s">
        <v>74</v>
      </c>
      <c r="BD301" t="s">
        <v>5899</v>
      </c>
      <c r="BE301" t="s">
        <v>5900</v>
      </c>
      <c r="BF301" t="str">
        <f>HYPERLINK("http://dx.doi.org/10.1051/0004-6361/201321937","http://dx.doi.org/10.1051/0004-6361/201321937")</f>
        <v>http://dx.doi.org/10.1051/0004-6361/201321937</v>
      </c>
      <c r="BG301" t="s">
        <v>74</v>
      </c>
      <c r="BH301" t="s">
        <v>74</v>
      </c>
      <c r="BI301">
        <v>4</v>
      </c>
      <c r="BJ301" t="s">
        <v>101</v>
      </c>
      <c r="BK301" t="s">
        <v>102</v>
      </c>
      <c r="BL301" t="s">
        <v>101</v>
      </c>
      <c r="BM301" t="s">
        <v>5901</v>
      </c>
      <c r="BN301" t="s">
        <v>74</v>
      </c>
      <c r="BO301" t="s">
        <v>577</v>
      </c>
      <c r="BP301" t="s">
        <v>74</v>
      </c>
      <c r="BQ301" t="s">
        <v>74</v>
      </c>
      <c r="BR301" t="s">
        <v>105</v>
      </c>
      <c r="BS301" t="s">
        <v>5902</v>
      </c>
      <c r="BT301" t="str">
        <f>HYPERLINK("https%3A%2F%2Fwww.webofscience.com%2Fwos%2Fwoscc%2Ffull-record%2FWOS:000320444200149","View Full Record in Web of Science")</f>
        <v>View Full Record in Web of Science</v>
      </c>
    </row>
    <row r="302" spans="1:72" x14ac:dyDescent="0.15">
      <c r="A302" t="s">
        <v>72</v>
      </c>
      <c r="B302" t="s">
        <v>5903</v>
      </c>
      <c r="C302" t="s">
        <v>74</v>
      </c>
      <c r="D302" t="s">
        <v>74</v>
      </c>
      <c r="E302" t="s">
        <v>74</v>
      </c>
      <c r="F302" t="s">
        <v>5904</v>
      </c>
      <c r="G302" t="s">
        <v>74</v>
      </c>
      <c r="H302" t="s">
        <v>74</v>
      </c>
      <c r="I302" t="s">
        <v>5905</v>
      </c>
      <c r="J302" t="s">
        <v>5906</v>
      </c>
      <c r="K302" t="s">
        <v>74</v>
      </c>
      <c r="L302" t="s">
        <v>74</v>
      </c>
      <c r="M302" t="s">
        <v>78</v>
      </c>
      <c r="N302" t="s">
        <v>79</v>
      </c>
      <c r="O302" t="s">
        <v>74</v>
      </c>
      <c r="P302" t="s">
        <v>74</v>
      </c>
      <c r="Q302" t="s">
        <v>74</v>
      </c>
      <c r="R302" t="s">
        <v>74</v>
      </c>
      <c r="S302" t="s">
        <v>74</v>
      </c>
      <c r="T302" t="s">
        <v>5907</v>
      </c>
      <c r="U302" t="s">
        <v>5908</v>
      </c>
      <c r="V302" t="s">
        <v>5909</v>
      </c>
      <c r="W302" t="s">
        <v>5910</v>
      </c>
      <c r="X302" t="s">
        <v>5911</v>
      </c>
      <c r="Y302" t="s">
        <v>5912</v>
      </c>
      <c r="Z302" t="s">
        <v>5913</v>
      </c>
      <c r="AA302" t="s">
        <v>5914</v>
      </c>
      <c r="AB302" t="s">
        <v>5915</v>
      </c>
      <c r="AC302" t="s">
        <v>5916</v>
      </c>
      <c r="AD302" t="s">
        <v>5917</v>
      </c>
      <c r="AE302" t="s">
        <v>5918</v>
      </c>
      <c r="AF302" t="s">
        <v>74</v>
      </c>
      <c r="AG302">
        <v>45</v>
      </c>
      <c r="AH302">
        <v>22</v>
      </c>
      <c r="AI302">
        <v>22</v>
      </c>
      <c r="AJ302">
        <v>0</v>
      </c>
      <c r="AK302">
        <v>55</v>
      </c>
      <c r="AL302" t="s">
        <v>1515</v>
      </c>
      <c r="AM302" t="s">
        <v>442</v>
      </c>
      <c r="AN302" t="s">
        <v>1516</v>
      </c>
      <c r="AO302" t="s">
        <v>5919</v>
      </c>
      <c r="AP302" t="s">
        <v>5920</v>
      </c>
      <c r="AQ302" t="s">
        <v>74</v>
      </c>
      <c r="AR302" t="s">
        <v>5921</v>
      </c>
      <c r="AS302" t="s">
        <v>5922</v>
      </c>
      <c r="AT302" t="s">
        <v>5642</v>
      </c>
      <c r="AU302">
        <v>2013</v>
      </c>
      <c r="AV302">
        <v>162</v>
      </c>
      <c r="AW302" t="s">
        <v>74</v>
      </c>
      <c r="AX302" t="s">
        <v>74</v>
      </c>
      <c r="AY302" t="s">
        <v>74</v>
      </c>
      <c r="AZ302" t="s">
        <v>74</v>
      </c>
      <c r="BA302" t="s">
        <v>74</v>
      </c>
      <c r="BB302">
        <v>33</v>
      </c>
      <c r="BC302">
        <v>40</v>
      </c>
      <c r="BD302" t="s">
        <v>74</v>
      </c>
      <c r="BE302" t="s">
        <v>5923</v>
      </c>
      <c r="BF302" t="str">
        <f>HYPERLINK("http://dx.doi.org/10.1016/j.biocon.2013.03.024","http://dx.doi.org/10.1016/j.biocon.2013.03.024")</f>
        <v>http://dx.doi.org/10.1016/j.biocon.2013.03.024</v>
      </c>
      <c r="BG302" t="s">
        <v>74</v>
      </c>
      <c r="BH302" t="s">
        <v>74</v>
      </c>
      <c r="BI302">
        <v>8</v>
      </c>
      <c r="BJ302" t="s">
        <v>3941</v>
      </c>
      <c r="BK302" t="s">
        <v>102</v>
      </c>
      <c r="BL302" t="s">
        <v>1159</v>
      </c>
      <c r="BM302" t="s">
        <v>5924</v>
      </c>
      <c r="BN302" t="s">
        <v>74</v>
      </c>
      <c r="BO302" t="s">
        <v>1014</v>
      </c>
      <c r="BP302" t="s">
        <v>74</v>
      </c>
      <c r="BQ302" t="s">
        <v>74</v>
      </c>
      <c r="BR302" t="s">
        <v>105</v>
      </c>
      <c r="BS302" t="s">
        <v>5925</v>
      </c>
      <c r="BT302" t="str">
        <f>HYPERLINK("https%3A%2F%2Fwww.webofscience.com%2Fwos%2Fwoscc%2Ffull-record%2FWOS:000321166000005","View Full Record in Web of Science")</f>
        <v>View Full Record in Web of Science</v>
      </c>
    </row>
    <row r="303" spans="1:72" x14ac:dyDescent="0.15">
      <c r="A303" t="s">
        <v>72</v>
      </c>
      <c r="B303" t="s">
        <v>5926</v>
      </c>
      <c r="C303" t="s">
        <v>74</v>
      </c>
      <c r="D303" t="s">
        <v>74</v>
      </c>
      <c r="E303" t="s">
        <v>74</v>
      </c>
      <c r="F303" t="s">
        <v>5927</v>
      </c>
      <c r="G303" t="s">
        <v>74</v>
      </c>
      <c r="H303" t="s">
        <v>74</v>
      </c>
      <c r="I303" t="s">
        <v>5928</v>
      </c>
      <c r="J303" t="s">
        <v>5929</v>
      </c>
      <c r="K303" t="s">
        <v>74</v>
      </c>
      <c r="L303" t="s">
        <v>74</v>
      </c>
      <c r="M303" t="s">
        <v>78</v>
      </c>
      <c r="N303" t="s">
        <v>79</v>
      </c>
      <c r="O303" t="s">
        <v>74</v>
      </c>
      <c r="P303" t="s">
        <v>74</v>
      </c>
      <c r="Q303" t="s">
        <v>74</v>
      </c>
      <c r="R303" t="s">
        <v>74</v>
      </c>
      <c r="S303" t="s">
        <v>74</v>
      </c>
      <c r="T303" t="s">
        <v>5930</v>
      </c>
      <c r="U303" t="s">
        <v>5931</v>
      </c>
      <c r="V303" t="s">
        <v>5932</v>
      </c>
      <c r="W303" t="s">
        <v>5933</v>
      </c>
      <c r="X303" t="s">
        <v>5934</v>
      </c>
      <c r="Y303" t="s">
        <v>5935</v>
      </c>
      <c r="Z303" t="s">
        <v>5936</v>
      </c>
      <c r="AA303" t="s">
        <v>74</v>
      </c>
      <c r="AB303" t="s">
        <v>74</v>
      </c>
      <c r="AC303" t="s">
        <v>5937</v>
      </c>
      <c r="AD303" t="s">
        <v>4623</v>
      </c>
      <c r="AE303" t="s">
        <v>5938</v>
      </c>
      <c r="AF303" t="s">
        <v>74</v>
      </c>
      <c r="AG303">
        <v>34</v>
      </c>
      <c r="AH303">
        <v>18</v>
      </c>
      <c r="AI303">
        <v>19</v>
      </c>
      <c r="AJ303">
        <v>0</v>
      </c>
      <c r="AK303">
        <v>12</v>
      </c>
      <c r="AL303" t="s">
        <v>529</v>
      </c>
      <c r="AM303" t="s">
        <v>391</v>
      </c>
      <c r="AN303" t="s">
        <v>1220</v>
      </c>
      <c r="AO303" t="s">
        <v>5939</v>
      </c>
      <c r="AP303" t="s">
        <v>5940</v>
      </c>
      <c r="AQ303" t="s">
        <v>74</v>
      </c>
      <c r="AR303" t="s">
        <v>5941</v>
      </c>
      <c r="AS303" t="s">
        <v>5942</v>
      </c>
      <c r="AT303" t="s">
        <v>5642</v>
      </c>
      <c r="AU303">
        <v>2013</v>
      </c>
      <c r="AV303">
        <v>75</v>
      </c>
      <c r="AW303">
        <v>6</v>
      </c>
      <c r="AX303" t="s">
        <v>74</v>
      </c>
      <c r="AY303" t="s">
        <v>74</v>
      </c>
      <c r="AZ303" t="s">
        <v>74</v>
      </c>
      <c r="BA303" t="s">
        <v>74</v>
      </c>
      <c r="BB303" t="s">
        <v>74</v>
      </c>
      <c r="BC303" t="s">
        <v>74</v>
      </c>
      <c r="BD303">
        <v>726</v>
      </c>
      <c r="BE303" t="s">
        <v>5943</v>
      </c>
      <c r="BF303" t="str">
        <f>HYPERLINK("http://dx.doi.org/10.1007/s00445-013-0726-1","http://dx.doi.org/10.1007/s00445-013-0726-1")</f>
        <v>http://dx.doi.org/10.1007/s00445-013-0726-1</v>
      </c>
      <c r="BG303" t="s">
        <v>74</v>
      </c>
      <c r="BH303" t="s">
        <v>74</v>
      </c>
      <c r="BI303">
        <v>18</v>
      </c>
      <c r="BJ303" t="s">
        <v>1426</v>
      </c>
      <c r="BK303" t="s">
        <v>102</v>
      </c>
      <c r="BL303" t="s">
        <v>219</v>
      </c>
      <c r="BM303" t="s">
        <v>5944</v>
      </c>
      <c r="BN303" t="s">
        <v>74</v>
      </c>
      <c r="BO303" t="s">
        <v>74</v>
      </c>
      <c r="BP303" t="s">
        <v>74</v>
      </c>
      <c r="BQ303" t="s">
        <v>74</v>
      </c>
      <c r="BR303" t="s">
        <v>105</v>
      </c>
      <c r="BS303" t="s">
        <v>5945</v>
      </c>
      <c r="BT303" t="str">
        <f>HYPERLINK("https%3A%2F%2Fwww.webofscience.com%2Fwos%2Fwoscc%2Ffull-record%2FWOS:000321776100009","View Full Record in Web of Science")</f>
        <v>View Full Record in Web of Science</v>
      </c>
    </row>
    <row r="304" spans="1:72" x14ac:dyDescent="0.15">
      <c r="A304" t="s">
        <v>72</v>
      </c>
      <c r="B304" t="s">
        <v>5946</v>
      </c>
      <c r="C304" t="s">
        <v>74</v>
      </c>
      <c r="D304" t="s">
        <v>74</v>
      </c>
      <c r="E304" t="s">
        <v>74</v>
      </c>
      <c r="F304" t="s">
        <v>5947</v>
      </c>
      <c r="G304" t="s">
        <v>74</v>
      </c>
      <c r="H304" t="s">
        <v>74</v>
      </c>
      <c r="I304" t="s">
        <v>5948</v>
      </c>
      <c r="J304" t="s">
        <v>3170</v>
      </c>
      <c r="K304" t="s">
        <v>74</v>
      </c>
      <c r="L304" t="s">
        <v>74</v>
      </c>
      <c r="M304" t="s">
        <v>203</v>
      </c>
      <c r="N304" t="s">
        <v>79</v>
      </c>
      <c r="O304" t="s">
        <v>74</v>
      </c>
      <c r="P304" t="s">
        <v>74</v>
      </c>
      <c r="Q304" t="s">
        <v>74</v>
      </c>
      <c r="R304" t="s">
        <v>74</v>
      </c>
      <c r="S304" t="s">
        <v>74</v>
      </c>
      <c r="T304" t="s">
        <v>5949</v>
      </c>
      <c r="U304" t="s">
        <v>5950</v>
      </c>
      <c r="V304" t="s">
        <v>5951</v>
      </c>
      <c r="W304" t="s">
        <v>5952</v>
      </c>
      <c r="X304" t="s">
        <v>5953</v>
      </c>
      <c r="Y304" t="s">
        <v>5954</v>
      </c>
      <c r="Z304" t="s">
        <v>5955</v>
      </c>
      <c r="AA304" t="s">
        <v>5956</v>
      </c>
      <c r="AB304" t="s">
        <v>5957</v>
      </c>
      <c r="AC304" t="s">
        <v>74</v>
      </c>
      <c r="AD304" t="s">
        <v>74</v>
      </c>
      <c r="AE304" t="s">
        <v>74</v>
      </c>
      <c r="AF304" t="s">
        <v>74</v>
      </c>
      <c r="AG304">
        <v>39</v>
      </c>
      <c r="AH304">
        <v>0</v>
      </c>
      <c r="AI304">
        <v>5</v>
      </c>
      <c r="AJ304">
        <v>0</v>
      </c>
      <c r="AK304">
        <v>9</v>
      </c>
      <c r="AL304" t="s">
        <v>212</v>
      </c>
      <c r="AM304" t="s">
        <v>213</v>
      </c>
      <c r="AN304" t="s">
        <v>214</v>
      </c>
      <c r="AO304" t="s">
        <v>3179</v>
      </c>
      <c r="AP304" t="s">
        <v>74</v>
      </c>
      <c r="AQ304" t="s">
        <v>74</v>
      </c>
      <c r="AR304" t="s">
        <v>3180</v>
      </c>
      <c r="AS304" t="s">
        <v>3181</v>
      </c>
      <c r="AT304" t="s">
        <v>5642</v>
      </c>
      <c r="AU304">
        <v>2013</v>
      </c>
      <c r="AV304">
        <v>56</v>
      </c>
      <c r="AW304">
        <v>6</v>
      </c>
      <c r="AX304" t="s">
        <v>74</v>
      </c>
      <c r="AY304" t="s">
        <v>74</v>
      </c>
      <c r="AZ304" t="s">
        <v>74</v>
      </c>
      <c r="BA304" t="s">
        <v>74</v>
      </c>
      <c r="BB304">
        <v>1785</v>
      </c>
      <c r="BC304">
        <v>1796</v>
      </c>
      <c r="BD304" t="s">
        <v>74</v>
      </c>
      <c r="BE304" t="s">
        <v>5958</v>
      </c>
      <c r="BF304" t="str">
        <f>HYPERLINK("http://dx.doi.org/10.6038/cjg20130601","http://dx.doi.org/10.6038/cjg20130601")</f>
        <v>http://dx.doi.org/10.6038/cjg20130601</v>
      </c>
      <c r="BG304" t="s">
        <v>74</v>
      </c>
      <c r="BH304" t="s">
        <v>74</v>
      </c>
      <c r="BI304">
        <v>12</v>
      </c>
      <c r="BJ304" t="s">
        <v>766</v>
      </c>
      <c r="BK304" t="s">
        <v>102</v>
      </c>
      <c r="BL304" t="s">
        <v>766</v>
      </c>
      <c r="BM304" t="s">
        <v>5959</v>
      </c>
      <c r="BN304" t="s">
        <v>74</v>
      </c>
      <c r="BO304" t="s">
        <v>74</v>
      </c>
      <c r="BP304" t="s">
        <v>74</v>
      </c>
      <c r="BQ304" t="s">
        <v>74</v>
      </c>
      <c r="BR304" t="s">
        <v>105</v>
      </c>
      <c r="BS304" t="s">
        <v>5960</v>
      </c>
      <c r="BT304" t="str">
        <f>HYPERLINK("https%3A%2F%2Fwww.webofscience.com%2Fwos%2Fwoscc%2Ffull-record%2FWOS:000321415200001","View Full Record in Web of Science")</f>
        <v>View Full Record in Web of Science</v>
      </c>
    </row>
    <row r="305" spans="1:72" x14ac:dyDescent="0.15">
      <c r="A305" t="s">
        <v>72</v>
      </c>
      <c r="B305" t="s">
        <v>5961</v>
      </c>
      <c r="C305" t="s">
        <v>74</v>
      </c>
      <c r="D305" t="s">
        <v>74</v>
      </c>
      <c r="E305" t="s">
        <v>74</v>
      </c>
      <c r="F305" t="s">
        <v>5962</v>
      </c>
      <c r="G305" t="s">
        <v>74</v>
      </c>
      <c r="H305" t="s">
        <v>74</v>
      </c>
      <c r="I305" t="s">
        <v>5963</v>
      </c>
      <c r="J305" t="s">
        <v>3673</v>
      </c>
      <c r="K305" t="s">
        <v>74</v>
      </c>
      <c r="L305" t="s">
        <v>74</v>
      </c>
      <c r="M305" t="s">
        <v>78</v>
      </c>
      <c r="N305" t="s">
        <v>79</v>
      </c>
      <c r="O305" t="s">
        <v>74</v>
      </c>
      <c r="P305" t="s">
        <v>74</v>
      </c>
      <c r="Q305" t="s">
        <v>74</v>
      </c>
      <c r="R305" t="s">
        <v>74</v>
      </c>
      <c r="S305" t="s">
        <v>74</v>
      </c>
      <c r="T305" t="s">
        <v>5964</v>
      </c>
      <c r="U305" t="s">
        <v>5965</v>
      </c>
      <c r="V305" t="s">
        <v>5966</v>
      </c>
      <c r="W305" t="s">
        <v>5967</v>
      </c>
      <c r="X305" t="s">
        <v>5968</v>
      </c>
      <c r="Y305" t="s">
        <v>5969</v>
      </c>
      <c r="Z305" t="s">
        <v>5970</v>
      </c>
      <c r="AA305" t="s">
        <v>5971</v>
      </c>
      <c r="AB305" t="s">
        <v>5972</v>
      </c>
      <c r="AC305" t="s">
        <v>5973</v>
      </c>
      <c r="AD305" t="s">
        <v>5974</v>
      </c>
      <c r="AE305" t="s">
        <v>5975</v>
      </c>
      <c r="AF305" t="s">
        <v>74</v>
      </c>
      <c r="AG305">
        <v>43</v>
      </c>
      <c r="AH305">
        <v>9</v>
      </c>
      <c r="AI305">
        <v>9</v>
      </c>
      <c r="AJ305">
        <v>1</v>
      </c>
      <c r="AK305">
        <v>18</v>
      </c>
      <c r="AL305" t="s">
        <v>3686</v>
      </c>
      <c r="AM305" t="s">
        <v>3687</v>
      </c>
      <c r="AN305" t="s">
        <v>3688</v>
      </c>
      <c r="AO305" t="s">
        <v>3689</v>
      </c>
      <c r="AP305" t="s">
        <v>3690</v>
      </c>
      <c r="AQ305" t="s">
        <v>74</v>
      </c>
      <c r="AR305" t="s">
        <v>3691</v>
      </c>
      <c r="AS305" t="s">
        <v>3692</v>
      </c>
      <c r="AT305" t="s">
        <v>5642</v>
      </c>
      <c r="AU305">
        <v>2013</v>
      </c>
      <c r="AV305">
        <v>51</v>
      </c>
      <c r="AW305">
        <v>6</v>
      </c>
      <c r="AX305">
        <v>1</v>
      </c>
      <c r="AY305" t="s">
        <v>74</v>
      </c>
      <c r="AZ305" t="s">
        <v>74</v>
      </c>
      <c r="BA305" t="s">
        <v>74</v>
      </c>
      <c r="BB305">
        <v>3217</v>
      </c>
      <c r="BC305">
        <v>3239</v>
      </c>
      <c r="BD305" t="s">
        <v>74</v>
      </c>
      <c r="BE305" t="s">
        <v>5976</v>
      </c>
      <c r="BF305" t="str">
        <f>HYPERLINK("http://dx.doi.org/10.1109/TGRS.2012.2225627","http://dx.doi.org/10.1109/TGRS.2012.2225627")</f>
        <v>http://dx.doi.org/10.1109/TGRS.2012.2225627</v>
      </c>
      <c r="BG305" t="s">
        <v>74</v>
      </c>
      <c r="BH305" t="s">
        <v>74</v>
      </c>
      <c r="BI305">
        <v>23</v>
      </c>
      <c r="BJ305" t="s">
        <v>3694</v>
      </c>
      <c r="BK305" t="s">
        <v>102</v>
      </c>
      <c r="BL305" t="s">
        <v>3695</v>
      </c>
      <c r="BM305" t="s">
        <v>5977</v>
      </c>
      <c r="BN305" t="s">
        <v>74</v>
      </c>
      <c r="BO305" t="s">
        <v>1014</v>
      </c>
      <c r="BP305" t="s">
        <v>74</v>
      </c>
      <c r="BQ305" t="s">
        <v>74</v>
      </c>
      <c r="BR305" t="s">
        <v>105</v>
      </c>
      <c r="BS305" t="s">
        <v>5978</v>
      </c>
      <c r="BT305" t="str">
        <f>HYPERLINK("https%3A%2F%2Fwww.webofscience.com%2Fwos%2Fwoscc%2Ffull-record%2FWOS:000320940600002","View Full Record in Web of Science")</f>
        <v>View Full Record in Web of Science</v>
      </c>
    </row>
    <row r="306" spans="1:72" x14ac:dyDescent="0.15">
      <c r="A306" t="s">
        <v>72</v>
      </c>
      <c r="B306" t="s">
        <v>5979</v>
      </c>
      <c r="C306" t="s">
        <v>74</v>
      </c>
      <c r="D306" t="s">
        <v>74</v>
      </c>
      <c r="E306" t="s">
        <v>74</v>
      </c>
      <c r="F306" t="s">
        <v>5980</v>
      </c>
      <c r="G306" t="s">
        <v>74</v>
      </c>
      <c r="H306" t="s">
        <v>74</v>
      </c>
      <c r="I306" t="s">
        <v>5981</v>
      </c>
      <c r="J306" t="s">
        <v>5982</v>
      </c>
      <c r="K306" t="s">
        <v>74</v>
      </c>
      <c r="L306" t="s">
        <v>74</v>
      </c>
      <c r="M306" t="s">
        <v>78</v>
      </c>
      <c r="N306" t="s">
        <v>79</v>
      </c>
      <c r="O306" t="s">
        <v>74</v>
      </c>
      <c r="P306" t="s">
        <v>74</v>
      </c>
      <c r="Q306" t="s">
        <v>74</v>
      </c>
      <c r="R306" t="s">
        <v>74</v>
      </c>
      <c r="S306" t="s">
        <v>74</v>
      </c>
      <c r="T306" t="s">
        <v>5983</v>
      </c>
      <c r="U306" t="s">
        <v>5984</v>
      </c>
      <c r="V306" t="s">
        <v>5985</v>
      </c>
      <c r="W306" t="s">
        <v>5986</v>
      </c>
      <c r="X306" t="s">
        <v>5987</v>
      </c>
      <c r="Y306" t="s">
        <v>5988</v>
      </c>
      <c r="Z306" t="s">
        <v>5989</v>
      </c>
      <c r="AA306" t="s">
        <v>5990</v>
      </c>
      <c r="AB306" t="s">
        <v>5991</v>
      </c>
      <c r="AC306" t="s">
        <v>5992</v>
      </c>
      <c r="AD306" t="s">
        <v>5993</v>
      </c>
      <c r="AE306" t="s">
        <v>5994</v>
      </c>
      <c r="AF306" t="s">
        <v>74</v>
      </c>
      <c r="AG306">
        <v>57</v>
      </c>
      <c r="AH306">
        <v>3</v>
      </c>
      <c r="AI306">
        <v>3</v>
      </c>
      <c r="AJ306">
        <v>0</v>
      </c>
      <c r="AK306">
        <v>8</v>
      </c>
      <c r="AL306" t="s">
        <v>1080</v>
      </c>
      <c r="AM306" t="s">
        <v>1081</v>
      </c>
      <c r="AN306" t="s">
        <v>1082</v>
      </c>
      <c r="AO306" t="s">
        <v>5995</v>
      </c>
      <c r="AP306" t="s">
        <v>5996</v>
      </c>
      <c r="AQ306" t="s">
        <v>74</v>
      </c>
      <c r="AR306" t="s">
        <v>5997</v>
      </c>
      <c r="AS306" t="s">
        <v>5998</v>
      </c>
      <c r="AT306" t="s">
        <v>5999</v>
      </c>
      <c r="AU306">
        <v>2013</v>
      </c>
      <c r="AV306">
        <v>80</v>
      </c>
      <c r="AW306">
        <v>2</v>
      </c>
      <c r="AX306" t="s">
        <v>74</v>
      </c>
      <c r="AY306" t="s">
        <v>74</v>
      </c>
      <c r="AZ306" t="s">
        <v>74</v>
      </c>
      <c r="BA306" t="s">
        <v>74</v>
      </c>
      <c r="BB306">
        <v>255</v>
      </c>
      <c r="BC306">
        <v>272</v>
      </c>
      <c r="BD306" t="s">
        <v>74</v>
      </c>
      <c r="BE306" t="s">
        <v>6000</v>
      </c>
      <c r="BF306" t="str">
        <f>HYPERLINK("http://dx.doi.org/10.1080/11250003.2012.758783","http://dx.doi.org/10.1080/11250003.2012.758783")</f>
        <v>http://dx.doi.org/10.1080/11250003.2012.758783</v>
      </c>
      <c r="BG306" t="s">
        <v>74</v>
      </c>
      <c r="BH306" t="s">
        <v>74</v>
      </c>
      <c r="BI306">
        <v>18</v>
      </c>
      <c r="BJ306" t="s">
        <v>2120</v>
      </c>
      <c r="BK306" t="s">
        <v>102</v>
      </c>
      <c r="BL306" t="s">
        <v>2120</v>
      </c>
      <c r="BM306" t="s">
        <v>6001</v>
      </c>
      <c r="BN306" t="s">
        <v>74</v>
      </c>
      <c r="BO306" t="s">
        <v>4146</v>
      </c>
      <c r="BP306" t="s">
        <v>74</v>
      </c>
      <c r="BQ306" t="s">
        <v>74</v>
      </c>
      <c r="BR306" t="s">
        <v>105</v>
      </c>
      <c r="BS306" t="s">
        <v>6002</v>
      </c>
      <c r="BT306" t="str">
        <f>HYPERLINK("https%3A%2F%2Fwww.webofscience.com%2Fwos%2Fwoscc%2Ffull-record%2FWOS:000320752200013","View Full Record in Web of Science")</f>
        <v>View Full Record in Web of Science</v>
      </c>
    </row>
    <row r="307" spans="1:72" x14ac:dyDescent="0.15">
      <c r="A307" t="s">
        <v>72</v>
      </c>
      <c r="B307" t="s">
        <v>6003</v>
      </c>
      <c r="C307" t="s">
        <v>74</v>
      </c>
      <c r="D307" t="s">
        <v>74</v>
      </c>
      <c r="E307" t="s">
        <v>74</v>
      </c>
      <c r="F307" t="s">
        <v>6004</v>
      </c>
      <c r="G307" t="s">
        <v>74</v>
      </c>
      <c r="H307" t="s">
        <v>74</v>
      </c>
      <c r="I307" t="s">
        <v>6005</v>
      </c>
      <c r="J307" t="s">
        <v>6006</v>
      </c>
      <c r="K307" t="s">
        <v>74</v>
      </c>
      <c r="L307" t="s">
        <v>74</v>
      </c>
      <c r="M307" t="s">
        <v>78</v>
      </c>
      <c r="N307" t="s">
        <v>79</v>
      </c>
      <c r="O307" t="s">
        <v>74</v>
      </c>
      <c r="P307" t="s">
        <v>74</v>
      </c>
      <c r="Q307" t="s">
        <v>74</v>
      </c>
      <c r="R307" t="s">
        <v>74</v>
      </c>
      <c r="S307" t="s">
        <v>74</v>
      </c>
      <c r="T307" t="s">
        <v>6007</v>
      </c>
      <c r="U307" t="s">
        <v>6008</v>
      </c>
      <c r="V307" t="s">
        <v>6009</v>
      </c>
      <c r="W307" t="s">
        <v>6010</v>
      </c>
      <c r="X307" t="s">
        <v>6011</v>
      </c>
      <c r="Y307" t="s">
        <v>6012</v>
      </c>
      <c r="Z307" t="s">
        <v>6013</v>
      </c>
      <c r="AA307" t="s">
        <v>74</v>
      </c>
      <c r="AB307" t="s">
        <v>74</v>
      </c>
      <c r="AC307" t="s">
        <v>74</v>
      </c>
      <c r="AD307" t="s">
        <v>74</v>
      </c>
      <c r="AE307" t="s">
        <v>74</v>
      </c>
      <c r="AF307" t="s">
        <v>74</v>
      </c>
      <c r="AG307">
        <v>82</v>
      </c>
      <c r="AH307">
        <v>8</v>
      </c>
      <c r="AI307">
        <v>8</v>
      </c>
      <c r="AJ307">
        <v>2</v>
      </c>
      <c r="AK307">
        <v>30</v>
      </c>
      <c r="AL307" t="s">
        <v>6014</v>
      </c>
      <c r="AM307" t="s">
        <v>6015</v>
      </c>
      <c r="AN307" t="s">
        <v>6016</v>
      </c>
      <c r="AO307" t="s">
        <v>6017</v>
      </c>
      <c r="AP307" t="s">
        <v>6018</v>
      </c>
      <c r="AQ307" t="s">
        <v>74</v>
      </c>
      <c r="AR307" t="s">
        <v>6019</v>
      </c>
      <c r="AS307" t="s">
        <v>6020</v>
      </c>
      <c r="AT307" t="s">
        <v>5642</v>
      </c>
      <c r="AU307">
        <v>2013</v>
      </c>
      <c r="AV307">
        <v>81</v>
      </c>
      <c r="AW307">
        <v>6</v>
      </c>
      <c r="AX307" t="s">
        <v>74</v>
      </c>
      <c r="AY307" t="s">
        <v>74</v>
      </c>
      <c r="AZ307" t="s">
        <v>74</v>
      </c>
      <c r="BA307" t="s">
        <v>74</v>
      </c>
      <c r="BB307">
        <v>791</v>
      </c>
      <c r="BC307">
        <v>803</v>
      </c>
      <c r="BD307" t="s">
        <v>74</v>
      </c>
      <c r="BE307" t="s">
        <v>6021</v>
      </c>
      <c r="BF307" t="str">
        <f>HYPERLINK("http://dx.doi.org/10.1007/s12594-013-0104-9","http://dx.doi.org/10.1007/s12594-013-0104-9")</f>
        <v>http://dx.doi.org/10.1007/s12594-013-0104-9</v>
      </c>
      <c r="BG307" t="s">
        <v>74</v>
      </c>
      <c r="BH307" t="s">
        <v>74</v>
      </c>
      <c r="BI307">
        <v>13</v>
      </c>
      <c r="BJ307" t="s">
        <v>1426</v>
      </c>
      <c r="BK307" t="s">
        <v>102</v>
      </c>
      <c r="BL307" t="s">
        <v>219</v>
      </c>
      <c r="BM307" t="s">
        <v>6022</v>
      </c>
      <c r="BN307" t="s">
        <v>74</v>
      </c>
      <c r="BO307" t="s">
        <v>74</v>
      </c>
      <c r="BP307" t="s">
        <v>74</v>
      </c>
      <c r="BQ307" t="s">
        <v>74</v>
      </c>
      <c r="BR307" t="s">
        <v>105</v>
      </c>
      <c r="BS307" t="s">
        <v>6023</v>
      </c>
      <c r="BT307" t="str">
        <f>HYPERLINK("https%3A%2F%2Fwww.webofscience.com%2Fwos%2Fwoscc%2Ffull-record%2FWOS:000321116000008","View Full Record in Web of Science")</f>
        <v>View Full Record in Web of Science</v>
      </c>
    </row>
    <row r="308" spans="1:72" x14ac:dyDescent="0.15">
      <c r="A308" t="s">
        <v>72</v>
      </c>
      <c r="B308" t="s">
        <v>6024</v>
      </c>
      <c r="C308" t="s">
        <v>74</v>
      </c>
      <c r="D308" t="s">
        <v>74</v>
      </c>
      <c r="E308" t="s">
        <v>74</v>
      </c>
      <c r="F308" t="s">
        <v>6025</v>
      </c>
      <c r="G308" t="s">
        <v>74</v>
      </c>
      <c r="H308" t="s">
        <v>74</v>
      </c>
      <c r="I308" t="s">
        <v>6026</v>
      </c>
      <c r="J308" t="s">
        <v>3406</v>
      </c>
      <c r="K308" t="s">
        <v>74</v>
      </c>
      <c r="L308" t="s">
        <v>74</v>
      </c>
      <c r="M308" t="s">
        <v>78</v>
      </c>
      <c r="N308" t="s">
        <v>79</v>
      </c>
      <c r="O308" t="s">
        <v>74</v>
      </c>
      <c r="P308" t="s">
        <v>74</v>
      </c>
      <c r="Q308" t="s">
        <v>74</v>
      </c>
      <c r="R308" t="s">
        <v>74</v>
      </c>
      <c r="S308" t="s">
        <v>74</v>
      </c>
      <c r="T308" t="s">
        <v>6027</v>
      </c>
      <c r="U308" t="s">
        <v>6028</v>
      </c>
      <c r="V308" t="s">
        <v>6029</v>
      </c>
      <c r="W308" t="s">
        <v>6030</v>
      </c>
      <c r="X308" t="s">
        <v>6031</v>
      </c>
      <c r="Y308" t="s">
        <v>6032</v>
      </c>
      <c r="Z308" t="s">
        <v>6033</v>
      </c>
      <c r="AA308" t="s">
        <v>6034</v>
      </c>
      <c r="AB308" t="s">
        <v>6035</v>
      </c>
      <c r="AC308" t="s">
        <v>6036</v>
      </c>
      <c r="AD308" t="s">
        <v>6037</v>
      </c>
      <c r="AE308" t="s">
        <v>6038</v>
      </c>
      <c r="AF308" t="s">
        <v>74</v>
      </c>
      <c r="AG308">
        <v>39</v>
      </c>
      <c r="AH308">
        <v>15</v>
      </c>
      <c r="AI308">
        <v>16</v>
      </c>
      <c r="AJ308">
        <v>0</v>
      </c>
      <c r="AK308">
        <v>10</v>
      </c>
      <c r="AL308" t="s">
        <v>154</v>
      </c>
      <c r="AM308" t="s">
        <v>155</v>
      </c>
      <c r="AN308" t="s">
        <v>156</v>
      </c>
      <c r="AO308" t="s">
        <v>3419</v>
      </c>
      <c r="AP308" t="s">
        <v>74</v>
      </c>
      <c r="AQ308" t="s">
        <v>74</v>
      </c>
      <c r="AR308" t="s">
        <v>3421</v>
      </c>
      <c r="AS308" t="s">
        <v>3422</v>
      </c>
      <c r="AT308" t="s">
        <v>5999</v>
      </c>
      <c r="AU308">
        <v>2013</v>
      </c>
      <c r="AV308">
        <v>340</v>
      </c>
      <c r="AW308" t="s">
        <v>74</v>
      </c>
      <c r="AX308" t="s">
        <v>74</v>
      </c>
      <c r="AY308" t="s">
        <v>74</v>
      </c>
      <c r="AZ308" t="s">
        <v>74</v>
      </c>
      <c r="BA308" t="s">
        <v>74</v>
      </c>
      <c r="BB308">
        <v>16</v>
      </c>
      <c r="BC308">
        <v>29</v>
      </c>
      <c r="BD308" t="s">
        <v>74</v>
      </c>
      <c r="BE308" t="s">
        <v>6039</v>
      </c>
      <c r="BF308" t="str">
        <f>HYPERLINK("http://dx.doi.org/10.1016/j.margeo.2013.04.011","http://dx.doi.org/10.1016/j.margeo.2013.04.011")</f>
        <v>http://dx.doi.org/10.1016/j.margeo.2013.04.011</v>
      </c>
      <c r="BG308" t="s">
        <v>74</v>
      </c>
      <c r="BH308" t="s">
        <v>74</v>
      </c>
      <c r="BI308">
        <v>14</v>
      </c>
      <c r="BJ308" t="s">
        <v>3425</v>
      </c>
      <c r="BK308" t="s">
        <v>102</v>
      </c>
      <c r="BL308" t="s">
        <v>3426</v>
      </c>
      <c r="BM308" t="s">
        <v>6040</v>
      </c>
      <c r="BN308" t="s">
        <v>74</v>
      </c>
      <c r="BO308" t="s">
        <v>74</v>
      </c>
      <c r="BP308" t="s">
        <v>74</v>
      </c>
      <c r="BQ308" t="s">
        <v>74</v>
      </c>
      <c r="BR308" t="s">
        <v>105</v>
      </c>
      <c r="BS308" t="s">
        <v>6041</v>
      </c>
      <c r="BT308" t="str">
        <f>HYPERLINK("https%3A%2F%2Fwww.webofscience.com%2Fwos%2Fwoscc%2Ffull-record%2FWOS:000321603800002","View Full Record in Web of Science")</f>
        <v>View Full Record in Web of Science</v>
      </c>
    </row>
    <row r="309" spans="1:72" x14ac:dyDescent="0.15">
      <c r="A309" t="s">
        <v>72</v>
      </c>
      <c r="B309" t="s">
        <v>6042</v>
      </c>
      <c r="C309" t="s">
        <v>74</v>
      </c>
      <c r="D309" t="s">
        <v>74</v>
      </c>
      <c r="E309" t="s">
        <v>74</v>
      </c>
      <c r="F309" t="s">
        <v>6043</v>
      </c>
      <c r="G309" t="s">
        <v>74</v>
      </c>
      <c r="H309" t="s">
        <v>74</v>
      </c>
      <c r="I309" t="s">
        <v>6044</v>
      </c>
      <c r="J309" t="s">
        <v>6045</v>
      </c>
      <c r="K309" t="s">
        <v>74</v>
      </c>
      <c r="L309" t="s">
        <v>74</v>
      </c>
      <c r="M309" t="s">
        <v>78</v>
      </c>
      <c r="N309" t="s">
        <v>79</v>
      </c>
      <c r="O309" t="s">
        <v>74</v>
      </c>
      <c r="P309" t="s">
        <v>74</v>
      </c>
      <c r="Q309" t="s">
        <v>74</v>
      </c>
      <c r="R309" t="s">
        <v>74</v>
      </c>
      <c r="S309" t="s">
        <v>74</v>
      </c>
      <c r="T309" t="s">
        <v>74</v>
      </c>
      <c r="U309" t="s">
        <v>6046</v>
      </c>
      <c r="V309" t="s">
        <v>6047</v>
      </c>
      <c r="W309" t="s">
        <v>6048</v>
      </c>
      <c r="X309" t="s">
        <v>6049</v>
      </c>
      <c r="Y309" t="s">
        <v>6050</v>
      </c>
      <c r="Z309" t="s">
        <v>6051</v>
      </c>
      <c r="AA309" t="s">
        <v>6052</v>
      </c>
      <c r="AB309" t="s">
        <v>6053</v>
      </c>
      <c r="AC309" t="s">
        <v>6054</v>
      </c>
      <c r="AD309" t="s">
        <v>6055</v>
      </c>
      <c r="AE309" t="s">
        <v>6056</v>
      </c>
      <c r="AF309" t="s">
        <v>74</v>
      </c>
      <c r="AG309">
        <v>76</v>
      </c>
      <c r="AH309">
        <v>19</v>
      </c>
      <c r="AI309">
        <v>20</v>
      </c>
      <c r="AJ309">
        <v>1</v>
      </c>
      <c r="AK309">
        <v>16</v>
      </c>
      <c r="AL309" t="s">
        <v>390</v>
      </c>
      <c r="AM309" t="s">
        <v>391</v>
      </c>
      <c r="AN309" t="s">
        <v>392</v>
      </c>
      <c r="AO309" t="s">
        <v>6057</v>
      </c>
      <c r="AP309" t="s">
        <v>6058</v>
      </c>
      <c r="AQ309" t="s">
        <v>74</v>
      </c>
      <c r="AR309" t="s">
        <v>6045</v>
      </c>
      <c r="AS309" t="s">
        <v>6059</v>
      </c>
      <c r="AT309" t="s">
        <v>6060</v>
      </c>
      <c r="AU309">
        <v>2013</v>
      </c>
      <c r="AV309">
        <v>39</v>
      </c>
      <c r="AW309">
        <v>3</v>
      </c>
      <c r="AX309" t="s">
        <v>74</v>
      </c>
      <c r="AY309" t="s">
        <v>74</v>
      </c>
      <c r="AZ309" t="s">
        <v>74</v>
      </c>
      <c r="BA309" t="s">
        <v>74</v>
      </c>
      <c r="BB309">
        <v>491</v>
      </c>
      <c r="BC309">
        <v>509</v>
      </c>
      <c r="BD309" t="s">
        <v>74</v>
      </c>
      <c r="BE309" t="s">
        <v>6061</v>
      </c>
      <c r="BF309" t="str">
        <f>HYPERLINK("http://dx.doi.org/10.1666/12016","http://dx.doi.org/10.1666/12016")</f>
        <v>http://dx.doi.org/10.1666/12016</v>
      </c>
      <c r="BG309" t="s">
        <v>74</v>
      </c>
      <c r="BH309" t="s">
        <v>74</v>
      </c>
      <c r="BI309">
        <v>19</v>
      </c>
      <c r="BJ309" t="s">
        <v>6062</v>
      </c>
      <c r="BK309" t="s">
        <v>102</v>
      </c>
      <c r="BL309" t="s">
        <v>6063</v>
      </c>
      <c r="BM309" t="s">
        <v>6064</v>
      </c>
      <c r="BN309" t="s">
        <v>74</v>
      </c>
      <c r="BO309" t="s">
        <v>74</v>
      </c>
      <c r="BP309" t="s">
        <v>74</v>
      </c>
      <c r="BQ309" t="s">
        <v>74</v>
      </c>
      <c r="BR309" t="s">
        <v>105</v>
      </c>
      <c r="BS309" t="s">
        <v>6065</v>
      </c>
      <c r="BT309" t="str">
        <f>HYPERLINK("https%3A%2F%2Fwww.webofscience.com%2Fwos%2Fwoscc%2Ffull-record%2FWOS:000321533800008","View Full Record in Web of Science")</f>
        <v>View Full Record in Web of Science</v>
      </c>
    </row>
    <row r="310" spans="1:72" x14ac:dyDescent="0.15">
      <c r="A310" t="s">
        <v>72</v>
      </c>
      <c r="B310" t="s">
        <v>6066</v>
      </c>
      <c r="C310" t="s">
        <v>74</v>
      </c>
      <c r="D310" t="s">
        <v>74</v>
      </c>
      <c r="E310" t="s">
        <v>74</v>
      </c>
      <c r="F310" t="s">
        <v>6067</v>
      </c>
      <c r="G310" t="s">
        <v>74</v>
      </c>
      <c r="H310" t="s">
        <v>74</v>
      </c>
      <c r="I310" t="s">
        <v>6068</v>
      </c>
      <c r="J310" t="s">
        <v>6069</v>
      </c>
      <c r="K310" t="s">
        <v>74</v>
      </c>
      <c r="L310" t="s">
        <v>74</v>
      </c>
      <c r="M310" t="s">
        <v>78</v>
      </c>
      <c r="N310" t="s">
        <v>79</v>
      </c>
      <c r="O310" t="s">
        <v>74</v>
      </c>
      <c r="P310" t="s">
        <v>74</v>
      </c>
      <c r="Q310" t="s">
        <v>74</v>
      </c>
      <c r="R310" t="s">
        <v>74</v>
      </c>
      <c r="S310" t="s">
        <v>74</v>
      </c>
      <c r="T310" t="s">
        <v>6070</v>
      </c>
      <c r="U310" t="s">
        <v>6071</v>
      </c>
      <c r="V310" t="s">
        <v>6072</v>
      </c>
      <c r="W310" t="s">
        <v>6073</v>
      </c>
      <c r="X310" t="s">
        <v>6074</v>
      </c>
      <c r="Y310" t="s">
        <v>6075</v>
      </c>
      <c r="Z310" t="s">
        <v>6076</v>
      </c>
      <c r="AA310" t="s">
        <v>6077</v>
      </c>
      <c r="AB310" t="s">
        <v>6078</v>
      </c>
      <c r="AC310" t="s">
        <v>6079</v>
      </c>
      <c r="AD310" t="s">
        <v>6080</v>
      </c>
      <c r="AE310" t="s">
        <v>6081</v>
      </c>
      <c r="AF310" t="s">
        <v>74</v>
      </c>
      <c r="AG310">
        <v>66</v>
      </c>
      <c r="AH310">
        <v>15</v>
      </c>
      <c r="AI310">
        <v>17</v>
      </c>
      <c r="AJ310">
        <v>0</v>
      </c>
      <c r="AK310">
        <v>23</v>
      </c>
      <c r="AL310" t="s">
        <v>154</v>
      </c>
      <c r="AM310" t="s">
        <v>155</v>
      </c>
      <c r="AN310" t="s">
        <v>156</v>
      </c>
      <c r="AO310" t="s">
        <v>6082</v>
      </c>
      <c r="AP310" t="s">
        <v>6083</v>
      </c>
      <c r="AQ310" t="s">
        <v>74</v>
      </c>
      <c r="AR310" t="s">
        <v>6084</v>
      </c>
      <c r="AS310" t="s">
        <v>6085</v>
      </c>
      <c r="AT310" t="s">
        <v>5642</v>
      </c>
      <c r="AU310">
        <v>2013</v>
      </c>
      <c r="AV310">
        <v>7</v>
      </c>
      <c r="AW310">
        <v>2</v>
      </c>
      <c r="AX310" t="s">
        <v>74</v>
      </c>
      <c r="AY310" t="s">
        <v>74</v>
      </c>
      <c r="AZ310" t="s">
        <v>74</v>
      </c>
      <c r="BA310" t="s">
        <v>74</v>
      </c>
      <c r="BB310">
        <v>53</v>
      </c>
      <c r="BC310">
        <v>71</v>
      </c>
      <c r="BD310" t="s">
        <v>74</v>
      </c>
      <c r="BE310" t="s">
        <v>6086</v>
      </c>
      <c r="BF310" t="str">
        <f>HYPERLINK("http://dx.doi.org/10.1016/j.polar.2013.02.001","http://dx.doi.org/10.1016/j.polar.2013.02.001")</f>
        <v>http://dx.doi.org/10.1016/j.polar.2013.02.001</v>
      </c>
      <c r="BG310" t="s">
        <v>74</v>
      </c>
      <c r="BH310" t="s">
        <v>74</v>
      </c>
      <c r="BI310">
        <v>19</v>
      </c>
      <c r="BJ310" t="s">
        <v>6087</v>
      </c>
      <c r="BK310" t="s">
        <v>102</v>
      </c>
      <c r="BL310" t="s">
        <v>6088</v>
      </c>
      <c r="BM310" t="s">
        <v>6089</v>
      </c>
      <c r="BN310" t="s">
        <v>74</v>
      </c>
      <c r="BO310" t="s">
        <v>248</v>
      </c>
      <c r="BP310" t="s">
        <v>74</v>
      </c>
      <c r="BQ310" t="s">
        <v>74</v>
      </c>
      <c r="BR310" t="s">
        <v>105</v>
      </c>
      <c r="BS310" t="s">
        <v>6090</v>
      </c>
      <c r="BT310" t="str">
        <f>HYPERLINK("https%3A%2F%2Fwww.webofscience.com%2Fwos%2Fwoscc%2Ffull-record%2FWOS:000321595400002","View Full Record in Web of Science")</f>
        <v>View Full Record in Web of Science</v>
      </c>
    </row>
    <row r="311" spans="1:72" x14ac:dyDescent="0.15">
      <c r="A311" t="s">
        <v>72</v>
      </c>
      <c r="B311" t="s">
        <v>6091</v>
      </c>
      <c r="C311" t="s">
        <v>74</v>
      </c>
      <c r="D311" t="s">
        <v>74</v>
      </c>
      <c r="E311" t="s">
        <v>74</v>
      </c>
      <c r="F311" t="s">
        <v>6092</v>
      </c>
      <c r="G311" t="s">
        <v>74</v>
      </c>
      <c r="H311" t="s">
        <v>74</v>
      </c>
      <c r="I311" t="s">
        <v>6093</v>
      </c>
      <c r="J311" t="s">
        <v>1366</v>
      </c>
      <c r="K311" t="s">
        <v>74</v>
      </c>
      <c r="L311" t="s">
        <v>74</v>
      </c>
      <c r="M311" t="s">
        <v>78</v>
      </c>
      <c r="N311" t="s">
        <v>79</v>
      </c>
      <c r="O311" t="s">
        <v>74</v>
      </c>
      <c r="P311" t="s">
        <v>74</v>
      </c>
      <c r="Q311" t="s">
        <v>74</v>
      </c>
      <c r="R311" t="s">
        <v>74</v>
      </c>
      <c r="S311" t="s">
        <v>74</v>
      </c>
      <c r="T311" t="s">
        <v>6094</v>
      </c>
      <c r="U311" t="s">
        <v>6095</v>
      </c>
      <c r="V311" t="s">
        <v>6096</v>
      </c>
      <c r="W311" t="s">
        <v>6097</v>
      </c>
      <c r="X311" t="s">
        <v>6098</v>
      </c>
      <c r="Y311" t="s">
        <v>6099</v>
      </c>
      <c r="Z311" t="s">
        <v>6100</v>
      </c>
      <c r="AA311" t="s">
        <v>6101</v>
      </c>
      <c r="AB311" t="s">
        <v>6102</v>
      </c>
      <c r="AC311" t="s">
        <v>6103</v>
      </c>
      <c r="AD311" t="s">
        <v>6104</v>
      </c>
      <c r="AE311" t="s">
        <v>6105</v>
      </c>
      <c r="AF311" t="s">
        <v>74</v>
      </c>
      <c r="AG311">
        <v>58</v>
      </c>
      <c r="AH311">
        <v>23</v>
      </c>
      <c r="AI311">
        <v>25</v>
      </c>
      <c r="AJ311">
        <v>2</v>
      </c>
      <c r="AK311">
        <v>61</v>
      </c>
      <c r="AL311" t="s">
        <v>154</v>
      </c>
      <c r="AM311" t="s">
        <v>155</v>
      </c>
      <c r="AN311" t="s">
        <v>156</v>
      </c>
      <c r="AO311" t="s">
        <v>1379</v>
      </c>
      <c r="AP311" t="s">
        <v>1380</v>
      </c>
      <c r="AQ311" t="s">
        <v>74</v>
      </c>
      <c r="AR311" t="s">
        <v>1381</v>
      </c>
      <c r="AS311" t="s">
        <v>1382</v>
      </c>
      <c r="AT311" t="s">
        <v>5642</v>
      </c>
      <c r="AU311">
        <v>2013</v>
      </c>
      <c r="AV311">
        <v>371</v>
      </c>
      <c r="AW311" t="s">
        <v>74</v>
      </c>
      <c r="AX311" t="s">
        <v>74</v>
      </c>
      <c r="AY311" t="s">
        <v>74</v>
      </c>
      <c r="AZ311" t="s">
        <v>74</v>
      </c>
      <c r="BA311" t="s">
        <v>74</v>
      </c>
      <c r="BB311">
        <v>203</v>
      </c>
      <c r="BC311">
        <v>211</v>
      </c>
      <c r="BD311" t="s">
        <v>74</v>
      </c>
      <c r="BE311" t="s">
        <v>6106</v>
      </c>
      <c r="BF311" t="str">
        <f>HYPERLINK("http://dx.doi.org/10.1016/j.epsl.2013.03.049","http://dx.doi.org/10.1016/j.epsl.2013.03.049")</f>
        <v>http://dx.doi.org/10.1016/j.epsl.2013.03.049</v>
      </c>
      <c r="BG311" t="s">
        <v>74</v>
      </c>
      <c r="BH311" t="s">
        <v>74</v>
      </c>
      <c r="BI311">
        <v>9</v>
      </c>
      <c r="BJ311" t="s">
        <v>766</v>
      </c>
      <c r="BK311" t="s">
        <v>102</v>
      </c>
      <c r="BL311" t="s">
        <v>766</v>
      </c>
      <c r="BM311" t="s">
        <v>6107</v>
      </c>
      <c r="BN311" t="s">
        <v>74</v>
      </c>
      <c r="BO311" t="s">
        <v>74</v>
      </c>
      <c r="BP311" t="s">
        <v>74</v>
      </c>
      <c r="BQ311" t="s">
        <v>74</v>
      </c>
      <c r="BR311" t="s">
        <v>105</v>
      </c>
      <c r="BS311" t="s">
        <v>6108</v>
      </c>
      <c r="BT311" t="str">
        <f>HYPERLINK("https%3A%2F%2Fwww.webofscience.com%2Fwos%2Fwoscc%2Ffull-record%2FWOS:000321077400020","View Full Record in Web of Science")</f>
        <v>View Full Record in Web of Science</v>
      </c>
    </row>
    <row r="312" spans="1:72" x14ac:dyDescent="0.15">
      <c r="A312" t="s">
        <v>72</v>
      </c>
      <c r="B312" t="s">
        <v>6109</v>
      </c>
      <c r="C312" t="s">
        <v>74</v>
      </c>
      <c r="D312" t="s">
        <v>74</v>
      </c>
      <c r="E312" t="s">
        <v>74</v>
      </c>
      <c r="F312" t="s">
        <v>6110</v>
      </c>
      <c r="G312" t="s">
        <v>74</v>
      </c>
      <c r="H312" t="s">
        <v>74</v>
      </c>
      <c r="I312" t="s">
        <v>6111</v>
      </c>
      <c r="J312" t="s">
        <v>542</v>
      </c>
      <c r="K312" t="s">
        <v>74</v>
      </c>
      <c r="L312" t="s">
        <v>74</v>
      </c>
      <c r="M312" t="s">
        <v>78</v>
      </c>
      <c r="N312" t="s">
        <v>79</v>
      </c>
      <c r="O312" t="s">
        <v>74</v>
      </c>
      <c r="P312" t="s">
        <v>74</v>
      </c>
      <c r="Q312" t="s">
        <v>74</v>
      </c>
      <c r="R312" t="s">
        <v>74</v>
      </c>
      <c r="S312" t="s">
        <v>74</v>
      </c>
      <c r="T312" t="s">
        <v>6112</v>
      </c>
      <c r="U312" t="s">
        <v>6113</v>
      </c>
      <c r="V312" t="s">
        <v>6114</v>
      </c>
      <c r="W312" t="s">
        <v>6115</v>
      </c>
      <c r="X312" t="s">
        <v>6116</v>
      </c>
      <c r="Y312" t="s">
        <v>6117</v>
      </c>
      <c r="Z312" t="s">
        <v>6118</v>
      </c>
      <c r="AA312" t="s">
        <v>6119</v>
      </c>
      <c r="AB312" t="s">
        <v>6120</v>
      </c>
      <c r="AC312" t="s">
        <v>6121</v>
      </c>
      <c r="AD312" t="s">
        <v>6122</v>
      </c>
      <c r="AE312" t="s">
        <v>6123</v>
      </c>
      <c r="AF312" t="s">
        <v>74</v>
      </c>
      <c r="AG312">
        <v>43</v>
      </c>
      <c r="AH312">
        <v>12</v>
      </c>
      <c r="AI312">
        <v>13</v>
      </c>
      <c r="AJ312">
        <v>0</v>
      </c>
      <c r="AK312">
        <v>11</v>
      </c>
      <c r="AL312" t="s">
        <v>237</v>
      </c>
      <c r="AM312" t="s">
        <v>238</v>
      </c>
      <c r="AN312" t="s">
        <v>1197</v>
      </c>
      <c r="AO312" t="s">
        <v>555</v>
      </c>
      <c r="AP312" t="s">
        <v>575</v>
      </c>
      <c r="AQ312" t="s">
        <v>74</v>
      </c>
      <c r="AR312" t="s">
        <v>556</v>
      </c>
      <c r="AS312" t="s">
        <v>557</v>
      </c>
      <c r="AT312" t="s">
        <v>5642</v>
      </c>
      <c r="AU312">
        <v>2013</v>
      </c>
      <c r="AV312">
        <v>26</v>
      </c>
      <c r="AW312">
        <v>12</v>
      </c>
      <c r="AX312" t="s">
        <v>74</v>
      </c>
      <c r="AY312" t="s">
        <v>74</v>
      </c>
      <c r="AZ312" t="s">
        <v>74</v>
      </c>
      <c r="BA312" t="s">
        <v>74</v>
      </c>
      <c r="BB312">
        <v>4264</v>
      </c>
      <c r="BC312">
        <v>4281</v>
      </c>
      <c r="BD312" t="s">
        <v>74</v>
      </c>
      <c r="BE312" t="s">
        <v>6124</v>
      </c>
      <c r="BF312" t="str">
        <f>HYPERLINK("http://dx.doi.org/10.1175/JCLI-D-12-00519.1","http://dx.doi.org/10.1175/JCLI-D-12-00519.1")</f>
        <v>http://dx.doi.org/10.1175/JCLI-D-12-00519.1</v>
      </c>
      <c r="BG312" t="s">
        <v>74</v>
      </c>
      <c r="BH312" t="s">
        <v>74</v>
      </c>
      <c r="BI312">
        <v>18</v>
      </c>
      <c r="BJ312" t="s">
        <v>305</v>
      </c>
      <c r="BK312" t="s">
        <v>102</v>
      </c>
      <c r="BL312" t="s">
        <v>305</v>
      </c>
      <c r="BM312" t="s">
        <v>6125</v>
      </c>
      <c r="BN312" t="s">
        <v>74</v>
      </c>
      <c r="BO312" t="s">
        <v>104</v>
      </c>
      <c r="BP312" t="s">
        <v>74</v>
      </c>
      <c r="BQ312" t="s">
        <v>74</v>
      </c>
      <c r="BR312" t="s">
        <v>105</v>
      </c>
      <c r="BS312" t="s">
        <v>6126</v>
      </c>
      <c r="BT312" t="str">
        <f>HYPERLINK("https%3A%2F%2Fwww.webofscience.com%2Fwos%2Fwoscc%2Ffull-record%2FWOS:000320885300019","View Full Record in Web of Science")</f>
        <v>View Full Record in Web of Science</v>
      </c>
    </row>
    <row r="313" spans="1:72" x14ac:dyDescent="0.15">
      <c r="A313" t="s">
        <v>72</v>
      </c>
      <c r="B313" t="s">
        <v>6127</v>
      </c>
      <c r="C313" t="s">
        <v>74</v>
      </c>
      <c r="D313" t="s">
        <v>74</v>
      </c>
      <c r="E313" t="s">
        <v>74</v>
      </c>
      <c r="F313" t="s">
        <v>6128</v>
      </c>
      <c r="G313" t="s">
        <v>74</v>
      </c>
      <c r="H313" t="s">
        <v>74</v>
      </c>
      <c r="I313" t="s">
        <v>6129</v>
      </c>
      <c r="J313" t="s">
        <v>6130</v>
      </c>
      <c r="K313" t="s">
        <v>74</v>
      </c>
      <c r="L313" t="s">
        <v>74</v>
      </c>
      <c r="M313" t="s">
        <v>78</v>
      </c>
      <c r="N313" t="s">
        <v>79</v>
      </c>
      <c r="O313" t="s">
        <v>74</v>
      </c>
      <c r="P313" t="s">
        <v>74</v>
      </c>
      <c r="Q313" t="s">
        <v>74</v>
      </c>
      <c r="R313" t="s">
        <v>74</v>
      </c>
      <c r="S313" t="s">
        <v>74</v>
      </c>
      <c r="T313" t="s">
        <v>6131</v>
      </c>
      <c r="U313" t="s">
        <v>6132</v>
      </c>
      <c r="V313" t="s">
        <v>6133</v>
      </c>
      <c r="W313" t="s">
        <v>6134</v>
      </c>
      <c r="X313" t="s">
        <v>6135</v>
      </c>
      <c r="Y313" t="s">
        <v>6136</v>
      </c>
      <c r="Z313" t="s">
        <v>6137</v>
      </c>
      <c r="AA313" t="s">
        <v>6138</v>
      </c>
      <c r="AB313" t="s">
        <v>6139</v>
      </c>
      <c r="AC313" t="s">
        <v>6140</v>
      </c>
      <c r="AD313" t="s">
        <v>6141</v>
      </c>
      <c r="AE313" t="s">
        <v>6142</v>
      </c>
      <c r="AF313" t="s">
        <v>74</v>
      </c>
      <c r="AG313">
        <v>33</v>
      </c>
      <c r="AH313">
        <v>17</v>
      </c>
      <c r="AI313">
        <v>17</v>
      </c>
      <c r="AJ313">
        <v>0</v>
      </c>
      <c r="AK313">
        <v>23</v>
      </c>
      <c r="AL313" t="s">
        <v>341</v>
      </c>
      <c r="AM313" t="s">
        <v>342</v>
      </c>
      <c r="AN313" t="s">
        <v>343</v>
      </c>
      <c r="AO313" t="s">
        <v>6143</v>
      </c>
      <c r="AP313" t="s">
        <v>6144</v>
      </c>
      <c r="AQ313" t="s">
        <v>74</v>
      </c>
      <c r="AR313" t="s">
        <v>6145</v>
      </c>
      <c r="AS313" t="s">
        <v>6146</v>
      </c>
      <c r="AT313" t="s">
        <v>5642</v>
      </c>
      <c r="AU313">
        <v>2013</v>
      </c>
      <c r="AV313">
        <v>2013</v>
      </c>
      <c r="AW313">
        <v>18</v>
      </c>
      <c r="AX313" t="s">
        <v>74</v>
      </c>
      <c r="AY313" t="s">
        <v>74</v>
      </c>
      <c r="AZ313" t="s">
        <v>74</v>
      </c>
      <c r="BA313" t="s">
        <v>74</v>
      </c>
      <c r="BB313">
        <v>3771</v>
      </c>
      <c r="BC313">
        <v>3779</v>
      </c>
      <c r="BD313" t="s">
        <v>74</v>
      </c>
      <c r="BE313" t="s">
        <v>6147</v>
      </c>
      <c r="BF313" t="str">
        <f>HYPERLINK("http://dx.doi.org/10.1002/ejoc.201300005","http://dx.doi.org/10.1002/ejoc.201300005")</f>
        <v>http://dx.doi.org/10.1002/ejoc.201300005</v>
      </c>
      <c r="BG313" t="s">
        <v>74</v>
      </c>
      <c r="BH313" t="s">
        <v>74</v>
      </c>
      <c r="BI313">
        <v>9</v>
      </c>
      <c r="BJ313" t="s">
        <v>6148</v>
      </c>
      <c r="BK313" t="s">
        <v>102</v>
      </c>
      <c r="BL313" t="s">
        <v>350</v>
      </c>
      <c r="BM313" t="s">
        <v>6149</v>
      </c>
      <c r="BN313" t="s">
        <v>74</v>
      </c>
      <c r="BO313" t="s">
        <v>74</v>
      </c>
      <c r="BP313" t="s">
        <v>74</v>
      </c>
      <c r="BQ313" t="s">
        <v>74</v>
      </c>
      <c r="BR313" t="s">
        <v>105</v>
      </c>
      <c r="BS313" t="s">
        <v>6150</v>
      </c>
      <c r="BT313" t="str">
        <f>HYPERLINK("https%3A%2F%2Fwww.webofscience.com%2Fwos%2Fwoscc%2Ffull-record%2FWOS:000320385000022","View Full Record in Web of Science")</f>
        <v>View Full Record in Web of Science</v>
      </c>
    </row>
    <row r="314" spans="1:72" x14ac:dyDescent="0.15">
      <c r="A314" t="s">
        <v>72</v>
      </c>
      <c r="B314" t="s">
        <v>6151</v>
      </c>
      <c r="C314" t="s">
        <v>74</v>
      </c>
      <c r="D314" t="s">
        <v>74</v>
      </c>
      <c r="E314" t="s">
        <v>74</v>
      </c>
      <c r="F314" t="s">
        <v>6152</v>
      </c>
      <c r="G314" t="s">
        <v>74</v>
      </c>
      <c r="H314" t="s">
        <v>74</v>
      </c>
      <c r="I314" t="s">
        <v>6153</v>
      </c>
      <c r="J314" t="s">
        <v>6154</v>
      </c>
      <c r="K314" t="s">
        <v>74</v>
      </c>
      <c r="L314" t="s">
        <v>74</v>
      </c>
      <c r="M314" t="s">
        <v>78</v>
      </c>
      <c r="N314" t="s">
        <v>79</v>
      </c>
      <c r="O314" t="s">
        <v>74</v>
      </c>
      <c r="P314" t="s">
        <v>74</v>
      </c>
      <c r="Q314" t="s">
        <v>74</v>
      </c>
      <c r="R314" t="s">
        <v>74</v>
      </c>
      <c r="S314" t="s">
        <v>74</v>
      </c>
      <c r="T314" t="s">
        <v>74</v>
      </c>
      <c r="U314" t="s">
        <v>6155</v>
      </c>
      <c r="V314" t="s">
        <v>6156</v>
      </c>
      <c r="W314" t="s">
        <v>6157</v>
      </c>
      <c r="X314" t="s">
        <v>6158</v>
      </c>
      <c r="Y314" t="s">
        <v>6159</v>
      </c>
      <c r="Z314" t="s">
        <v>6160</v>
      </c>
      <c r="AA314" t="s">
        <v>6161</v>
      </c>
      <c r="AB314" t="s">
        <v>6162</v>
      </c>
      <c r="AC314" t="s">
        <v>6163</v>
      </c>
      <c r="AD314" t="s">
        <v>6164</v>
      </c>
      <c r="AE314" t="s">
        <v>6165</v>
      </c>
      <c r="AF314" t="s">
        <v>74</v>
      </c>
      <c r="AG314">
        <v>64</v>
      </c>
      <c r="AH314">
        <v>7</v>
      </c>
      <c r="AI314">
        <v>9</v>
      </c>
      <c r="AJ314">
        <v>0</v>
      </c>
      <c r="AK314">
        <v>12</v>
      </c>
      <c r="AL314" t="s">
        <v>279</v>
      </c>
      <c r="AM314" t="s">
        <v>280</v>
      </c>
      <c r="AN314" t="s">
        <v>281</v>
      </c>
      <c r="AO314" t="s">
        <v>6166</v>
      </c>
      <c r="AP314" t="s">
        <v>74</v>
      </c>
      <c r="AQ314" t="s">
        <v>74</v>
      </c>
      <c r="AR314" t="s">
        <v>6154</v>
      </c>
      <c r="AS314" t="s">
        <v>6167</v>
      </c>
      <c r="AT314" t="s">
        <v>5642</v>
      </c>
      <c r="AU314">
        <v>2013</v>
      </c>
      <c r="AV314">
        <v>9</v>
      </c>
      <c r="AW314">
        <v>3</v>
      </c>
      <c r="AX314" t="s">
        <v>74</v>
      </c>
      <c r="AY314" t="s">
        <v>74</v>
      </c>
      <c r="AZ314" t="s">
        <v>74</v>
      </c>
      <c r="BA314" t="s">
        <v>74</v>
      </c>
      <c r="BB314">
        <v>489</v>
      </c>
      <c r="BC314">
        <v>509</v>
      </c>
      <c r="BD314" t="s">
        <v>74</v>
      </c>
      <c r="BE314" t="s">
        <v>6168</v>
      </c>
      <c r="BF314" t="str">
        <f>HYPERLINK("http://dx.doi.org/10.1130/GES00704.1","http://dx.doi.org/10.1130/GES00704.1")</f>
        <v>http://dx.doi.org/10.1130/GES00704.1</v>
      </c>
      <c r="BG314" t="s">
        <v>74</v>
      </c>
      <c r="BH314" t="s">
        <v>74</v>
      </c>
      <c r="BI314">
        <v>21</v>
      </c>
      <c r="BJ314" t="s">
        <v>1426</v>
      </c>
      <c r="BK314" t="s">
        <v>102</v>
      </c>
      <c r="BL314" t="s">
        <v>219</v>
      </c>
      <c r="BM314" t="s">
        <v>6169</v>
      </c>
      <c r="BN314" t="s">
        <v>74</v>
      </c>
      <c r="BO314" t="s">
        <v>6170</v>
      </c>
      <c r="BP314" t="s">
        <v>74</v>
      </c>
      <c r="BQ314" t="s">
        <v>74</v>
      </c>
      <c r="BR314" t="s">
        <v>105</v>
      </c>
      <c r="BS314" t="s">
        <v>6171</v>
      </c>
      <c r="BT314" t="str">
        <f>HYPERLINK("https%3A%2F%2Fwww.webofscience.com%2Fwos%2Fwoscc%2Ffull-record%2FWOS:000320702100006","View Full Record in Web of Science")</f>
        <v>View Full Record in Web of Science</v>
      </c>
    </row>
    <row r="315" spans="1:72" x14ac:dyDescent="0.15">
      <c r="A315" t="s">
        <v>72</v>
      </c>
      <c r="B315" t="s">
        <v>6172</v>
      </c>
      <c r="C315" t="s">
        <v>74</v>
      </c>
      <c r="D315" t="s">
        <v>74</v>
      </c>
      <c r="E315" t="s">
        <v>74</v>
      </c>
      <c r="F315" t="s">
        <v>6173</v>
      </c>
      <c r="G315" t="s">
        <v>74</v>
      </c>
      <c r="H315" t="s">
        <v>74</v>
      </c>
      <c r="I315" t="s">
        <v>6174</v>
      </c>
      <c r="J315" t="s">
        <v>6175</v>
      </c>
      <c r="K315" t="s">
        <v>74</v>
      </c>
      <c r="L315" t="s">
        <v>74</v>
      </c>
      <c r="M315" t="s">
        <v>78</v>
      </c>
      <c r="N315" t="s">
        <v>79</v>
      </c>
      <c r="O315" t="s">
        <v>74</v>
      </c>
      <c r="P315" t="s">
        <v>74</v>
      </c>
      <c r="Q315" t="s">
        <v>74</v>
      </c>
      <c r="R315" t="s">
        <v>74</v>
      </c>
      <c r="S315" t="s">
        <v>74</v>
      </c>
      <c r="T315" t="s">
        <v>6176</v>
      </c>
      <c r="U315" t="s">
        <v>6177</v>
      </c>
      <c r="V315" t="s">
        <v>6178</v>
      </c>
      <c r="W315" t="s">
        <v>6179</v>
      </c>
      <c r="X315" t="s">
        <v>6180</v>
      </c>
      <c r="Y315" t="s">
        <v>6181</v>
      </c>
      <c r="Z315" t="s">
        <v>6182</v>
      </c>
      <c r="AA315" t="s">
        <v>6183</v>
      </c>
      <c r="AB315" t="s">
        <v>6184</v>
      </c>
      <c r="AC315" t="s">
        <v>6185</v>
      </c>
      <c r="AD315" t="s">
        <v>6186</v>
      </c>
      <c r="AE315" t="s">
        <v>6187</v>
      </c>
      <c r="AF315" t="s">
        <v>74</v>
      </c>
      <c r="AG315">
        <v>57</v>
      </c>
      <c r="AH315">
        <v>24</v>
      </c>
      <c r="AI315">
        <v>27</v>
      </c>
      <c r="AJ315">
        <v>1</v>
      </c>
      <c r="AK315">
        <v>60</v>
      </c>
      <c r="AL315" t="s">
        <v>2961</v>
      </c>
      <c r="AM315" t="s">
        <v>369</v>
      </c>
      <c r="AN315" t="s">
        <v>370</v>
      </c>
      <c r="AO315" t="s">
        <v>6188</v>
      </c>
      <c r="AP315" t="s">
        <v>74</v>
      </c>
      <c r="AQ315" t="s">
        <v>74</v>
      </c>
      <c r="AR315" t="s">
        <v>6189</v>
      </c>
      <c r="AS315" t="s">
        <v>6190</v>
      </c>
      <c r="AT315" t="s">
        <v>5642</v>
      </c>
      <c r="AU315">
        <v>2013</v>
      </c>
      <c r="AV315">
        <v>33</v>
      </c>
      <c r="AW315">
        <v>8</v>
      </c>
      <c r="AX315" t="s">
        <v>74</v>
      </c>
      <c r="AY315" t="s">
        <v>74</v>
      </c>
      <c r="AZ315" t="s">
        <v>74</v>
      </c>
      <c r="BA315" t="s">
        <v>74</v>
      </c>
      <c r="BB315">
        <v>1948</v>
      </c>
      <c r="BC315">
        <v>1963</v>
      </c>
      <c r="BD315" t="s">
        <v>74</v>
      </c>
      <c r="BE315" t="s">
        <v>6191</v>
      </c>
      <c r="BF315" t="str">
        <f>HYPERLINK("http://dx.doi.org/10.1002/joc.3563","http://dx.doi.org/10.1002/joc.3563")</f>
        <v>http://dx.doi.org/10.1002/joc.3563</v>
      </c>
      <c r="BG315" t="s">
        <v>74</v>
      </c>
      <c r="BH315" t="s">
        <v>74</v>
      </c>
      <c r="BI315">
        <v>16</v>
      </c>
      <c r="BJ315" t="s">
        <v>305</v>
      </c>
      <c r="BK315" t="s">
        <v>102</v>
      </c>
      <c r="BL315" t="s">
        <v>305</v>
      </c>
      <c r="BM315" t="s">
        <v>6192</v>
      </c>
      <c r="BN315" t="s">
        <v>74</v>
      </c>
      <c r="BO315" t="s">
        <v>74</v>
      </c>
      <c r="BP315" t="s">
        <v>74</v>
      </c>
      <c r="BQ315" t="s">
        <v>74</v>
      </c>
      <c r="BR315" t="s">
        <v>105</v>
      </c>
      <c r="BS315" t="s">
        <v>6193</v>
      </c>
      <c r="BT315" t="str">
        <f>HYPERLINK("https%3A%2F%2Fwww.webofscience.com%2Fwos%2Fwoscc%2Ffull-record%2FWOS:000320399300010","View Full Record in Web of Science")</f>
        <v>View Full Record in Web of Science</v>
      </c>
    </row>
    <row r="316" spans="1:72" x14ac:dyDescent="0.15">
      <c r="A316" t="s">
        <v>72</v>
      </c>
      <c r="B316" t="s">
        <v>6194</v>
      </c>
      <c r="C316" t="s">
        <v>74</v>
      </c>
      <c r="D316" t="s">
        <v>74</v>
      </c>
      <c r="E316" t="s">
        <v>74</v>
      </c>
      <c r="F316" t="s">
        <v>6195</v>
      </c>
      <c r="G316" t="s">
        <v>74</v>
      </c>
      <c r="H316" t="s">
        <v>74</v>
      </c>
      <c r="I316" t="s">
        <v>6196</v>
      </c>
      <c r="J316" t="s">
        <v>4690</v>
      </c>
      <c r="K316" t="s">
        <v>74</v>
      </c>
      <c r="L316" t="s">
        <v>74</v>
      </c>
      <c r="M316" t="s">
        <v>78</v>
      </c>
      <c r="N316" t="s">
        <v>79</v>
      </c>
      <c r="O316" t="s">
        <v>74</v>
      </c>
      <c r="P316" t="s">
        <v>74</v>
      </c>
      <c r="Q316" t="s">
        <v>74</v>
      </c>
      <c r="R316" t="s">
        <v>74</v>
      </c>
      <c r="S316" t="s">
        <v>74</v>
      </c>
      <c r="T316" t="s">
        <v>6197</v>
      </c>
      <c r="U316" t="s">
        <v>6198</v>
      </c>
      <c r="V316" t="s">
        <v>6199</v>
      </c>
      <c r="W316" t="s">
        <v>6200</v>
      </c>
      <c r="X316" t="s">
        <v>6201</v>
      </c>
      <c r="Y316" t="s">
        <v>6202</v>
      </c>
      <c r="Z316" t="s">
        <v>6203</v>
      </c>
      <c r="AA316" t="s">
        <v>6204</v>
      </c>
      <c r="AB316" t="s">
        <v>6205</v>
      </c>
      <c r="AC316" t="s">
        <v>6206</v>
      </c>
      <c r="AD316" t="s">
        <v>6207</v>
      </c>
      <c r="AE316" t="s">
        <v>6208</v>
      </c>
      <c r="AF316" t="s">
        <v>74</v>
      </c>
      <c r="AG316">
        <v>66</v>
      </c>
      <c r="AH316">
        <v>21</v>
      </c>
      <c r="AI316">
        <v>27</v>
      </c>
      <c r="AJ316">
        <v>1</v>
      </c>
      <c r="AK316">
        <v>20</v>
      </c>
      <c r="AL316" t="s">
        <v>506</v>
      </c>
      <c r="AM316" t="s">
        <v>442</v>
      </c>
      <c r="AN316" t="s">
        <v>507</v>
      </c>
      <c r="AO316" t="s">
        <v>4703</v>
      </c>
      <c r="AP316" t="s">
        <v>74</v>
      </c>
      <c r="AQ316" t="s">
        <v>74</v>
      </c>
      <c r="AR316" t="s">
        <v>4704</v>
      </c>
      <c r="AS316" t="s">
        <v>4705</v>
      </c>
      <c r="AT316" t="s">
        <v>5999</v>
      </c>
      <c r="AU316">
        <v>2013</v>
      </c>
      <c r="AV316">
        <v>69</v>
      </c>
      <c r="AW316" t="s">
        <v>74</v>
      </c>
      <c r="AX316" t="s">
        <v>74</v>
      </c>
      <c r="AY316" t="s">
        <v>74</v>
      </c>
      <c r="AZ316" t="s">
        <v>74</v>
      </c>
      <c r="BA316" t="s">
        <v>74</v>
      </c>
      <c r="BB316">
        <v>49</v>
      </c>
      <c r="BC316">
        <v>58</v>
      </c>
      <c r="BD316" t="s">
        <v>74</v>
      </c>
      <c r="BE316" t="s">
        <v>6209</v>
      </c>
      <c r="BF316" t="str">
        <f>HYPERLINK("http://dx.doi.org/10.1016/j.quascirev.2013.03.005","http://dx.doi.org/10.1016/j.quascirev.2013.03.005")</f>
        <v>http://dx.doi.org/10.1016/j.quascirev.2013.03.005</v>
      </c>
      <c r="BG316" t="s">
        <v>74</v>
      </c>
      <c r="BH316" t="s">
        <v>74</v>
      </c>
      <c r="BI316">
        <v>10</v>
      </c>
      <c r="BJ316" t="s">
        <v>650</v>
      </c>
      <c r="BK316" t="s">
        <v>102</v>
      </c>
      <c r="BL316" t="s">
        <v>651</v>
      </c>
      <c r="BM316" t="s">
        <v>6210</v>
      </c>
      <c r="BN316" t="s">
        <v>74</v>
      </c>
      <c r="BO316" t="s">
        <v>74</v>
      </c>
      <c r="BP316" t="s">
        <v>74</v>
      </c>
      <c r="BQ316" t="s">
        <v>74</v>
      </c>
      <c r="BR316" t="s">
        <v>105</v>
      </c>
      <c r="BS316" t="s">
        <v>6211</v>
      </c>
      <c r="BT316" t="str">
        <f>HYPERLINK("https%3A%2F%2Fwww.webofscience.com%2Fwos%2Fwoscc%2Ffull-record%2FWOS:000320484800004","View Full Record in Web of Science")</f>
        <v>View Full Record in Web of Science</v>
      </c>
    </row>
    <row r="317" spans="1:72" x14ac:dyDescent="0.15">
      <c r="A317" t="s">
        <v>72</v>
      </c>
      <c r="B317" t="s">
        <v>6212</v>
      </c>
      <c r="C317" t="s">
        <v>74</v>
      </c>
      <c r="D317" t="s">
        <v>74</v>
      </c>
      <c r="E317" t="s">
        <v>74</v>
      </c>
      <c r="F317" t="s">
        <v>6213</v>
      </c>
      <c r="G317" t="s">
        <v>74</v>
      </c>
      <c r="H317" t="s">
        <v>74</v>
      </c>
      <c r="I317" t="s">
        <v>6214</v>
      </c>
      <c r="J317" t="s">
        <v>4690</v>
      </c>
      <c r="K317" t="s">
        <v>74</v>
      </c>
      <c r="L317" t="s">
        <v>74</v>
      </c>
      <c r="M317" t="s">
        <v>78</v>
      </c>
      <c r="N317" t="s">
        <v>79</v>
      </c>
      <c r="O317" t="s">
        <v>74</v>
      </c>
      <c r="P317" t="s">
        <v>74</v>
      </c>
      <c r="Q317" t="s">
        <v>74</v>
      </c>
      <c r="R317" t="s">
        <v>74</v>
      </c>
      <c r="S317" t="s">
        <v>74</v>
      </c>
      <c r="T317" t="s">
        <v>6215</v>
      </c>
      <c r="U317" t="s">
        <v>6216</v>
      </c>
      <c r="V317" t="s">
        <v>6217</v>
      </c>
      <c r="W317" t="s">
        <v>6218</v>
      </c>
      <c r="X317" t="s">
        <v>6219</v>
      </c>
      <c r="Y317" t="s">
        <v>6220</v>
      </c>
      <c r="Z317" t="s">
        <v>6221</v>
      </c>
      <c r="AA317" t="s">
        <v>6222</v>
      </c>
      <c r="AB317" t="s">
        <v>6223</v>
      </c>
      <c r="AC317" t="s">
        <v>74</v>
      </c>
      <c r="AD317" t="s">
        <v>74</v>
      </c>
      <c r="AE317" t="s">
        <v>74</v>
      </c>
      <c r="AF317" t="s">
        <v>74</v>
      </c>
      <c r="AG317">
        <v>46</v>
      </c>
      <c r="AH317">
        <v>15</v>
      </c>
      <c r="AI317">
        <v>16</v>
      </c>
      <c r="AJ317">
        <v>0</v>
      </c>
      <c r="AK317">
        <v>27</v>
      </c>
      <c r="AL317" t="s">
        <v>506</v>
      </c>
      <c r="AM317" t="s">
        <v>442</v>
      </c>
      <c r="AN317" t="s">
        <v>507</v>
      </c>
      <c r="AO317" t="s">
        <v>4703</v>
      </c>
      <c r="AP317" t="s">
        <v>74</v>
      </c>
      <c r="AQ317" t="s">
        <v>74</v>
      </c>
      <c r="AR317" t="s">
        <v>4704</v>
      </c>
      <c r="AS317" t="s">
        <v>4705</v>
      </c>
      <c r="AT317" t="s">
        <v>5999</v>
      </c>
      <c r="AU317">
        <v>2013</v>
      </c>
      <c r="AV317">
        <v>69</v>
      </c>
      <c r="AW317" t="s">
        <v>74</v>
      </c>
      <c r="AX317" t="s">
        <v>74</v>
      </c>
      <c r="AY317" t="s">
        <v>74</v>
      </c>
      <c r="AZ317" t="s">
        <v>74</v>
      </c>
      <c r="BA317" t="s">
        <v>74</v>
      </c>
      <c r="BB317">
        <v>107</v>
      </c>
      <c r="BC317">
        <v>124</v>
      </c>
      <c r="BD317" t="s">
        <v>74</v>
      </c>
      <c r="BE317" t="s">
        <v>6224</v>
      </c>
      <c r="BF317" t="str">
        <f>HYPERLINK("http://dx.doi.org/10.1016/j.quascirev.2013.02.020","http://dx.doi.org/10.1016/j.quascirev.2013.02.020")</f>
        <v>http://dx.doi.org/10.1016/j.quascirev.2013.02.020</v>
      </c>
      <c r="BG317" t="s">
        <v>74</v>
      </c>
      <c r="BH317" t="s">
        <v>74</v>
      </c>
      <c r="BI317">
        <v>18</v>
      </c>
      <c r="BJ317" t="s">
        <v>650</v>
      </c>
      <c r="BK317" t="s">
        <v>102</v>
      </c>
      <c r="BL317" t="s">
        <v>651</v>
      </c>
      <c r="BM317" t="s">
        <v>6210</v>
      </c>
      <c r="BN317" t="s">
        <v>74</v>
      </c>
      <c r="BO317" t="s">
        <v>74</v>
      </c>
      <c r="BP317" t="s">
        <v>74</v>
      </c>
      <c r="BQ317" t="s">
        <v>74</v>
      </c>
      <c r="BR317" t="s">
        <v>105</v>
      </c>
      <c r="BS317" t="s">
        <v>6225</v>
      </c>
      <c r="BT317" t="str">
        <f>HYPERLINK("https%3A%2F%2Fwww.webofscience.com%2Fwos%2Fwoscc%2Ffull-record%2FWOS:000320484800009","View Full Record in Web of Science")</f>
        <v>View Full Record in Web of Science</v>
      </c>
    </row>
    <row r="318" spans="1:72" x14ac:dyDescent="0.15">
      <c r="A318" t="s">
        <v>72</v>
      </c>
      <c r="B318" t="s">
        <v>6226</v>
      </c>
      <c r="C318" t="s">
        <v>74</v>
      </c>
      <c r="D318" t="s">
        <v>74</v>
      </c>
      <c r="E318" t="s">
        <v>74</v>
      </c>
      <c r="F318" t="s">
        <v>6227</v>
      </c>
      <c r="G318" t="s">
        <v>74</v>
      </c>
      <c r="H318" t="s">
        <v>74</v>
      </c>
      <c r="I318" t="s">
        <v>6228</v>
      </c>
      <c r="J318" t="s">
        <v>3385</v>
      </c>
      <c r="K318" t="s">
        <v>74</v>
      </c>
      <c r="L318" t="s">
        <v>74</v>
      </c>
      <c r="M318" t="s">
        <v>78</v>
      </c>
      <c r="N318" t="s">
        <v>79</v>
      </c>
      <c r="O318" t="s">
        <v>74</v>
      </c>
      <c r="P318" t="s">
        <v>74</v>
      </c>
      <c r="Q318" t="s">
        <v>74</v>
      </c>
      <c r="R318" t="s">
        <v>74</v>
      </c>
      <c r="S318" t="s">
        <v>74</v>
      </c>
      <c r="T318" t="s">
        <v>6229</v>
      </c>
      <c r="U318" t="s">
        <v>6230</v>
      </c>
      <c r="V318" t="s">
        <v>6231</v>
      </c>
      <c r="W318" t="s">
        <v>6232</v>
      </c>
      <c r="X318" t="s">
        <v>6233</v>
      </c>
      <c r="Y318" t="s">
        <v>6234</v>
      </c>
      <c r="Z318" t="s">
        <v>6235</v>
      </c>
      <c r="AA318" t="s">
        <v>6236</v>
      </c>
      <c r="AB318" t="s">
        <v>6237</v>
      </c>
      <c r="AC318" t="s">
        <v>6238</v>
      </c>
      <c r="AD318" t="s">
        <v>6239</v>
      </c>
      <c r="AE318" t="s">
        <v>6240</v>
      </c>
      <c r="AF318" t="s">
        <v>74</v>
      </c>
      <c r="AG318">
        <v>49</v>
      </c>
      <c r="AH318">
        <v>1</v>
      </c>
      <c r="AI318">
        <v>1</v>
      </c>
      <c r="AJ318">
        <v>0</v>
      </c>
      <c r="AK318">
        <v>21</v>
      </c>
      <c r="AL318" t="s">
        <v>529</v>
      </c>
      <c r="AM318" t="s">
        <v>391</v>
      </c>
      <c r="AN318" t="s">
        <v>530</v>
      </c>
      <c r="AO318" t="s">
        <v>3396</v>
      </c>
      <c r="AP318" t="s">
        <v>3397</v>
      </c>
      <c r="AQ318" t="s">
        <v>74</v>
      </c>
      <c r="AR318" t="s">
        <v>3398</v>
      </c>
      <c r="AS318" t="s">
        <v>3399</v>
      </c>
      <c r="AT318" t="s">
        <v>5642</v>
      </c>
      <c r="AU318">
        <v>2013</v>
      </c>
      <c r="AV318">
        <v>32</v>
      </c>
      <c r="AW318">
        <v>6</v>
      </c>
      <c r="AX318" t="s">
        <v>74</v>
      </c>
      <c r="AY318" t="s">
        <v>74</v>
      </c>
      <c r="AZ318" t="s">
        <v>74</v>
      </c>
      <c r="BA318" t="s">
        <v>74</v>
      </c>
      <c r="BB318">
        <v>47</v>
      </c>
      <c r="BC318">
        <v>55</v>
      </c>
      <c r="BD318" t="s">
        <v>74</v>
      </c>
      <c r="BE318" t="s">
        <v>6241</v>
      </c>
      <c r="BF318" t="str">
        <f>HYPERLINK("http://dx.doi.org/10.1007/s13131-013-0321-5","http://dx.doi.org/10.1007/s13131-013-0321-5")</f>
        <v>http://dx.doi.org/10.1007/s13131-013-0321-5</v>
      </c>
      <c r="BG318" t="s">
        <v>74</v>
      </c>
      <c r="BH318" t="s">
        <v>74</v>
      </c>
      <c r="BI318">
        <v>9</v>
      </c>
      <c r="BJ318" t="s">
        <v>327</v>
      </c>
      <c r="BK318" t="s">
        <v>102</v>
      </c>
      <c r="BL318" t="s">
        <v>327</v>
      </c>
      <c r="BM318" t="s">
        <v>6242</v>
      </c>
      <c r="BN318" t="s">
        <v>74</v>
      </c>
      <c r="BO318" t="s">
        <v>74</v>
      </c>
      <c r="BP318" t="s">
        <v>74</v>
      </c>
      <c r="BQ318" t="s">
        <v>74</v>
      </c>
      <c r="BR318" t="s">
        <v>105</v>
      </c>
      <c r="BS318" t="s">
        <v>6243</v>
      </c>
      <c r="BT318" t="str">
        <f>HYPERLINK("https%3A%2F%2Fwww.webofscience.com%2Fwos%2Fwoscc%2Ffull-record%2FWOS:000320094400007","View Full Record in Web of Science")</f>
        <v>View Full Record in Web of Science</v>
      </c>
    </row>
    <row r="319" spans="1:72" x14ac:dyDescent="0.15">
      <c r="A319" t="s">
        <v>72</v>
      </c>
      <c r="B319" t="s">
        <v>6244</v>
      </c>
      <c r="C319" t="s">
        <v>74</v>
      </c>
      <c r="D319" t="s">
        <v>74</v>
      </c>
      <c r="E319" t="s">
        <v>74</v>
      </c>
      <c r="F319" t="s">
        <v>6245</v>
      </c>
      <c r="G319" t="s">
        <v>74</v>
      </c>
      <c r="H319" t="s">
        <v>74</v>
      </c>
      <c r="I319" t="s">
        <v>6246</v>
      </c>
      <c r="J319" t="s">
        <v>919</v>
      </c>
      <c r="K319" t="s">
        <v>74</v>
      </c>
      <c r="L319" t="s">
        <v>74</v>
      </c>
      <c r="M319" t="s">
        <v>78</v>
      </c>
      <c r="N319" t="s">
        <v>79</v>
      </c>
      <c r="O319" t="s">
        <v>74</v>
      </c>
      <c r="P319" t="s">
        <v>74</v>
      </c>
      <c r="Q319" t="s">
        <v>74</v>
      </c>
      <c r="R319" t="s">
        <v>74</v>
      </c>
      <c r="S319" t="s">
        <v>74</v>
      </c>
      <c r="T319" t="s">
        <v>6247</v>
      </c>
      <c r="U319" t="s">
        <v>6248</v>
      </c>
      <c r="V319" t="s">
        <v>6249</v>
      </c>
      <c r="W319" t="s">
        <v>6250</v>
      </c>
      <c r="X319" t="s">
        <v>6251</v>
      </c>
      <c r="Y319" t="s">
        <v>6252</v>
      </c>
      <c r="Z319" t="s">
        <v>6253</v>
      </c>
      <c r="AA319" t="s">
        <v>6254</v>
      </c>
      <c r="AB319" t="s">
        <v>74</v>
      </c>
      <c r="AC319" t="s">
        <v>6255</v>
      </c>
      <c r="AD319" t="s">
        <v>6256</v>
      </c>
      <c r="AE319" t="s">
        <v>6257</v>
      </c>
      <c r="AF319" t="s">
        <v>74</v>
      </c>
      <c r="AG319">
        <v>45</v>
      </c>
      <c r="AH319">
        <v>20</v>
      </c>
      <c r="AI319">
        <v>26</v>
      </c>
      <c r="AJ319">
        <v>0</v>
      </c>
      <c r="AK319">
        <v>37</v>
      </c>
      <c r="AL319" t="s">
        <v>506</v>
      </c>
      <c r="AM319" t="s">
        <v>442</v>
      </c>
      <c r="AN319" t="s">
        <v>507</v>
      </c>
      <c r="AO319" t="s">
        <v>931</v>
      </c>
      <c r="AP319" t="s">
        <v>932</v>
      </c>
      <c r="AQ319" t="s">
        <v>74</v>
      </c>
      <c r="AR319" t="s">
        <v>933</v>
      </c>
      <c r="AS319" t="s">
        <v>934</v>
      </c>
      <c r="AT319" t="s">
        <v>5642</v>
      </c>
      <c r="AU319">
        <v>2013</v>
      </c>
      <c r="AV319">
        <v>90</v>
      </c>
      <c r="AW319" t="s">
        <v>74</v>
      </c>
      <c r="AX319" t="s">
        <v>74</v>
      </c>
      <c r="AY319" t="s">
        <v>74</v>
      </c>
      <c r="AZ319" t="s">
        <v>74</v>
      </c>
      <c r="BA319" t="s">
        <v>74</v>
      </c>
      <c r="BB319">
        <v>15</v>
      </c>
      <c r="BC319">
        <v>30</v>
      </c>
      <c r="BD319" t="s">
        <v>74</v>
      </c>
      <c r="BE319" t="s">
        <v>6258</v>
      </c>
      <c r="BF319" t="str">
        <f>HYPERLINK("http://dx.doi.org/10.1016/j.dsr2.2013.02.029","http://dx.doi.org/10.1016/j.dsr2.2013.02.029")</f>
        <v>http://dx.doi.org/10.1016/j.dsr2.2013.02.029</v>
      </c>
      <c r="BG319" t="s">
        <v>74</v>
      </c>
      <c r="BH319" t="s">
        <v>74</v>
      </c>
      <c r="BI319">
        <v>16</v>
      </c>
      <c r="BJ319" t="s">
        <v>327</v>
      </c>
      <c r="BK319" t="s">
        <v>102</v>
      </c>
      <c r="BL319" t="s">
        <v>327</v>
      </c>
      <c r="BM319" t="s">
        <v>6259</v>
      </c>
      <c r="BN319" t="s">
        <v>74</v>
      </c>
      <c r="BO319" t="s">
        <v>1014</v>
      </c>
      <c r="BP319" t="s">
        <v>74</v>
      </c>
      <c r="BQ319" t="s">
        <v>74</v>
      </c>
      <c r="BR319" t="s">
        <v>105</v>
      </c>
      <c r="BS319" t="s">
        <v>6260</v>
      </c>
      <c r="BT319" t="str">
        <f>HYPERLINK("https%3A%2F%2Fwww.webofscience.com%2Fwos%2Fwoscc%2Ffull-record%2FWOS:000320142000003","View Full Record in Web of Science")</f>
        <v>View Full Record in Web of Science</v>
      </c>
    </row>
    <row r="320" spans="1:72" x14ac:dyDescent="0.15">
      <c r="A320" t="s">
        <v>72</v>
      </c>
      <c r="B320" t="s">
        <v>6261</v>
      </c>
      <c r="C320" t="s">
        <v>74</v>
      </c>
      <c r="D320" t="s">
        <v>74</v>
      </c>
      <c r="E320" t="s">
        <v>74</v>
      </c>
      <c r="F320" t="s">
        <v>6262</v>
      </c>
      <c r="G320" t="s">
        <v>74</v>
      </c>
      <c r="H320" t="s">
        <v>74</v>
      </c>
      <c r="I320" t="s">
        <v>6263</v>
      </c>
      <c r="J320" t="s">
        <v>919</v>
      </c>
      <c r="K320" t="s">
        <v>74</v>
      </c>
      <c r="L320" t="s">
        <v>74</v>
      </c>
      <c r="M320" t="s">
        <v>78</v>
      </c>
      <c r="N320" t="s">
        <v>79</v>
      </c>
      <c r="O320" t="s">
        <v>74</v>
      </c>
      <c r="P320" t="s">
        <v>74</v>
      </c>
      <c r="Q320" t="s">
        <v>74</v>
      </c>
      <c r="R320" t="s">
        <v>74</v>
      </c>
      <c r="S320" t="s">
        <v>74</v>
      </c>
      <c r="T320" t="s">
        <v>6264</v>
      </c>
      <c r="U320" t="s">
        <v>6265</v>
      </c>
      <c r="V320" t="s">
        <v>6266</v>
      </c>
      <c r="W320" t="s">
        <v>6267</v>
      </c>
      <c r="X320" t="s">
        <v>6268</v>
      </c>
      <c r="Y320" t="s">
        <v>6269</v>
      </c>
      <c r="Z320" t="s">
        <v>6270</v>
      </c>
      <c r="AA320" t="s">
        <v>6271</v>
      </c>
      <c r="AB320" t="s">
        <v>6272</v>
      </c>
      <c r="AC320" t="s">
        <v>6273</v>
      </c>
      <c r="AD320" t="s">
        <v>6274</v>
      </c>
      <c r="AE320" t="s">
        <v>6275</v>
      </c>
      <c r="AF320" t="s">
        <v>74</v>
      </c>
      <c r="AG320">
        <v>122</v>
      </c>
      <c r="AH320">
        <v>100</v>
      </c>
      <c r="AI320">
        <v>105</v>
      </c>
      <c r="AJ320">
        <v>2</v>
      </c>
      <c r="AK320">
        <v>157</v>
      </c>
      <c r="AL320" t="s">
        <v>506</v>
      </c>
      <c r="AM320" t="s">
        <v>442</v>
      </c>
      <c r="AN320" t="s">
        <v>507</v>
      </c>
      <c r="AO320" t="s">
        <v>931</v>
      </c>
      <c r="AP320" t="s">
        <v>932</v>
      </c>
      <c r="AQ320" t="s">
        <v>74</v>
      </c>
      <c r="AR320" t="s">
        <v>933</v>
      </c>
      <c r="AS320" t="s">
        <v>934</v>
      </c>
      <c r="AT320" t="s">
        <v>5642</v>
      </c>
      <c r="AU320">
        <v>2013</v>
      </c>
      <c r="AV320">
        <v>90</v>
      </c>
      <c r="AW320" t="s">
        <v>74</v>
      </c>
      <c r="AX320" t="s">
        <v>74</v>
      </c>
      <c r="AY320" t="s">
        <v>74</v>
      </c>
      <c r="AZ320" t="s">
        <v>74</v>
      </c>
      <c r="BA320" t="s">
        <v>74</v>
      </c>
      <c r="BB320">
        <v>43</v>
      </c>
      <c r="BC320">
        <v>54</v>
      </c>
      <c r="BD320" t="s">
        <v>74</v>
      </c>
      <c r="BE320" t="s">
        <v>6276</v>
      </c>
      <c r="BF320" t="str">
        <f>HYPERLINK("http://dx.doi.org/10.1016/j.dsr2.2012.07.024","http://dx.doi.org/10.1016/j.dsr2.2012.07.024")</f>
        <v>http://dx.doi.org/10.1016/j.dsr2.2012.07.024</v>
      </c>
      <c r="BG320" t="s">
        <v>74</v>
      </c>
      <c r="BH320" t="s">
        <v>74</v>
      </c>
      <c r="BI320">
        <v>12</v>
      </c>
      <c r="BJ320" t="s">
        <v>327</v>
      </c>
      <c r="BK320" t="s">
        <v>102</v>
      </c>
      <c r="BL320" t="s">
        <v>327</v>
      </c>
      <c r="BM320" t="s">
        <v>6259</v>
      </c>
      <c r="BN320" t="s">
        <v>74</v>
      </c>
      <c r="BO320" t="s">
        <v>1014</v>
      </c>
      <c r="BP320" t="s">
        <v>74</v>
      </c>
      <c r="BQ320" t="s">
        <v>74</v>
      </c>
      <c r="BR320" t="s">
        <v>105</v>
      </c>
      <c r="BS320" t="s">
        <v>6277</v>
      </c>
      <c r="BT320" t="str">
        <f>HYPERLINK("https%3A%2F%2Fwww.webofscience.com%2Fwos%2Fwoscc%2Ffull-record%2FWOS:000320142000005","View Full Record in Web of Science")</f>
        <v>View Full Record in Web of Science</v>
      </c>
    </row>
    <row r="321" spans="1:72" x14ac:dyDescent="0.15">
      <c r="A321" t="s">
        <v>72</v>
      </c>
      <c r="B321" t="s">
        <v>6278</v>
      </c>
      <c r="C321" t="s">
        <v>74</v>
      </c>
      <c r="D321" t="s">
        <v>74</v>
      </c>
      <c r="E321" t="s">
        <v>74</v>
      </c>
      <c r="F321" t="s">
        <v>6279</v>
      </c>
      <c r="G321" t="s">
        <v>74</v>
      </c>
      <c r="H321" t="s">
        <v>74</v>
      </c>
      <c r="I321" t="s">
        <v>6280</v>
      </c>
      <c r="J321" t="s">
        <v>919</v>
      </c>
      <c r="K321" t="s">
        <v>74</v>
      </c>
      <c r="L321" t="s">
        <v>74</v>
      </c>
      <c r="M321" t="s">
        <v>78</v>
      </c>
      <c r="N321" t="s">
        <v>79</v>
      </c>
      <c r="O321" t="s">
        <v>74</v>
      </c>
      <c r="P321" t="s">
        <v>74</v>
      </c>
      <c r="Q321" t="s">
        <v>74</v>
      </c>
      <c r="R321" t="s">
        <v>74</v>
      </c>
      <c r="S321" t="s">
        <v>74</v>
      </c>
      <c r="T321" t="s">
        <v>6281</v>
      </c>
      <c r="U321" t="s">
        <v>6282</v>
      </c>
      <c r="V321" t="s">
        <v>6283</v>
      </c>
      <c r="W321" t="s">
        <v>6284</v>
      </c>
      <c r="X321" t="s">
        <v>6285</v>
      </c>
      <c r="Y321" t="s">
        <v>6286</v>
      </c>
      <c r="Z321" t="s">
        <v>6287</v>
      </c>
      <c r="AA321" t="s">
        <v>74</v>
      </c>
      <c r="AB321" t="s">
        <v>6288</v>
      </c>
      <c r="AC321" t="s">
        <v>6289</v>
      </c>
      <c r="AD321" t="s">
        <v>6290</v>
      </c>
      <c r="AE321" t="s">
        <v>6291</v>
      </c>
      <c r="AF321" t="s">
        <v>74</v>
      </c>
      <c r="AG321">
        <v>60</v>
      </c>
      <c r="AH321">
        <v>9</v>
      </c>
      <c r="AI321">
        <v>9</v>
      </c>
      <c r="AJ321">
        <v>1</v>
      </c>
      <c r="AK321">
        <v>21</v>
      </c>
      <c r="AL321" t="s">
        <v>506</v>
      </c>
      <c r="AM321" t="s">
        <v>442</v>
      </c>
      <c r="AN321" t="s">
        <v>507</v>
      </c>
      <c r="AO321" t="s">
        <v>931</v>
      </c>
      <c r="AP321" t="s">
        <v>932</v>
      </c>
      <c r="AQ321" t="s">
        <v>74</v>
      </c>
      <c r="AR321" t="s">
        <v>933</v>
      </c>
      <c r="AS321" t="s">
        <v>934</v>
      </c>
      <c r="AT321" t="s">
        <v>5642</v>
      </c>
      <c r="AU321">
        <v>2013</v>
      </c>
      <c r="AV321">
        <v>90</v>
      </c>
      <c r="AW321" t="s">
        <v>74</v>
      </c>
      <c r="AX321" t="s">
        <v>74</v>
      </c>
      <c r="AY321" t="s">
        <v>74</v>
      </c>
      <c r="AZ321" t="s">
        <v>74</v>
      </c>
      <c r="BA321" t="s">
        <v>74</v>
      </c>
      <c r="BB321">
        <v>55</v>
      </c>
      <c r="BC321">
        <v>67</v>
      </c>
      <c r="BD321" t="s">
        <v>74</v>
      </c>
      <c r="BE321" t="s">
        <v>6292</v>
      </c>
      <c r="BF321" t="str">
        <f>HYPERLINK("http://dx.doi.org/10.1016/j.dsr2.2013.01.030","http://dx.doi.org/10.1016/j.dsr2.2013.01.030")</f>
        <v>http://dx.doi.org/10.1016/j.dsr2.2013.01.030</v>
      </c>
      <c r="BG321" t="s">
        <v>74</v>
      </c>
      <c r="BH321" t="s">
        <v>74</v>
      </c>
      <c r="BI321">
        <v>13</v>
      </c>
      <c r="BJ321" t="s">
        <v>327</v>
      </c>
      <c r="BK321" t="s">
        <v>102</v>
      </c>
      <c r="BL321" t="s">
        <v>327</v>
      </c>
      <c r="BM321" t="s">
        <v>6259</v>
      </c>
      <c r="BN321" t="s">
        <v>74</v>
      </c>
      <c r="BO321" t="s">
        <v>74</v>
      </c>
      <c r="BP321" t="s">
        <v>74</v>
      </c>
      <c r="BQ321" t="s">
        <v>74</v>
      </c>
      <c r="BR321" t="s">
        <v>105</v>
      </c>
      <c r="BS321" t="s">
        <v>6293</v>
      </c>
      <c r="BT321" t="str">
        <f>HYPERLINK("https%3A%2F%2Fwww.webofscience.com%2Fwos%2Fwoscc%2Ffull-record%2FWOS:000320142000006","View Full Record in Web of Science")</f>
        <v>View Full Record in Web of Science</v>
      </c>
    </row>
    <row r="322" spans="1:72" x14ac:dyDescent="0.15">
      <c r="A322" t="s">
        <v>72</v>
      </c>
      <c r="B322" t="s">
        <v>6294</v>
      </c>
      <c r="C322" t="s">
        <v>74</v>
      </c>
      <c r="D322" t="s">
        <v>74</v>
      </c>
      <c r="E322" t="s">
        <v>74</v>
      </c>
      <c r="F322" t="s">
        <v>6295</v>
      </c>
      <c r="G322" t="s">
        <v>74</v>
      </c>
      <c r="H322" t="s">
        <v>74</v>
      </c>
      <c r="I322" t="s">
        <v>6296</v>
      </c>
      <c r="J322" t="s">
        <v>919</v>
      </c>
      <c r="K322" t="s">
        <v>74</v>
      </c>
      <c r="L322" t="s">
        <v>74</v>
      </c>
      <c r="M322" t="s">
        <v>78</v>
      </c>
      <c r="N322" t="s">
        <v>79</v>
      </c>
      <c r="O322" t="s">
        <v>74</v>
      </c>
      <c r="P322" t="s">
        <v>74</v>
      </c>
      <c r="Q322" t="s">
        <v>74</v>
      </c>
      <c r="R322" t="s">
        <v>74</v>
      </c>
      <c r="S322" t="s">
        <v>74</v>
      </c>
      <c r="T322" t="s">
        <v>6297</v>
      </c>
      <c r="U322" t="s">
        <v>6298</v>
      </c>
      <c r="V322" t="s">
        <v>6299</v>
      </c>
      <c r="W322" t="s">
        <v>6300</v>
      </c>
      <c r="X322" t="s">
        <v>6301</v>
      </c>
      <c r="Y322" t="s">
        <v>6302</v>
      </c>
      <c r="Z322" t="s">
        <v>6303</v>
      </c>
      <c r="AA322" t="s">
        <v>74</v>
      </c>
      <c r="AB322" t="s">
        <v>6304</v>
      </c>
      <c r="AC322" t="s">
        <v>6305</v>
      </c>
      <c r="AD322" t="s">
        <v>6306</v>
      </c>
      <c r="AE322" t="s">
        <v>6307</v>
      </c>
      <c r="AF322" t="s">
        <v>74</v>
      </c>
      <c r="AG322">
        <v>54</v>
      </c>
      <c r="AH322">
        <v>58</v>
      </c>
      <c r="AI322">
        <v>63</v>
      </c>
      <c r="AJ322">
        <v>0</v>
      </c>
      <c r="AK322">
        <v>53</v>
      </c>
      <c r="AL322" t="s">
        <v>506</v>
      </c>
      <c r="AM322" t="s">
        <v>442</v>
      </c>
      <c r="AN322" t="s">
        <v>507</v>
      </c>
      <c r="AO322" t="s">
        <v>931</v>
      </c>
      <c r="AP322" t="s">
        <v>932</v>
      </c>
      <c r="AQ322" t="s">
        <v>74</v>
      </c>
      <c r="AR322" t="s">
        <v>933</v>
      </c>
      <c r="AS322" t="s">
        <v>934</v>
      </c>
      <c r="AT322" t="s">
        <v>5642</v>
      </c>
      <c r="AU322">
        <v>2013</v>
      </c>
      <c r="AV322">
        <v>90</v>
      </c>
      <c r="AW322" t="s">
        <v>74</v>
      </c>
      <c r="AX322" t="s">
        <v>74</v>
      </c>
      <c r="AY322" t="s">
        <v>74</v>
      </c>
      <c r="AZ322" t="s">
        <v>74</v>
      </c>
      <c r="BA322" t="s">
        <v>74</v>
      </c>
      <c r="BB322">
        <v>77</v>
      </c>
      <c r="BC322">
        <v>88</v>
      </c>
      <c r="BD322" t="s">
        <v>74</v>
      </c>
      <c r="BE322" t="s">
        <v>6308</v>
      </c>
      <c r="BF322" t="str">
        <f>HYPERLINK("http://dx.doi.org/10.1016/j.dsr2.2012.11.004","http://dx.doi.org/10.1016/j.dsr2.2012.11.004")</f>
        <v>http://dx.doi.org/10.1016/j.dsr2.2012.11.004</v>
      </c>
      <c r="BG322" t="s">
        <v>74</v>
      </c>
      <c r="BH322" t="s">
        <v>74</v>
      </c>
      <c r="BI322">
        <v>12</v>
      </c>
      <c r="BJ322" t="s">
        <v>327</v>
      </c>
      <c r="BK322" t="s">
        <v>102</v>
      </c>
      <c r="BL322" t="s">
        <v>327</v>
      </c>
      <c r="BM322" t="s">
        <v>6259</v>
      </c>
      <c r="BN322" t="s">
        <v>74</v>
      </c>
      <c r="BO322" t="s">
        <v>74</v>
      </c>
      <c r="BP322" t="s">
        <v>74</v>
      </c>
      <c r="BQ322" t="s">
        <v>74</v>
      </c>
      <c r="BR322" t="s">
        <v>105</v>
      </c>
      <c r="BS322" t="s">
        <v>6309</v>
      </c>
      <c r="BT322" t="str">
        <f>HYPERLINK("https%3A%2F%2Fwww.webofscience.com%2Fwos%2Fwoscc%2Ffull-record%2FWOS:000320142000008","View Full Record in Web of Science")</f>
        <v>View Full Record in Web of Science</v>
      </c>
    </row>
    <row r="323" spans="1:72" x14ac:dyDescent="0.15">
      <c r="A323" t="s">
        <v>72</v>
      </c>
      <c r="B323" t="s">
        <v>6310</v>
      </c>
      <c r="C323" t="s">
        <v>74</v>
      </c>
      <c r="D323" t="s">
        <v>74</v>
      </c>
      <c r="E323" t="s">
        <v>74</v>
      </c>
      <c r="F323" t="s">
        <v>6311</v>
      </c>
      <c r="G323" t="s">
        <v>74</v>
      </c>
      <c r="H323" t="s">
        <v>74</v>
      </c>
      <c r="I323" t="s">
        <v>6312</v>
      </c>
      <c r="J323" t="s">
        <v>919</v>
      </c>
      <c r="K323" t="s">
        <v>74</v>
      </c>
      <c r="L323" t="s">
        <v>74</v>
      </c>
      <c r="M323" t="s">
        <v>78</v>
      </c>
      <c r="N323" t="s">
        <v>79</v>
      </c>
      <c r="O323" t="s">
        <v>74</v>
      </c>
      <c r="P323" t="s">
        <v>74</v>
      </c>
      <c r="Q323" t="s">
        <v>74</v>
      </c>
      <c r="R323" t="s">
        <v>74</v>
      </c>
      <c r="S323" t="s">
        <v>74</v>
      </c>
      <c r="T323" t="s">
        <v>6313</v>
      </c>
      <c r="U323" t="s">
        <v>6314</v>
      </c>
      <c r="V323" t="s">
        <v>6315</v>
      </c>
      <c r="W323" t="s">
        <v>6316</v>
      </c>
      <c r="X323" t="s">
        <v>6317</v>
      </c>
      <c r="Y323" t="s">
        <v>6318</v>
      </c>
      <c r="Z323" t="s">
        <v>6319</v>
      </c>
      <c r="AA323" t="s">
        <v>74</v>
      </c>
      <c r="AB323" t="s">
        <v>6288</v>
      </c>
      <c r="AC323" t="s">
        <v>6320</v>
      </c>
      <c r="AD323" t="s">
        <v>6321</v>
      </c>
      <c r="AE323" t="s">
        <v>6322</v>
      </c>
      <c r="AF323" t="s">
        <v>74</v>
      </c>
      <c r="AG323">
        <v>53</v>
      </c>
      <c r="AH323">
        <v>49</v>
      </c>
      <c r="AI323">
        <v>53</v>
      </c>
      <c r="AJ323">
        <v>0</v>
      </c>
      <c r="AK323">
        <v>26</v>
      </c>
      <c r="AL323" t="s">
        <v>506</v>
      </c>
      <c r="AM323" t="s">
        <v>442</v>
      </c>
      <c r="AN323" t="s">
        <v>507</v>
      </c>
      <c r="AO323" t="s">
        <v>931</v>
      </c>
      <c r="AP323" t="s">
        <v>932</v>
      </c>
      <c r="AQ323" t="s">
        <v>74</v>
      </c>
      <c r="AR323" t="s">
        <v>933</v>
      </c>
      <c r="AS323" t="s">
        <v>934</v>
      </c>
      <c r="AT323" t="s">
        <v>5642</v>
      </c>
      <c r="AU323">
        <v>2013</v>
      </c>
      <c r="AV323">
        <v>90</v>
      </c>
      <c r="AW323" t="s">
        <v>74</v>
      </c>
      <c r="AX323" t="s">
        <v>74</v>
      </c>
      <c r="AY323" t="s">
        <v>74</v>
      </c>
      <c r="AZ323" t="s">
        <v>74</v>
      </c>
      <c r="BA323" t="s">
        <v>74</v>
      </c>
      <c r="BB323">
        <v>89</v>
      </c>
      <c r="BC323">
        <v>101</v>
      </c>
      <c r="BD323" t="s">
        <v>74</v>
      </c>
      <c r="BE323" t="s">
        <v>6323</v>
      </c>
      <c r="BF323" t="str">
        <f>HYPERLINK("http://dx.doi.org/10.1016/j.dsr2.2012.11.003","http://dx.doi.org/10.1016/j.dsr2.2012.11.003")</f>
        <v>http://dx.doi.org/10.1016/j.dsr2.2012.11.003</v>
      </c>
      <c r="BG323" t="s">
        <v>74</v>
      </c>
      <c r="BH323" t="s">
        <v>74</v>
      </c>
      <c r="BI323">
        <v>13</v>
      </c>
      <c r="BJ323" t="s">
        <v>327</v>
      </c>
      <c r="BK323" t="s">
        <v>102</v>
      </c>
      <c r="BL323" t="s">
        <v>327</v>
      </c>
      <c r="BM323" t="s">
        <v>6259</v>
      </c>
      <c r="BN323" t="s">
        <v>74</v>
      </c>
      <c r="BO323" t="s">
        <v>74</v>
      </c>
      <c r="BP323" t="s">
        <v>74</v>
      </c>
      <c r="BQ323" t="s">
        <v>74</v>
      </c>
      <c r="BR323" t="s">
        <v>105</v>
      </c>
      <c r="BS323" t="s">
        <v>6324</v>
      </c>
      <c r="BT323" t="str">
        <f>HYPERLINK("https%3A%2F%2Fwww.webofscience.com%2Fwos%2Fwoscc%2Ffull-record%2FWOS:000320142000009","View Full Record in Web of Science")</f>
        <v>View Full Record in Web of Science</v>
      </c>
    </row>
    <row r="324" spans="1:72" x14ac:dyDescent="0.15">
      <c r="A324" t="s">
        <v>72</v>
      </c>
      <c r="B324" t="s">
        <v>6325</v>
      </c>
      <c r="C324" t="s">
        <v>74</v>
      </c>
      <c r="D324" t="s">
        <v>74</v>
      </c>
      <c r="E324" t="s">
        <v>74</v>
      </c>
      <c r="F324" t="s">
        <v>6326</v>
      </c>
      <c r="G324" t="s">
        <v>74</v>
      </c>
      <c r="H324" t="s">
        <v>74</v>
      </c>
      <c r="I324" t="s">
        <v>6327</v>
      </c>
      <c r="J324" t="s">
        <v>919</v>
      </c>
      <c r="K324" t="s">
        <v>74</v>
      </c>
      <c r="L324" t="s">
        <v>74</v>
      </c>
      <c r="M324" t="s">
        <v>78</v>
      </c>
      <c r="N324" t="s">
        <v>79</v>
      </c>
      <c r="O324" t="s">
        <v>74</v>
      </c>
      <c r="P324" t="s">
        <v>74</v>
      </c>
      <c r="Q324" t="s">
        <v>74</v>
      </c>
      <c r="R324" t="s">
        <v>74</v>
      </c>
      <c r="S324" t="s">
        <v>74</v>
      </c>
      <c r="T324" t="s">
        <v>6328</v>
      </c>
      <c r="U324" t="s">
        <v>6329</v>
      </c>
      <c r="V324" t="s">
        <v>6330</v>
      </c>
      <c r="W324" t="s">
        <v>6331</v>
      </c>
      <c r="X324" t="s">
        <v>6332</v>
      </c>
      <c r="Y324" t="s">
        <v>6333</v>
      </c>
      <c r="Z324" t="s">
        <v>6334</v>
      </c>
      <c r="AA324" t="s">
        <v>6335</v>
      </c>
      <c r="AB324" t="s">
        <v>6336</v>
      </c>
      <c r="AC324" t="s">
        <v>6337</v>
      </c>
      <c r="AD324" t="s">
        <v>6338</v>
      </c>
      <c r="AE324" t="s">
        <v>6339</v>
      </c>
      <c r="AF324" t="s">
        <v>74</v>
      </c>
      <c r="AG324">
        <v>62</v>
      </c>
      <c r="AH324">
        <v>43</v>
      </c>
      <c r="AI324">
        <v>48</v>
      </c>
      <c r="AJ324">
        <v>0</v>
      </c>
      <c r="AK324">
        <v>50</v>
      </c>
      <c r="AL324" t="s">
        <v>506</v>
      </c>
      <c r="AM324" t="s">
        <v>442</v>
      </c>
      <c r="AN324" t="s">
        <v>507</v>
      </c>
      <c r="AO324" t="s">
        <v>931</v>
      </c>
      <c r="AP324" t="s">
        <v>932</v>
      </c>
      <c r="AQ324" t="s">
        <v>74</v>
      </c>
      <c r="AR324" t="s">
        <v>933</v>
      </c>
      <c r="AS324" t="s">
        <v>934</v>
      </c>
      <c r="AT324" t="s">
        <v>5642</v>
      </c>
      <c r="AU324">
        <v>2013</v>
      </c>
      <c r="AV324">
        <v>90</v>
      </c>
      <c r="AW324" t="s">
        <v>74</v>
      </c>
      <c r="AX324" t="s">
        <v>74</v>
      </c>
      <c r="AY324" t="s">
        <v>74</v>
      </c>
      <c r="AZ324" t="s">
        <v>74</v>
      </c>
      <c r="BA324" t="s">
        <v>74</v>
      </c>
      <c r="BB324">
        <v>134</v>
      </c>
      <c r="BC324">
        <v>146</v>
      </c>
      <c r="BD324" t="s">
        <v>74</v>
      </c>
      <c r="BE324" t="s">
        <v>6340</v>
      </c>
      <c r="BF324" t="str">
        <f>HYPERLINK("http://dx.doi.org/10.1016/j.dsr2.2012.07.023","http://dx.doi.org/10.1016/j.dsr2.2012.07.023")</f>
        <v>http://dx.doi.org/10.1016/j.dsr2.2012.07.023</v>
      </c>
      <c r="BG324" t="s">
        <v>74</v>
      </c>
      <c r="BH324" t="s">
        <v>74</v>
      </c>
      <c r="BI324">
        <v>13</v>
      </c>
      <c r="BJ324" t="s">
        <v>327</v>
      </c>
      <c r="BK324" t="s">
        <v>102</v>
      </c>
      <c r="BL324" t="s">
        <v>327</v>
      </c>
      <c r="BM324" t="s">
        <v>6259</v>
      </c>
      <c r="BN324" t="s">
        <v>74</v>
      </c>
      <c r="BO324" t="s">
        <v>74</v>
      </c>
      <c r="BP324" t="s">
        <v>74</v>
      </c>
      <c r="BQ324" t="s">
        <v>74</v>
      </c>
      <c r="BR324" t="s">
        <v>105</v>
      </c>
      <c r="BS324" t="s">
        <v>6341</v>
      </c>
      <c r="BT324" t="str">
        <f>HYPERLINK("https%3A%2F%2Fwww.webofscience.com%2Fwos%2Fwoscc%2Ffull-record%2FWOS:000320142000012","View Full Record in Web of Science")</f>
        <v>View Full Record in Web of Science</v>
      </c>
    </row>
    <row r="325" spans="1:72" x14ac:dyDescent="0.15">
      <c r="A325" t="s">
        <v>72</v>
      </c>
      <c r="B325" t="s">
        <v>6342</v>
      </c>
      <c r="C325" t="s">
        <v>74</v>
      </c>
      <c r="D325" t="s">
        <v>74</v>
      </c>
      <c r="E325" t="s">
        <v>74</v>
      </c>
      <c r="F325" t="s">
        <v>6343</v>
      </c>
      <c r="G325" t="s">
        <v>74</v>
      </c>
      <c r="H325" t="s">
        <v>74</v>
      </c>
      <c r="I325" t="s">
        <v>6344</v>
      </c>
      <c r="J325" t="s">
        <v>919</v>
      </c>
      <c r="K325" t="s">
        <v>74</v>
      </c>
      <c r="L325" t="s">
        <v>74</v>
      </c>
      <c r="M325" t="s">
        <v>78</v>
      </c>
      <c r="N325" t="s">
        <v>79</v>
      </c>
      <c r="O325" t="s">
        <v>74</v>
      </c>
      <c r="P325" t="s">
        <v>74</v>
      </c>
      <c r="Q325" t="s">
        <v>74</v>
      </c>
      <c r="R325" t="s">
        <v>74</v>
      </c>
      <c r="S325" t="s">
        <v>74</v>
      </c>
      <c r="T325" t="s">
        <v>6345</v>
      </c>
      <c r="U325" t="s">
        <v>6346</v>
      </c>
      <c r="V325" t="s">
        <v>6347</v>
      </c>
      <c r="W325" t="s">
        <v>6348</v>
      </c>
      <c r="X325" t="s">
        <v>6349</v>
      </c>
      <c r="Y325" t="s">
        <v>6350</v>
      </c>
      <c r="Z325" t="s">
        <v>6351</v>
      </c>
      <c r="AA325" t="s">
        <v>6254</v>
      </c>
      <c r="AB325" t="s">
        <v>74</v>
      </c>
      <c r="AC325" t="s">
        <v>6352</v>
      </c>
      <c r="AD325" t="s">
        <v>6353</v>
      </c>
      <c r="AE325" t="s">
        <v>6354</v>
      </c>
      <c r="AF325" t="s">
        <v>74</v>
      </c>
      <c r="AG325">
        <v>96</v>
      </c>
      <c r="AH325">
        <v>20</v>
      </c>
      <c r="AI325">
        <v>20</v>
      </c>
      <c r="AJ325">
        <v>2</v>
      </c>
      <c r="AK325">
        <v>53</v>
      </c>
      <c r="AL325" t="s">
        <v>506</v>
      </c>
      <c r="AM325" t="s">
        <v>442</v>
      </c>
      <c r="AN325" t="s">
        <v>507</v>
      </c>
      <c r="AO325" t="s">
        <v>931</v>
      </c>
      <c r="AP325" t="s">
        <v>932</v>
      </c>
      <c r="AQ325" t="s">
        <v>74</v>
      </c>
      <c r="AR325" t="s">
        <v>933</v>
      </c>
      <c r="AS325" t="s">
        <v>934</v>
      </c>
      <c r="AT325" t="s">
        <v>5642</v>
      </c>
      <c r="AU325">
        <v>2013</v>
      </c>
      <c r="AV325">
        <v>90</v>
      </c>
      <c r="AW325" t="s">
        <v>74</v>
      </c>
      <c r="AX325" t="s">
        <v>74</v>
      </c>
      <c r="AY325" t="s">
        <v>74</v>
      </c>
      <c r="AZ325" t="s">
        <v>74</v>
      </c>
      <c r="BA325" t="s">
        <v>74</v>
      </c>
      <c r="BB325">
        <v>147</v>
      </c>
      <c r="BC325">
        <v>157</v>
      </c>
      <c r="BD325" t="s">
        <v>74</v>
      </c>
      <c r="BE325" t="s">
        <v>6355</v>
      </c>
      <c r="BF325" t="str">
        <f>HYPERLINK("http://dx.doi.org/10.1016/j.dsr2.2013.02.001","http://dx.doi.org/10.1016/j.dsr2.2013.02.001")</f>
        <v>http://dx.doi.org/10.1016/j.dsr2.2013.02.001</v>
      </c>
      <c r="BG325" t="s">
        <v>74</v>
      </c>
      <c r="BH325" t="s">
        <v>74</v>
      </c>
      <c r="BI325">
        <v>11</v>
      </c>
      <c r="BJ325" t="s">
        <v>327</v>
      </c>
      <c r="BK325" t="s">
        <v>102</v>
      </c>
      <c r="BL325" t="s">
        <v>327</v>
      </c>
      <c r="BM325" t="s">
        <v>6259</v>
      </c>
      <c r="BN325" t="s">
        <v>74</v>
      </c>
      <c r="BO325" t="s">
        <v>74</v>
      </c>
      <c r="BP325" t="s">
        <v>74</v>
      </c>
      <c r="BQ325" t="s">
        <v>74</v>
      </c>
      <c r="BR325" t="s">
        <v>105</v>
      </c>
      <c r="BS325" t="s">
        <v>6356</v>
      </c>
      <c r="BT325" t="str">
        <f>HYPERLINK("https%3A%2F%2Fwww.webofscience.com%2Fwos%2Fwoscc%2Ffull-record%2FWOS:000320142000013","View Full Record in Web of Science")</f>
        <v>View Full Record in Web of Science</v>
      </c>
    </row>
    <row r="326" spans="1:72" x14ac:dyDescent="0.15">
      <c r="A326" t="s">
        <v>72</v>
      </c>
      <c r="B326" t="s">
        <v>6357</v>
      </c>
      <c r="C326" t="s">
        <v>74</v>
      </c>
      <c r="D326" t="s">
        <v>74</v>
      </c>
      <c r="E326" t="s">
        <v>74</v>
      </c>
      <c r="F326" t="s">
        <v>6358</v>
      </c>
      <c r="G326" t="s">
        <v>74</v>
      </c>
      <c r="H326" t="s">
        <v>74</v>
      </c>
      <c r="I326" t="s">
        <v>6359</v>
      </c>
      <c r="J326" t="s">
        <v>6360</v>
      </c>
      <c r="K326" t="s">
        <v>74</v>
      </c>
      <c r="L326" t="s">
        <v>74</v>
      </c>
      <c r="M326" t="s">
        <v>78</v>
      </c>
      <c r="N326" t="s">
        <v>79</v>
      </c>
      <c r="O326" t="s">
        <v>74</v>
      </c>
      <c r="P326" t="s">
        <v>74</v>
      </c>
      <c r="Q326" t="s">
        <v>74</v>
      </c>
      <c r="R326" t="s">
        <v>74</v>
      </c>
      <c r="S326" t="s">
        <v>74</v>
      </c>
      <c r="T326" t="s">
        <v>6361</v>
      </c>
      <c r="U326" t="s">
        <v>6362</v>
      </c>
      <c r="V326" t="s">
        <v>6363</v>
      </c>
      <c r="W326" t="s">
        <v>6364</v>
      </c>
      <c r="X326" t="s">
        <v>6365</v>
      </c>
      <c r="Y326" t="s">
        <v>6366</v>
      </c>
      <c r="Z326" t="s">
        <v>6367</v>
      </c>
      <c r="AA326" t="s">
        <v>6368</v>
      </c>
      <c r="AB326" t="s">
        <v>6369</v>
      </c>
      <c r="AC326" t="s">
        <v>6370</v>
      </c>
      <c r="AD326" t="s">
        <v>6371</v>
      </c>
      <c r="AE326" t="s">
        <v>6372</v>
      </c>
      <c r="AF326" t="s">
        <v>74</v>
      </c>
      <c r="AG326">
        <v>60</v>
      </c>
      <c r="AH326">
        <v>61</v>
      </c>
      <c r="AI326">
        <v>70</v>
      </c>
      <c r="AJ326">
        <v>0</v>
      </c>
      <c r="AK326">
        <v>66</v>
      </c>
      <c r="AL326" t="s">
        <v>368</v>
      </c>
      <c r="AM326" t="s">
        <v>369</v>
      </c>
      <c r="AN326" t="s">
        <v>370</v>
      </c>
      <c r="AO326" t="s">
        <v>6373</v>
      </c>
      <c r="AP326" t="s">
        <v>6374</v>
      </c>
      <c r="AQ326" t="s">
        <v>74</v>
      </c>
      <c r="AR326" t="s">
        <v>6375</v>
      </c>
      <c r="AS326" t="s">
        <v>6376</v>
      </c>
      <c r="AT326" t="s">
        <v>5642</v>
      </c>
      <c r="AU326">
        <v>2013</v>
      </c>
      <c r="AV326">
        <v>23</v>
      </c>
      <c r="AW326">
        <v>4</v>
      </c>
      <c r="AX326" t="s">
        <v>74</v>
      </c>
      <c r="AY326" t="s">
        <v>74</v>
      </c>
      <c r="AZ326" t="s">
        <v>74</v>
      </c>
      <c r="BA326" t="s">
        <v>74</v>
      </c>
      <c r="BB326">
        <v>710</v>
      </c>
      <c r="BC326">
        <v>725</v>
      </c>
      <c r="BD326" t="s">
        <v>74</v>
      </c>
      <c r="BE326" t="s">
        <v>6377</v>
      </c>
      <c r="BF326" t="str">
        <f>HYPERLINK("http://dx.doi.org/10.1890/12-1371.1","http://dx.doi.org/10.1890/12-1371.1")</f>
        <v>http://dx.doi.org/10.1890/12-1371.1</v>
      </c>
      <c r="BG326" t="s">
        <v>74</v>
      </c>
      <c r="BH326" t="s">
        <v>74</v>
      </c>
      <c r="BI326">
        <v>16</v>
      </c>
      <c r="BJ326" t="s">
        <v>261</v>
      </c>
      <c r="BK326" t="s">
        <v>102</v>
      </c>
      <c r="BL326" t="s">
        <v>262</v>
      </c>
      <c r="BM326" t="s">
        <v>6378</v>
      </c>
      <c r="BN326">
        <v>23865224</v>
      </c>
      <c r="BO326" t="s">
        <v>1063</v>
      </c>
      <c r="BP326" t="s">
        <v>74</v>
      </c>
      <c r="BQ326" t="s">
        <v>74</v>
      </c>
      <c r="BR326" t="s">
        <v>105</v>
      </c>
      <c r="BS326" t="s">
        <v>6379</v>
      </c>
      <c r="BT326" t="str">
        <f>HYPERLINK("https%3A%2F%2Fwww.webofscience.com%2Fwos%2Fwoscc%2Ffull-record%2FWOS:000320105100003","View Full Record in Web of Science")</f>
        <v>View Full Record in Web of Science</v>
      </c>
    </row>
    <row r="327" spans="1:72" x14ac:dyDescent="0.15">
      <c r="A327" t="s">
        <v>72</v>
      </c>
      <c r="B327" t="s">
        <v>6380</v>
      </c>
      <c r="C327" t="s">
        <v>74</v>
      </c>
      <c r="D327" t="s">
        <v>74</v>
      </c>
      <c r="E327" t="s">
        <v>74</v>
      </c>
      <c r="F327" t="s">
        <v>6381</v>
      </c>
      <c r="G327" t="s">
        <v>74</v>
      </c>
      <c r="H327" t="s">
        <v>74</v>
      </c>
      <c r="I327" t="s">
        <v>6382</v>
      </c>
      <c r="J327" t="s">
        <v>6360</v>
      </c>
      <c r="K327" t="s">
        <v>74</v>
      </c>
      <c r="L327" t="s">
        <v>74</v>
      </c>
      <c r="M327" t="s">
        <v>78</v>
      </c>
      <c r="N327" t="s">
        <v>79</v>
      </c>
      <c r="O327" t="s">
        <v>74</v>
      </c>
      <c r="P327" t="s">
        <v>74</v>
      </c>
      <c r="Q327" t="s">
        <v>74</v>
      </c>
      <c r="R327" t="s">
        <v>74</v>
      </c>
      <c r="S327" t="s">
        <v>74</v>
      </c>
      <c r="T327" t="s">
        <v>6383</v>
      </c>
      <c r="U327" t="s">
        <v>6384</v>
      </c>
      <c r="V327" t="s">
        <v>6385</v>
      </c>
      <c r="W327" t="s">
        <v>6386</v>
      </c>
      <c r="X327" t="s">
        <v>6387</v>
      </c>
      <c r="Y327" t="s">
        <v>6388</v>
      </c>
      <c r="Z327" t="s">
        <v>6389</v>
      </c>
      <c r="AA327" t="s">
        <v>6390</v>
      </c>
      <c r="AB327" t="s">
        <v>6391</v>
      </c>
      <c r="AC327" t="s">
        <v>6392</v>
      </c>
      <c r="AD327" t="s">
        <v>6392</v>
      </c>
      <c r="AE327" t="s">
        <v>6393</v>
      </c>
      <c r="AF327" t="s">
        <v>74</v>
      </c>
      <c r="AG327">
        <v>58</v>
      </c>
      <c r="AH327">
        <v>7</v>
      </c>
      <c r="AI327">
        <v>8</v>
      </c>
      <c r="AJ327">
        <v>0</v>
      </c>
      <c r="AK327">
        <v>40</v>
      </c>
      <c r="AL327" t="s">
        <v>368</v>
      </c>
      <c r="AM327" t="s">
        <v>369</v>
      </c>
      <c r="AN327" t="s">
        <v>370</v>
      </c>
      <c r="AO327" t="s">
        <v>6373</v>
      </c>
      <c r="AP327" t="s">
        <v>6374</v>
      </c>
      <c r="AQ327" t="s">
        <v>74</v>
      </c>
      <c r="AR327" t="s">
        <v>6375</v>
      </c>
      <c r="AS327" t="s">
        <v>6376</v>
      </c>
      <c r="AT327" t="s">
        <v>5642</v>
      </c>
      <c r="AU327">
        <v>2013</v>
      </c>
      <c r="AV327">
        <v>23</v>
      </c>
      <c r="AW327">
        <v>4</v>
      </c>
      <c r="AX327" t="s">
        <v>74</v>
      </c>
      <c r="AY327" t="s">
        <v>74</v>
      </c>
      <c r="AZ327" t="s">
        <v>74</v>
      </c>
      <c r="BA327" t="s">
        <v>74</v>
      </c>
      <c r="BB327">
        <v>801</v>
      </c>
      <c r="BC327">
        <v>814</v>
      </c>
      <c r="BD327" t="s">
        <v>74</v>
      </c>
      <c r="BE327" t="s">
        <v>6394</v>
      </c>
      <c r="BF327" t="str">
        <f>HYPERLINK("http://dx.doi.org/10.1890/12-1324.1","http://dx.doi.org/10.1890/12-1324.1")</f>
        <v>http://dx.doi.org/10.1890/12-1324.1</v>
      </c>
      <c r="BG327" t="s">
        <v>74</v>
      </c>
      <c r="BH327" t="s">
        <v>74</v>
      </c>
      <c r="BI327">
        <v>14</v>
      </c>
      <c r="BJ327" t="s">
        <v>261</v>
      </c>
      <c r="BK327" t="s">
        <v>102</v>
      </c>
      <c r="BL327" t="s">
        <v>262</v>
      </c>
      <c r="BM327" t="s">
        <v>6378</v>
      </c>
      <c r="BN327">
        <v>23865231</v>
      </c>
      <c r="BO327" t="s">
        <v>74</v>
      </c>
      <c r="BP327" t="s">
        <v>74</v>
      </c>
      <c r="BQ327" t="s">
        <v>74</v>
      </c>
      <c r="BR327" t="s">
        <v>105</v>
      </c>
      <c r="BS327" t="s">
        <v>6395</v>
      </c>
      <c r="BT327" t="str">
        <f>HYPERLINK("https%3A%2F%2Fwww.webofscience.com%2Fwos%2Fwoscc%2Ffull-record%2FWOS:000320105100010","View Full Record in Web of Science")</f>
        <v>View Full Record in Web of Science</v>
      </c>
    </row>
    <row r="328" spans="1:72" x14ac:dyDescent="0.15">
      <c r="A328" t="s">
        <v>72</v>
      </c>
      <c r="B328" t="s">
        <v>6396</v>
      </c>
      <c r="C328" t="s">
        <v>74</v>
      </c>
      <c r="D328" t="s">
        <v>74</v>
      </c>
      <c r="E328" t="s">
        <v>74</v>
      </c>
      <c r="F328" t="s">
        <v>6397</v>
      </c>
      <c r="G328" t="s">
        <v>74</v>
      </c>
      <c r="H328" t="s">
        <v>74</v>
      </c>
      <c r="I328" t="s">
        <v>6398</v>
      </c>
      <c r="J328" t="s">
        <v>942</v>
      </c>
      <c r="K328" t="s">
        <v>74</v>
      </c>
      <c r="L328" t="s">
        <v>74</v>
      </c>
      <c r="M328" t="s">
        <v>78</v>
      </c>
      <c r="N328" t="s">
        <v>79</v>
      </c>
      <c r="O328" t="s">
        <v>74</v>
      </c>
      <c r="P328" t="s">
        <v>74</v>
      </c>
      <c r="Q328" t="s">
        <v>74</v>
      </c>
      <c r="R328" t="s">
        <v>74</v>
      </c>
      <c r="S328" t="s">
        <v>74</v>
      </c>
      <c r="T328" t="s">
        <v>6399</v>
      </c>
      <c r="U328" t="s">
        <v>6400</v>
      </c>
      <c r="V328" t="s">
        <v>6401</v>
      </c>
      <c r="W328" t="s">
        <v>6402</v>
      </c>
      <c r="X328" t="s">
        <v>6403</v>
      </c>
      <c r="Y328" t="s">
        <v>6404</v>
      </c>
      <c r="Z328" t="s">
        <v>6405</v>
      </c>
      <c r="AA328" t="s">
        <v>6406</v>
      </c>
      <c r="AB328" t="s">
        <v>6407</v>
      </c>
      <c r="AC328" t="s">
        <v>6408</v>
      </c>
      <c r="AD328" t="s">
        <v>6409</v>
      </c>
      <c r="AE328" t="s">
        <v>6410</v>
      </c>
      <c r="AF328" t="s">
        <v>74</v>
      </c>
      <c r="AG328">
        <v>94</v>
      </c>
      <c r="AH328">
        <v>22</v>
      </c>
      <c r="AI328">
        <v>25</v>
      </c>
      <c r="AJ328">
        <v>1</v>
      </c>
      <c r="AK328">
        <v>54</v>
      </c>
      <c r="AL328" t="s">
        <v>954</v>
      </c>
      <c r="AM328" t="s">
        <v>955</v>
      </c>
      <c r="AN328" t="s">
        <v>956</v>
      </c>
      <c r="AO328" t="s">
        <v>957</v>
      </c>
      <c r="AP328" t="s">
        <v>958</v>
      </c>
      <c r="AQ328" t="s">
        <v>74</v>
      </c>
      <c r="AR328" t="s">
        <v>942</v>
      </c>
      <c r="AS328" t="s">
        <v>959</v>
      </c>
      <c r="AT328" t="s">
        <v>5642</v>
      </c>
      <c r="AU328">
        <v>2013</v>
      </c>
      <c r="AV328">
        <v>224</v>
      </c>
      <c r="AW328">
        <v>2</v>
      </c>
      <c r="AX328" t="s">
        <v>74</v>
      </c>
      <c r="AY328" t="s">
        <v>74</v>
      </c>
      <c r="AZ328" t="s">
        <v>935</v>
      </c>
      <c r="BA328" t="s">
        <v>74</v>
      </c>
      <c r="BB328">
        <v>309</v>
      </c>
      <c r="BC328">
        <v>325</v>
      </c>
      <c r="BD328" t="s">
        <v>74</v>
      </c>
      <c r="BE328" t="s">
        <v>6411</v>
      </c>
      <c r="BF328" t="str">
        <f>HYPERLINK("http://dx.doi.org/10.1016/j.icarus.2012.05.014","http://dx.doi.org/10.1016/j.icarus.2012.05.014")</f>
        <v>http://dx.doi.org/10.1016/j.icarus.2012.05.014</v>
      </c>
      <c r="BG328" t="s">
        <v>74</v>
      </c>
      <c r="BH328" t="s">
        <v>74</v>
      </c>
      <c r="BI328">
        <v>17</v>
      </c>
      <c r="BJ328" t="s">
        <v>101</v>
      </c>
      <c r="BK328" t="s">
        <v>102</v>
      </c>
      <c r="BL328" t="s">
        <v>101</v>
      </c>
      <c r="BM328" t="s">
        <v>6412</v>
      </c>
      <c r="BN328" t="s">
        <v>74</v>
      </c>
      <c r="BO328" t="s">
        <v>426</v>
      </c>
      <c r="BP328" t="s">
        <v>74</v>
      </c>
      <c r="BQ328" t="s">
        <v>74</v>
      </c>
      <c r="BR328" t="s">
        <v>105</v>
      </c>
      <c r="BS328" t="s">
        <v>6413</v>
      </c>
      <c r="BT328" t="str">
        <f>HYPERLINK("https%3A%2F%2Fwww.webofscience.com%2Fwos%2Fwoscc%2Ffull-record%2FWOS:000320293200006","View Full Record in Web of Science")</f>
        <v>View Full Record in Web of Science</v>
      </c>
    </row>
    <row r="329" spans="1:72" x14ac:dyDescent="0.15">
      <c r="A329" t="s">
        <v>72</v>
      </c>
      <c r="B329" t="s">
        <v>6414</v>
      </c>
      <c r="C329" t="s">
        <v>74</v>
      </c>
      <c r="D329" t="s">
        <v>74</v>
      </c>
      <c r="E329" t="s">
        <v>74</v>
      </c>
      <c r="F329" t="s">
        <v>6415</v>
      </c>
      <c r="G329" t="s">
        <v>74</v>
      </c>
      <c r="H329" t="s">
        <v>74</v>
      </c>
      <c r="I329" t="s">
        <v>6416</v>
      </c>
      <c r="J329" t="s">
        <v>6417</v>
      </c>
      <c r="K329" t="s">
        <v>74</v>
      </c>
      <c r="L329" t="s">
        <v>74</v>
      </c>
      <c r="M329" t="s">
        <v>78</v>
      </c>
      <c r="N329" t="s">
        <v>79</v>
      </c>
      <c r="O329" t="s">
        <v>74</v>
      </c>
      <c r="P329" t="s">
        <v>74</v>
      </c>
      <c r="Q329" t="s">
        <v>74</v>
      </c>
      <c r="R329" t="s">
        <v>74</v>
      </c>
      <c r="S329" t="s">
        <v>74</v>
      </c>
      <c r="T329" t="s">
        <v>6418</v>
      </c>
      <c r="U329" t="s">
        <v>6419</v>
      </c>
      <c r="V329" t="s">
        <v>6420</v>
      </c>
      <c r="W329" t="s">
        <v>6421</v>
      </c>
      <c r="X329" t="s">
        <v>6422</v>
      </c>
      <c r="Y329" t="s">
        <v>6423</v>
      </c>
      <c r="Z329" t="s">
        <v>6424</v>
      </c>
      <c r="AA329" t="s">
        <v>6425</v>
      </c>
      <c r="AB329" t="s">
        <v>6426</v>
      </c>
      <c r="AC329" t="s">
        <v>6427</v>
      </c>
      <c r="AD329" t="s">
        <v>6428</v>
      </c>
      <c r="AE329" t="s">
        <v>6429</v>
      </c>
      <c r="AF329" t="s">
        <v>74</v>
      </c>
      <c r="AG329">
        <v>66</v>
      </c>
      <c r="AH329">
        <v>94</v>
      </c>
      <c r="AI329">
        <v>106</v>
      </c>
      <c r="AJ329">
        <v>3</v>
      </c>
      <c r="AK329">
        <v>129</v>
      </c>
      <c r="AL329" t="s">
        <v>368</v>
      </c>
      <c r="AM329" t="s">
        <v>369</v>
      </c>
      <c r="AN329" t="s">
        <v>370</v>
      </c>
      <c r="AO329" t="s">
        <v>6430</v>
      </c>
      <c r="AP329" t="s">
        <v>6431</v>
      </c>
      <c r="AQ329" t="s">
        <v>74</v>
      </c>
      <c r="AR329" t="s">
        <v>6432</v>
      </c>
      <c r="AS329" t="s">
        <v>6433</v>
      </c>
      <c r="AT329" t="s">
        <v>5642</v>
      </c>
      <c r="AU329">
        <v>2013</v>
      </c>
      <c r="AV329">
        <v>4</v>
      </c>
      <c r="AW329">
        <v>6</v>
      </c>
      <c r="AX329" t="s">
        <v>74</v>
      </c>
      <c r="AY329" t="s">
        <v>74</v>
      </c>
      <c r="AZ329" t="s">
        <v>74</v>
      </c>
      <c r="BA329" t="s">
        <v>74</v>
      </c>
      <c r="BB329">
        <v>501</v>
      </c>
      <c r="BC329">
        <v>512</v>
      </c>
      <c r="BD329" t="s">
        <v>74</v>
      </c>
      <c r="BE329" t="s">
        <v>6434</v>
      </c>
      <c r="BF329" t="str">
        <f>HYPERLINK("http://dx.doi.org/10.1111/2041-210X.12044","http://dx.doi.org/10.1111/2041-210X.12044")</f>
        <v>http://dx.doi.org/10.1111/2041-210X.12044</v>
      </c>
      <c r="BG329" t="s">
        <v>74</v>
      </c>
      <c r="BH329" t="s">
        <v>74</v>
      </c>
      <c r="BI329">
        <v>12</v>
      </c>
      <c r="BJ329" t="s">
        <v>5449</v>
      </c>
      <c r="BK329" t="s">
        <v>102</v>
      </c>
      <c r="BL329" t="s">
        <v>262</v>
      </c>
      <c r="BM329" t="s">
        <v>6435</v>
      </c>
      <c r="BN329" t="s">
        <v>74</v>
      </c>
      <c r="BO329" t="s">
        <v>2011</v>
      </c>
      <c r="BP329" t="s">
        <v>74</v>
      </c>
      <c r="BQ329" t="s">
        <v>74</v>
      </c>
      <c r="BR329" t="s">
        <v>105</v>
      </c>
      <c r="BS329" t="s">
        <v>6436</v>
      </c>
      <c r="BT329" t="str">
        <f>HYPERLINK("https%3A%2F%2Fwww.webofscience.com%2Fwos%2Fwoscc%2Ffull-record%2FWOS:000320117200001","View Full Record in Web of Science")</f>
        <v>View Full Record in Web of Science</v>
      </c>
    </row>
    <row r="330" spans="1:72" x14ac:dyDescent="0.15">
      <c r="A330" t="s">
        <v>72</v>
      </c>
      <c r="B330" t="s">
        <v>6437</v>
      </c>
      <c r="C330" t="s">
        <v>74</v>
      </c>
      <c r="D330" t="s">
        <v>74</v>
      </c>
      <c r="E330" t="s">
        <v>74</v>
      </c>
      <c r="F330" t="s">
        <v>6438</v>
      </c>
      <c r="G330" t="s">
        <v>74</v>
      </c>
      <c r="H330" t="s">
        <v>74</v>
      </c>
      <c r="I330" t="s">
        <v>6439</v>
      </c>
      <c r="J330" t="s">
        <v>6417</v>
      </c>
      <c r="K330" t="s">
        <v>74</v>
      </c>
      <c r="L330" t="s">
        <v>74</v>
      </c>
      <c r="M330" t="s">
        <v>78</v>
      </c>
      <c r="N330" t="s">
        <v>79</v>
      </c>
      <c r="O330" t="s">
        <v>74</v>
      </c>
      <c r="P330" t="s">
        <v>74</v>
      </c>
      <c r="Q330" t="s">
        <v>74</v>
      </c>
      <c r="R330" t="s">
        <v>74</v>
      </c>
      <c r="S330" t="s">
        <v>74</v>
      </c>
      <c r="T330" t="s">
        <v>6440</v>
      </c>
      <c r="U330" t="s">
        <v>74</v>
      </c>
      <c r="V330" t="s">
        <v>6441</v>
      </c>
      <c r="W330" t="s">
        <v>6442</v>
      </c>
      <c r="X330" t="s">
        <v>6443</v>
      </c>
      <c r="Y330" t="s">
        <v>6444</v>
      </c>
      <c r="Z330" t="s">
        <v>6445</v>
      </c>
      <c r="AA330" t="s">
        <v>6446</v>
      </c>
      <c r="AB330" t="s">
        <v>6447</v>
      </c>
      <c r="AC330" t="s">
        <v>6448</v>
      </c>
      <c r="AD330" t="s">
        <v>6449</v>
      </c>
      <c r="AE330" t="s">
        <v>6450</v>
      </c>
      <c r="AF330" t="s">
        <v>74</v>
      </c>
      <c r="AG330">
        <v>6</v>
      </c>
      <c r="AH330">
        <v>7</v>
      </c>
      <c r="AI330">
        <v>7</v>
      </c>
      <c r="AJ330">
        <v>0</v>
      </c>
      <c r="AK330">
        <v>14</v>
      </c>
      <c r="AL330" t="s">
        <v>2961</v>
      </c>
      <c r="AM330" t="s">
        <v>369</v>
      </c>
      <c r="AN330" t="s">
        <v>370</v>
      </c>
      <c r="AO330" t="s">
        <v>6430</v>
      </c>
      <c r="AP330" t="s">
        <v>74</v>
      </c>
      <c r="AQ330" t="s">
        <v>74</v>
      </c>
      <c r="AR330" t="s">
        <v>6432</v>
      </c>
      <c r="AS330" t="s">
        <v>6433</v>
      </c>
      <c r="AT330" t="s">
        <v>5642</v>
      </c>
      <c r="AU330">
        <v>2013</v>
      </c>
      <c r="AV330">
        <v>4</v>
      </c>
      <c r="AW330">
        <v>6</v>
      </c>
      <c r="AX330" t="s">
        <v>74</v>
      </c>
      <c r="AY330" t="s">
        <v>74</v>
      </c>
      <c r="AZ330" t="s">
        <v>74</v>
      </c>
      <c r="BA330" t="s">
        <v>74</v>
      </c>
      <c r="BB330">
        <v>589</v>
      </c>
      <c r="BC330">
        <v>594</v>
      </c>
      <c r="BD330" t="s">
        <v>74</v>
      </c>
      <c r="BE330" t="s">
        <v>6451</v>
      </c>
      <c r="BF330" t="str">
        <f>HYPERLINK("http://dx.doi.org/10.1111/2041-210X.12058","http://dx.doi.org/10.1111/2041-210X.12058")</f>
        <v>http://dx.doi.org/10.1111/2041-210X.12058</v>
      </c>
      <c r="BG330" t="s">
        <v>74</v>
      </c>
      <c r="BH330" t="s">
        <v>74</v>
      </c>
      <c r="BI330">
        <v>6</v>
      </c>
      <c r="BJ330" t="s">
        <v>5449</v>
      </c>
      <c r="BK330" t="s">
        <v>102</v>
      </c>
      <c r="BL330" t="s">
        <v>262</v>
      </c>
      <c r="BM330" t="s">
        <v>6435</v>
      </c>
      <c r="BN330" t="s">
        <v>74</v>
      </c>
      <c r="BO330" t="s">
        <v>104</v>
      </c>
      <c r="BP330" t="s">
        <v>74</v>
      </c>
      <c r="BQ330" t="s">
        <v>74</v>
      </c>
      <c r="BR330" t="s">
        <v>105</v>
      </c>
      <c r="BS330" t="s">
        <v>6452</v>
      </c>
      <c r="BT330" t="str">
        <f>HYPERLINK("https%3A%2F%2Fwww.webofscience.com%2Fwos%2Fwoscc%2Ffull-record%2FWOS:000320117200011","View Full Record in Web of Science")</f>
        <v>View Full Record in Web of Science</v>
      </c>
    </row>
    <row r="331" spans="1:72" x14ac:dyDescent="0.15">
      <c r="A331" t="s">
        <v>72</v>
      </c>
      <c r="B331" t="s">
        <v>6453</v>
      </c>
      <c r="C331" t="s">
        <v>74</v>
      </c>
      <c r="D331" t="s">
        <v>74</v>
      </c>
      <c r="E331" t="s">
        <v>74</v>
      </c>
      <c r="F331" t="s">
        <v>6454</v>
      </c>
      <c r="G331" t="s">
        <v>74</v>
      </c>
      <c r="H331" t="s">
        <v>74</v>
      </c>
      <c r="I331" t="s">
        <v>6455</v>
      </c>
      <c r="J331" t="s">
        <v>431</v>
      </c>
      <c r="K331" t="s">
        <v>74</v>
      </c>
      <c r="L331" t="s">
        <v>74</v>
      </c>
      <c r="M331" t="s">
        <v>78</v>
      </c>
      <c r="N331" t="s">
        <v>79</v>
      </c>
      <c r="O331" t="s">
        <v>74</v>
      </c>
      <c r="P331" t="s">
        <v>74</v>
      </c>
      <c r="Q331" t="s">
        <v>74</v>
      </c>
      <c r="R331" t="s">
        <v>74</v>
      </c>
      <c r="S331" t="s">
        <v>74</v>
      </c>
      <c r="T331" t="s">
        <v>74</v>
      </c>
      <c r="U331" t="s">
        <v>74</v>
      </c>
      <c r="V331" t="s">
        <v>74</v>
      </c>
      <c r="W331" t="s">
        <v>6456</v>
      </c>
      <c r="X331" t="s">
        <v>6457</v>
      </c>
      <c r="Y331" t="s">
        <v>6458</v>
      </c>
      <c r="Z331" t="s">
        <v>74</v>
      </c>
      <c r="AA331" t="s">
        <v>6459</v>
      </c>
      <c r="AB331" t="s">
        <v>74</v>
      </c>
      <c r="AC331" t="s">
        <v>74</v>
      </c>
      <c r="AD331" t="s">
        <v>74</v>
      </c>
      <c r="AE331" t="s">
        <v>74</v>
      </c>
      <c r="AF331" t="s">
        <v>74</v>
      </c>
      <c r="AG331">
        <v>0</v>
      </c>
      <c r="AH331">
        <v>0</v>
      </c>
      <c r="AI331">
        <v>0</v>
      </c>
      <c r="AJ331">
        <v>0</v>
      </c>
      <c r="AK331">
        <v>2</v>
      </c>
      <c r="AL331" t="s">
        <v>441</v>
      </c>
      <c r="AM331" t="s">
        <v>442</v>
      </c>
      <c r="AN331" t="s">
        <v>443</v>
      </c>
      <c r="AO331" t="s">
        <v>444</v>
      </c>
      <c r="AP331" t="s">
        <v>74</v>
      </c>
      <c r="AQ331" t="s">
        <v>74</v>
      </c>
      <c r="AR331" t="s">
        <v>446</v>
      </c>
      <c r="AS331" t="s">
        <v>447</v>
      </c>
      <c r="AT331" t="s">
        <v>5642</v>
      </c>
      <c r="AU331">
        <v>2013</v>
      </c>
      <c r="AV331">
        <v>54</v>
      </c>
      <c r="AW331">
        <v>3</v>
      </c>
      <c r="AX331" t="s">
        <v>74</v>
      </c>
      <c r="AY331" t="s">
        <v>74</v>
      </c>
      <c r="AZ331" t="s">
        <v>74</v>
      </c>
      <c r="BA331" t="s">
        <v>74</v>
      </c>
      <c r="BB331">
        <v>21</v>
      </c>
      <c r="BC331">
        <v>22</v>
      </c>
      <c r="BD331" t="s">
        <v>74</v>
      </c>
      <c r="BE331" t="s">
        <v>74</v>
      </c>
      <c r="BF331" t="s">
        <v>74</v>
      </c>
      <c r="BG331" t="s">
        <v>74</v>
      </c>
      <c r="BH331" t="s">
        <v>74</v>
      </c>
      <c r="BI331">
        <v>2</v>
      </c>
      <c r="BJ331" t="s">
        <v>448</v>
      </c>
      <c r="BK331" t="s">
        <v>102</v>
      </c>
      <c r="BL331" t="s">
        <v>448</v>
      </c>
      <c r="BM331" t="s">
        <v>6460</v>
      </c>
      <c r="BN331" t="s">
        <v>74</v>
      </c>
      <c r="BO331" t="s">
        <v>74</v>
      </c>
      <c r="BP331" t="s">
        <v>74</v>
      </c>
      <c r="BQ331" t="s">
        <v>74</v>
      </c>
      <c r="BR331" t="s">
        <v>105</v>
      </c>
      <c r="BS331" t="s">
        <v>6461</v>
      </c>
      <c r="BT331" t="str">
        <f>HYPERLINK("https%3A%2F%2Fwww.webofscience.com%2Fwos%2Fwoscc%2Ffull-record%2FWOS:000319846700020","View Full Record in Web of Science")</f>
        <v>View Full Record in Web of Science</v>
      </c>
    </row>
    <row r="332" spans="1:72" x14ac:dyDescent="0.15">
      <c r="A332" t="s">
        <v>72</v>
      </c>
      <c r="B332" t="s">
        <v>6462</v>
      </c>
      <c r="C332" t="s">
        <v>74</v>
      </c>
      <c r="D332" t="s">
        <v>74</v>
      </c>
      <c r="E332" t="s">
        <v>74</v>
      </c>
      <c r="F332" t="s">
        <v>6463</v>
      </c>
      <c r="G332" t="s">
        <v>74</v>
      </c>
      <c r="H332" t="s">
        <v>74</v>
      </c>
      <c r="I332" t="s">
        <v>6464</v>
      </c>
      <c r="J332" t="s">
        <v>6465</v>
      </c>
      <c r="K332" t="s">
        <v>74</v>
      </c>
      <c r="L332" t="s">
        <v>74</v>
      </c>
      <c r="M332" t="s">
        <v>6466</v>
      </c>
      <c r="N332" t="s">
        <v>79</v>
      </c>
      <c r="O332" t="s">
        <v>74</v>
      </c>
      <c r="P332" t="s">
        <v>74</v>
      </c>
      <c r="Q332" t="s">
        <v>74</v>
      </c>
      <c r="R332" t="s">
        <v>74</v>
      </c>
      <c r="S332" t="s">
        <v>74</v>
      </c>
      <c r="T332" t="s">
        <v>6467</v>
      </c>
      <c r="U332" t="s">
        <v>74</v>
      </c>
      <c r="V332" t="s">
        <v>6468</v>
      </c>
      <c r="W332" t="s">
        <v>6469</v>
      </c>
      <c r="X332" t="s">
        <v>74</v>
      </c>
      <c r="Y332" t="s">
        <v>6470</v>
      </c>
      <c r="Z332" t="s">
        <v>6471</v>
      </c>
      <c r="AA332" t="s">
        <v>74</v>
      </c>
      <c r="AB332" t="s">
        <v>74</v>
      </c>
      <c r="AC332" t="s">
        <v>74</v>
      </c>
      <c r="AD332" t="s">
        <v>74</v>
      </c>
      <c r="AE332" t="s">
        <v>74</v>
      </c>
      <c r="AF332" t="s">
        <v>74</v>
      </c>
      <c r="AG332">
        <v>4</v>
      </c>
      <c r="AH332">
        <v>0</v>
      </c>
      <c r="AI332">
        <v>0</v>
      </c>
      <c r="AJ332">
        <v>0</v>
      </c>
      <c r="AK332">
        <v>7</v>
      </c>
      <c r="AL332" t="s">
        <v>6472</v>
      </c>
      <c r="AM332" t="s">
        <v>1851</v>
      </c>
      <c r="AN332" t="s">
        <v>6473</v>
      </c>
      <c r="AO332" t="s">
        <v>6474</v>
      </c>
      <c r="AP332" t="s">
        <v>6475</v>
      </c>
      <c r="AQ332" t="s">
        <v>74</v>
      </c>
      <c r="AR332" t="s">
        <v>6465</v>
      </c>
      <c r="AS332" t="s">
        <v>6476</v>
      </c>
      <c r="AT332" t="s">
        <v>5642</v>
      </c>
      <c r="AU332">
        <v>2013</v>
      </c>
      <c r="AV332">
        <v>90</v>
      </c>
      <c r="AW332">
        <v>6</v>
      </c>
      <c r="AX332" t="s">
        <v>74</v>
      </c>
      <c r="AY332" t="s">
        <v>74</v>
      </c>
      <c r="AZ332" t="s">
        <v>74</v>
      </c>
      <c r="BA332" t="s">
        <v>74</v>
      </c>
      <c r="BB332">
        <v>348</v>
      </c>
      <c r="BC332">
        <v>353</v>
      </c>
      <c r="BD332" t="s">
        <v>74</v>
      </c>
      <c r="BE332" t="s">
        <v>6477</v>
      </c>
      <c r="BF332" t="str">
        <f>HYPERLINK("http://dx.doi.org/10.1002/bate.201300006","http://dx.doi.org/10.1002/bate.201300006")</f>
        <v>http://dx.doi.org/10.1002/bate.201300006</v>
      </c>
      <c r="BG332" t="s">
        <v>74</v>
      </c>
      <c r="BH332" t="s">
        <v>74</v>
      </c>
      <c r="BI332">
        <v>6</v>
      </c>
      <c r="BJ332" t="s">
        <v>6478</v>
      </c>
      <c r="BK332" t="s">
        <v>102</v>
      </c>
      <c r="BL332" t="s">
        <v>6479</v>
      </c>
      <c r="BM332" t="s">
        <v>6480</v>
      </c>
      <c r="BN332" t="s">
        <v>74</v>
      </c>
      <c r="BO332" t="s">
        <v>74</v>
      </c>
      <c r="BP332" t="s">
        <v>74</v>
      </c>
      <c r="BQ332" t="s">
        <v>74</v>
      </c>
      <c r="BR332" t="s">
        <v>105</v>
      </c>
      <c r="BS332" t="s">
        <v>6481</v>
      </c>
      <c r="BT332" t="str">
        <f>HYPERLINK("https%3A%2F%2Fwww.webofscience.com%2Fwos%2Fwoscc%2Ffull-record%2FWOS:000319825600003","View Full Record in Web of Science")</f>
        <v>View Full Record in Web of Science</v>
      </c>
    </row>
    <row r="333" spans="1:72" x14ac:dyDescent="0.15">
      <c r="A333" t="s">
        <v>72</v>
      </c>
      <c r="B333" t="s">
        <v>6482</v>
      </c>
      <c r="C333" t="s">
        <v>74</v>
      </c>
      <c r="D333" t="s">
        <v>74</v>
      </c>
      <c r="E333" t="s">
        <v>74</v>
      </c>
      <c r="F333" t="s">
        <v>6483</v>
      </c>
      <c r="G333" t="s">
        <v>74</v>
      </c>
      <c r="H333" t="s">
        <v>74</v>
      </c>
      <c r="I333" t="s">
        <v>6484</v>
      </c>
      <c r="J333" t="s">
        <v>3212</v>
      </c>
      <c r="K333" t="s">
        <v>74</v>
      </c>
      <c r="L333" t="s">
        <v>74</v>
      </c>
      <c r="M333" t="s">
        <v>78</v>
      </c>
      <c r="N333" t="s">
        <v>79</v>
      </c>
      <c r="O333" t="s">
        <v>74</v>
      </c>
      <c r="P333" t="s">
        <v>74</v>
      </c>
      <c r="Q333" t="s">
        <v>74</v>
      </c>
      <c r="R333" t="s">
        <v>74</v>
      </c>
      <c r="S333" t="s">
        <v>74</v>
      </c>
      <c r="T333" t="s">
        <v>74</v>
      </c>
      <c r="U333" t="s">
        <v>6485</v>
      </c>
      <c r="V333" t="s">
        <v>6486</v>
      </c>
      <c r="W333" t="s">
        <v>6487</v>
      </c>
      <c r="X333" t="s">
        <v>74</v>
      </c>
      <c r="Y333" t="s">
        <v>6488</v>
      </c>
      <c r="Z333" t="s">
        <v>6489</v>
      </c>
      <c r="AA333" t="s">
        <v>6490</v>
      </c>
      <c r="AB333" t="s">
        <v>6491</v>
      </c>
      <c r="AC333" t="s">
        <v>6492</v>
      </c>
      <c r="AD333" t="s">
        <v>6493</v>
      </c>
      <c r="AE333" t="s">
        <v>6494</v>
      </c>
      <c r="AF333" t="s">
        <v>74</v>
      </c>
      <c r="AG333">
        <v>18</v>
      </c>
      <c r="AH333">
        <v>34</v>
      </c>
      <c r="AI333">
        <v>38</v>
      </c>
      <c r="AJ333">
        <v>0</v>
      </c>
      <c r="AK333">
        <v>17</v>
      </c>
      <c r="AL333" t="s">
        <v>529</v>
      </c>
      <c r="AM333" t="s">
        <v>1151</v>
      </c>
      <c r="AN333" t="s">
        <v>1152</v>
      </c>
      <c r="AO333" t="s">
        <v>3223</v>
      </c>
      <c r="AP333" t="s">
        <v>3224</v>
      </c>
      <c r="AQ333" t="s">
        <v>74</v>
      </c>
      <c r="AR333" t="s">
        <v>3212</v>
      </c>
      <c r="AS333" t="s">
        <v>3225</v>
      </c>
      <c r="AT333" t="s">
        <v>5642</v>
      </c>
      <c r="AU333">
        <v>2013</v>
      </c>
      <c r="AV333">
        <v>118</v>
      </c>
      <c r="AW333" t="s">
        <v>599</v>
      </c>
      <c r="AX333" t="s">
        <v>74</v>
      </c>
      <c r="AY333" t="s">
        <v>74</v>
      </c>
      <c r="AZ333" t="s">
        <v>74</v>
      </c>
      <c r="BA333" t="s">
        <v>74</v>
      </c>
      <c r="BB333">
        <v>871</v>
      </c>
      <c r="BC333">
        <v>883</v>
      </c>
      <c r="BD333" t="s">
        <v>74</v>
      </c>
      <c r="BE333" t="s">
        <v>6495</v>
      </c>
      <c r="BF333" t="str">
        <f>HYPERLINK("http://dx.doi.org/10.1007/s10584-013-0697-4","http://dx.doi.org/10.1007/s10584-013-0697-4")</f>
        <v>http://dx.doi.org/10.1007/s10584-013-0697-4</v>
      </c>
      <c r="BG333" t="s">
        <v>74</v>
      </c>
      <c r="BH333" t="s">
        <v>74</v>
      </c>
      <c r="BI333">
        <v>13</v>
      </c>
      <c r="BJ333" t="s">
        <v>3227</v>
      </c>
      <c r="BK333" t="s">
        <v>102</v>
      </c>
      <c r="BL333" t="s">
        <v>3228</v>
      </c>
      <c r="BM333" t="s">
        <v>6496</v>
      </c>
      <c r="BN333" t="s">
        <v>74</v>
      </c>
      <c r="BO333" t="s">
        <v>74</v>
      </c>
      <c r="BP333" t="s">
        <v>74</v>
      </c>
      <c r="BQ333" t="s">
        <v>74</v>
      </c>
      <c r="BR333" t="s">
        <v>105</v>
      </c>
      <c r="BS333" t="s">
        <v>6497</v>
      </c>
      <c r="BT333" t="str">
        <f>HYPERLINK("https%3A%2F%2Fwww.webofscience.com%2Fwos%2Fwoscc%2Ffull-record%2FWOS:000319418300028","View Full Record in Web of Science")</f>
        <v>View Full Record in Web of Science</v>
      </c>
    </row>
    <row r="334" spans="1:72" x14ac:dyDescent="0.15">
      <c r="A334" t="s">
        <v>72</v>
      </c>
      <c r="B334" t="s">
        <v>6498</v>
      </c>
      <c r="C334" t="s">
        <v>74</v>
      </c>
      <c r="D334" t="s">
        <v>74</v>
      </c>
      <c r="E334" t="s">
        <v>74</v>
      </c>
      <c r="F334" t="s">
        <v>6499</v>
      </c>
      <c r="G334" t="s">
        <v>74</v>
      </c>
      <c r="H334" t="s">
        <v>74</v>
      </c>
      <c r="I334" t="s">
        <v>6500</v>
      </c>
      <c r="J334" t="s">
        <v>6175</v>
      </c>
      <c r="K334" t="s">
        <v>74</v>
      </c>
      <c r="L334" t="s">
        <v>74</v>
      </c>
      <c r="M334" t="s">
        <v>78</v>
      </c>
      <c r="N334" t="s">
        <v>79</v>
      </c>
      <c r="O334" t="s">
        <v>74</v>
      </c>
      <c r="P334" t="s">
        <v>74</v>
      </c>
      <c r="Q334" t="s">
        <v>74</v>
      </c>
      <c r="R334" t="s">
        <v>74</v>
      </c>
      <c r="S334" t="s">
        <v>74</v>
      </c>
      <c r="T334" t="s">
        <v>6501</v>
      </c>
      <c r="U334" t="s">
        <v>6502</v>
      </c>
      <c r="V334" t="s">
        <v>6503</v>
      </c>
      <c r="W334" t="s">
        <v>6504</v>
      </c>
      <c r="X334" t="s">
        <v>6505</v>
      </c>
      <c r="Y334" t="s">
        <v>6506</v>
      </c>
      <c r="Z334" t="s">
        <v>6507</v>
      </c>
      <c r="AA334" t="s">
        <v>6508</v>
      </c>
      <c r="AB334" t="s">
        <v>6509</v>
      </c>
      <c r="AC334" t="s">
        <v>6510</v>
      </c>
      <c r="AD334" t="s">
        <v>6511</v>
      </c>
      <c r="AE334" t="s">
        <v>6512</v>
      </c>
      <c r="AF334" t="s">
        <v>74</v>
      </c>
      <c r="AG334">
        <v>39</v>
      </c>
      <c r="AH334">
        <v>38</v>
      </c>
      <c r="AI334">
        <v>39</v>
      </c>
      <c r="AJ334">
        <v>2</v>
      </c>
      <c r="AK334">
        <v>46</v>
      </c>
      <c r="AL334" t="s">
        <v>368</v>
      </c>
      <c r="AM334" t="s">
        <v>369</v>
      </c>
      <c r="AN334" t="s">
        <v>370</v>
      </c>
      <c r="AO334" t="s">
        <v>6188</v>
      </c>
      <c r="AP334" t="s">
        <v>6513</v>
      </c>
      <c r="AQ334" t="s">
        <v>74</v>
      </c>
      <c r="AR334" t="s">
        <v>6189</v>
      </c>
      <c r="AS334" t="s">
        <v>6190</v>
      </c>
      <c r="AT334" t="s">
        <v>5642</v>
      </c>
      <c r="AU334">
        <v>2013</v>
      </c>
      <c r="AV334">
        <v>33</v>
      </c>
      <c r="AW334">
        <v>7</v>
      </c>
      <c r="AX334" t="s">
        <v>74</v>
      </c>
      <c r="AY334" t="s">
        <v>74</v>
      </c>
      <c r="AZ334" t="s">
        <v>74</v>
      </c>
      <c r="BA334" t="s">
        <v>74</v>
      </c>
      <c r="BB334">
        <v>1615</v>
      </c>
      <c r="BC334">
        <v>1632</v>
      </c>
      <c r="BD334" t="s">
        <v>74</v>
      </c>
      <c r="BE334" t="s">
        <v>6514</v>
      </c>
      <c r="BF334" t="str">
        <f>HYPERLINK("http://dx.doi.org/10.1002/joc.3537","http://dx.doi.org/10.1002/joc.3537")</f>
        <v>http://dx.doi.org/10.1002/joc.3537</v>
      </c>
      <c r="BG334" t="s">
        <v>74</v>
      </c>
      <c r="BH334" t="s">
        <v>74</v>
      </c>
      <c r="BI334">
        <v>18</v>
      </c>
      <c r="BJ334" t="s">
        <v>305</v>
      </c>
      <c r="BK334" t="s">
        <v>102</v>
      </c>
      <c r="BL334" t="s">
        <v>305</v>
      </c>
      <c r="BM334" t="s">
        <v>6515</v>
      </c>
      <c r="BN334" t="s">
        <v>74</v>
      </c>
      <c r="BO334" t="s">
        <v>74</v>
      </c>
      <c r="BP334" t="s">
        <v>74</v>
      </c>
      <c r="BQ334" t="s">
        <v>74</v>
      </c>
      <c r="BR334" t="s">
        <v>105</v>
      </c>
      <c r="BS334" t="s">
        <v>6516</v>
      </c>
      <c r="BT334" t="str">
        <f>HYPERLINK("https%3A%2F%2Fwww.webofscience.com%2Fwos%2Fwoscc%2Ffull-record%2FWOS:000319902800003","View Full Record in Web of Science")</f>
        <v>View Full Record in Web of Science</v>
      </c>
    </row>
    <row r="335" spans="1:72" x14ac:dyDescent="0.15">
      <c r="A335" t="s">
        <v>72</v>
      </c>
      <c r="B335" t="s">
        <v>6517</v>
      </c>
      <c r="C335" t="s">
        <v>74</v>
      </c>
      <c r="D335" t="s">
        <v>74</v>
      </c>
      <c r="E335" t="s">
        <v>74</v>
      </c>
      <c r="F335" t="s">
        <v>6518</v>
      </c>
      <c r="G335" t="s">
        <v>74</v>
      </c>
      <c r="H335" t="s">
        <v>74</v>
      </c>
      <c r="I335" t="s">
        <v>6519</v>
      </c>
      <c r="J335" t="s">
        <v>542</v>
      </c>
      <c r="K335" t="s">
        <v>74</v>
      </c>
      <c r="L335" t="s">
        <v>74</v>
      </c>
      <c r="M335" t="s">
        <v>78</v>
      </c>
      <c r="N335" t="s">
        <v>79</v>
      </c>
      <c r="O335" t="s">
        <v>74</v>
      </c>
      <c r="P335" t="s">
        <v>74</v>
      </c>
      <c r="Q335" t="s">
        <v>74</v>
      </c>
      <c r="R335" t="s">
        <v>74</v>
      </c>
      <c r="S335" t="s">
        <v>74</v>
      </c>
      <c r="T335" t="s">
        <v>74</v>
      </c>
      <c r="U335" t="s">
        <v>6520</v>
      </c>
      <c r="V335" t="s">
        <v>6521</v>
      </c>
      <c r="W335" t="s">
        <v>6522</v>
      </c>
      <c r="X335" t="s">
        <v>6523</v>
      </c>
      <c r="Y335" t="s">
        <v>6524</v>
      </c>
      <c r="Z335" t="s">
        <v>6525</v>
      </c>
      <c r="AA335" t="s">
        <v>74</v>
      </c>
      <c r="AB335" t="s">
        <v>74</v>
      </c>
      <c r="AC335" t="s">
        <v>6526</v>
      </c>
      <c r="AD335" t="s">
        <v>6527</v>
      </c>
      <c r="AE335" t="s">
        <v>6528</v>
      </c>
      <c r="AF335" t="s">
        <v>74</v>
      </c>
      <c r="AG335">
        <v>25</v>
      </c>
      <c r="AH335">
        <v>49</v>
      </c>
      <c r="AI335">
        <v>53</v>
      </c>
      <c r="AJ335">
        <v>1</v>
      </c>
      <c r="AK335">
        <v>31</v>
      </c>
      <c r="AL335" t="s">
        <v>237</v>
      </c>
      <c r="AM335" t="s">
        <v>238</v>
      </c>
      <c r="AN335" t="s">
        <v>239</v>
      </c>
      <c r="AO335" t="s">
        <v>555</v>
      </c>
      <c r="AP335" t="s">
        <v>575</v>
      </c>
      <c r="AQ335" t="s">
        <v>74</v>
      </c>
      <c r="AR335" t="s">
        <v>556</v>
      </c>
      <c r="AS335" t="s">
        <v>557</v>
      </c>
      <c r="AT335" t="s">
        <v>5642</v>
      </c>
      <c r="AU335">
        <v>2013</v>
      </c>
      <c r="AV335">
        <v>26</v>
      </c>
      <c r="AW335">
        <v>11</v>
      </c>
      <c r="AX335" t="s">
        <v>74</v>
      </c>
      <c r="AY335" t="s">
        <v>74</v>
      </c>
      <c r="AZ335" t="s">
        <v>74</v>
      </c>
      <c r="BA335" t="s">
        <v>74</v>
      </c>
      <c r="BB335">
        <v>3562</v>
      </c>
      <c r="BC335">
        <v>3574</v>
      </c>
      <c r="BD335" t="s">
        <v>74</v>
      </c>
      <c r="BE335" t="s">
        <v>6529</v>
      </c>
      <c r="BF335" t="str">
        <f>HYPERLINK("http://dx.doi.org/10.1175/JCLI-D-11-00508.1","http://dx.doi.org/10.1175/JCLI-D-11-00508.1")</f>
        <v>http://dx.doi.org/10.1175/JCLI-D-11-00508.1</v>
      </c>
      <c r="BG335" t="s">
        <v>74</v>
      </c>
      <c r="BH335" t="s">
        <v>74</v>
      </c>
      <c r="BI335">
        <v>13</v>
      </c>
      <c r="BJ335" t="s">
        <v>305</v>
      </c>
      <c r="BK335" t="s">
        <v>102</v>
      </c>
      <c r="BL335" t="s">
        <v>305</v>
      </c>
      <c r="BM335" t="s">
        <v>6530</v>
      </c>
      <c r="BN335" t="s">
        <v>74</v>
      </c>
      <c r="BO335" t="s">
        <v>248</v>
      </c>
      <c r="BP335" t="s">
        <v>74</v>
      </c>
      <c r="BQ335" t="s">
        <v>74</v>
      </c>
      <c r="BR335" t="s">
        <v>105</v>
      </c>
      <c r="BS335" t="s">
        <v>6531</v>
      </c>
      <c r="BT335" t="str">
        <f>HYPERLINK("https%3A%2F%2Fwww.webofscience.com%2Fwos%2Fwoscc%2Ffull-record%2FWOS:000319739300005","View Full Record in Web of Science")</f>
        <v>View Full Record in Web of Science</v>
      </c>
    </row>
    <row r="336" spans="1:72" x14ac:dyDescent="0.15">
      <c r="A336" t="s">
        <v>72</v>
      </c>
      <c r="B336" t="s">
        <v>6532</v>
      </c>
      <c r="C336" t="s">
        <v>74</v>
      </c>
      <c r="D336" t="s">
        <v>74</v>
      </c>
      <c r="E336" t="s">
        <v>74</v>
      </c>
      <c r="F336" t="s">
        <v>6533</v>
      </c>
      <c r="G336" t="s">
        <v>74</v>
      </c>
      <c r="H336" t="s">
        <v>74</v>
      </c>
      <c r="I336" t="s">
        <v>6534</v>
      </c>
      <c r="J336" t="s">
        <v>542</v>
      </c>
      <c r="K336" t="s">
        <v>74</v>
      </c>
      <c r="L336" t="s">
        <v>74</v>
      </c>
      <c r="M336" t="s">
        <v>78</v>
      </c>
      <c r="N336" t="s">
        <v>79</v>
      </c>
      <c r="O336" t="s">
        <v>74</v>
      </c>
      <c r="P336" t="s">
        <v>74</v>
      </c>
      <c r="Q336" t="s">
        <v>74</v>
      </c>
      <c r="R336" t="s">
        <v>74</v>
      </c>
      <c r="S336" t="s">
        <v>74</v>
      </c>
      <c r="T336" t="s">
        <v>74</v>
      </c>
      <c r="U336" t="s">
        <v>6535</v>
      </c>
      <c r="V336" t="s">
        <v>6536</v>
      </c>
      <c r="W336" t="s">
        <v>6537</v>
      </c>
      <c r="X336" t="s">
        <v>6538</v>
      </c>
      <c r="Y336" t="s">
        <v>6539</v>
      </c>
      <c r="Z336" t="s">
        <v>6540</v>
      </c>
      <c r="AA336" t="s">
        <v>6541</v>
      </c>
      <c r="AB336" t="s">
        <v>6542</v>
      </c>
      <c r="AC336" t="s">
        <v>6543</v>
      </c>
      <c r="AD336" t="s">
        <v>6543</v>
      </c>
      <c r="AE336" t="s">
        <v>6544</v>
      </c>
      <c r="AF336" t="s">
        <v>74</v>
      </c>
      <c r="AG336">
        <v>46</v>
      </c>
      <c r="AH336">
        <v>22</v>
      </c>
      <c r="AI336">
        <v>24</v>
      </c>
      <c r="AJ336">
        <v>0</v>
      </c>
      <c r="AK336">
        <v>24</v>
      </c>
      <c r="AL336" t="s">
        <v>237</v>
      </c>
      <c r="AM336" t="s">
        <v>238</v>
      </c>
      <c r="AN336" t="s">
        <v>239</v>
      </c>
      <c r="AO336" t="s">
        <v>555</v>
      </c>
      <c r="AP336" t="s">
        <v>575</v>
      </c>
      <c r="AQ336" t="s">
        <v>74</v>
      </c>
      <c r="AR336" t="s">
        <v>556</v>
      </c>
      <c r="AS336" t="s">
        <v>557</v>
      </c>
      <c r="AT336" t="s">
        <v>5642</v>
      </c>
      <c r="AU336">
        <v>2013</v>
      </c>
      <c r="AV336">
        <v>26</v>
      </c>
      <c r="AW336">
        <v>11</v>
      </c>
      <c r="AX336" t="s">
        <v>74</v>
      </c>
      <c r="AY336" t="s">
        <v>74</v>
      </c>
      <c r="AZ336" t="s">
        <v>74</v>
      </c>
      <c r="BA336" t="s">
        <v>74</v>
      </c>
      <c r="BB336">
        <v>3953</v>
      </c>
      <c r="BC336">
        <v>3967</v>
      </c>
      <c r="BD336" t="s">
        <v>74</v>
      </c>
      <c r="BE336" t="s">
        <v>6545</v>
      </c>
      <c r="BF336" t="str">
        <f>HYPERLINK("http://dx.doi.org/10.1175/JCLI-D-12-00348.1","http://dx.doi.org/10.1175/JCLI-D-12-00348.1")</f>
        <v>http://dx.doi.org/10.1175/JCLI-D-12-00348.1</v>
      </c>
      <c r="BG336" t="s">
        <v>74</v>
      </c>
      <c r="BH336" t="s">
        <v>74</v>
      </c>
      <c r="BI336">
        <v>15</v>
      </c>
      <c r="BJ336" t="s">
        <v>305</v>
      </c>
      <c r="BK336" t="s">
        <v>102</v>
      </c>
      <c r="BL336" t="s">
        <v>305</v>
      </c>
      <c r="BM336" t="s">
        <v>6530</v>
      </c>
      <c r="BN336" t="s">
        <v>74</v>
      </c>
      <c r="BO336" t="s">
        <v>6546</v>
      </c>
      <c r="BP336" t="s">
        <v>74</v>
      </c>
      <c r="BQ336" t="s">
        <v>74</v>
      </c>
      <c r="BR336" t="s">
        <v>105</v>
      </c>
      <c r="BS336" t="s">
        <v>6547</v>
      </c>
      <c r="BT336" t="str">
        <f>HYPERLINK("https%3A%2F%2Fwww.webofscience.com%2Fwos%2Fwoscc%2Ffull-record%2FWOS:000319739300028","View Full Record in Web of Science")</f>
        <v>View Full Record in Web of Science</v>
      </c>
    </row>
    <row r="337" spans="1:72" x14ac:dyDescent="0.15">
      <c r="A337" t="s">
        <v>72</v>
      </c>
      <c r="B337" t="s">
        <v>6548</v>
      </c>
      <c r="C337" t="s">
        <v>74</v>
      </c>
      <c r="D337" t="s">
        <v>74</v>
      </c>
      <c r="E337" t="s">
        <v>74</v>
      </c>
      <c r="F337" t="s">
        <v>6549</v>
      </c>
      <c r="G337" t="s">
        <v>74</v>
      </c>
      <c r="H337" t="s">
        <v>74</v>
      </c>
      <c r="I337" t="s">
        <v>6550</v>
      </c>
      <c r="J337" t="s">
        <v>311</v>
      </c>
      <c r="K337" t="s">
        <v>74</v>
      </c>
      <c r="L337" t="s">
        <v>74</v>
      </c>
      <c r="M337" t="s">
        <v>78</v>
      </c>
      <c r="N337" t="s">
        <v>79</v>
      </c>
      <c r="O337" t="s">
        <v>74</v>
      </c>
      <c r="P337" t="s">
        <v>74</v>
      </c>
      <c r="Q337" t="s">
        <v>74</v>
      </c>
      <c r="R337" t="s">
        <v>74</v>
      </c>
      <c r="S337" t="s">
        <v>74</v>
      </c>
      <c r="T337" t="s">
        <v>74</v>
      </c>
      <c r="U337" t="s">
        <v>6551</v>
      </c>
      <c r="V337" t="s">
        <v>6552</v>
      </c>
      <c r="W337" t="s">
        <v>6553</v>
      </c>
      <c r="X337" t="s">
        <v>6554</v>
      </c>
      <c r="Y337" t="s">
        <v>6555</v>
      </c>
      <c r="Z337" t="s">
        <v>6556</v>
      </c>
      <c r="AA337" t="s">
        <v>6557</v>
      </c>
      <c r="AB337" t="s">
        <v>6558</v>
      </c>
      <c r="AC337" t="s">
        <v>6559</v>
      </c>
      <c r="AD337" t="s">
        <v>6560</v>
      </c>
      <c r="AE337" t="s">
        <v>6561</v>
      </c>
      <c r="AF337" t="s">
        <v>74</v>
      </c>
      <c r="AG337">
        <v>40</v>
      </c>
      <c r="AH337">
        <v>27</v>
      </c>
      <c r="AI337">
        <v>31</v>
      </c>
      <c r="AJ337">
        <v>1</v>
      </c>
      <c r="AK337">
        <v>23</v>
      </c>
      <c r="AL337" t="s">
        <v>237</v>
      </c>
      <c r="AM337" t="s">
        <v>238</v>
      </c>
      <c r="AN337" t="s">
        <v>239</v>
      </c>
      <c r="AO337" t="s">
        <v>322</v>
      </c>
      <c r="AP337" t="s">
        <v>323</v>
      </c>
      <c r="AQ337" t="s">
        <v>74</v>
      </c>
      <c r="AR337" t="s">
        <v>324</v>
      </c>
      <c r="AS337" t="s">
        <v>325</v>
      </c>
      <c r="AT337" t="s">
        <v>5642</v>
      </c>
      <c r="AU337">
        <v>2013</v>
      </c>
      <c r="AV337">
        <v>43</v>
      </c>
      <c r="AW337">
        <v>6</v>
      </c>
      <c r="AX337" t="s">
        <v>74</v>
      </c>
      <c r="AY337" t="s">
        <v>74</v>
      </c>
      <c r="AZ337" t="s">
        <v>74</v>
      </c>
      <c r="BA337" t="s">
        <v>74</v>
      </c>
      <c r="BB337">
        <v>1193</v>
      </c>
      <c r="BC337">
        <v>1208</v>
      </c>
      <c r="BD337" t="s">
        <v>74</v>
      </c>
      <c r="BE337" t="s">
        <v>6562</v>
      </c>
      <c r="BF337" t="str">
        <f>HYPERLINK("http://dx.doi.org/10.1175/JPO-D-12-069.1","http://dx.doi.org/10.1175/JPO-D-12-069.1")</f>
        <v>http://dx.doi.org/10.1175/JPO-D-12-069.1</v>
      </c>
      <c r="BG337" t="s">
        <v>74</v>
      </c>
      <c r="BH337" t="s">
        <v>74</v>
      </c>
      <c r="BI337">
        <v>16</v>
      </c>
      <c r="BJ337" t="s">
        <v>327</v>
      </c>
      <c r="BK337" t="s">
        <v>102</v>
      </c>
      <c r="BL337" t="s">
        <v>327</v>
      </c>
      <c r="BM337" t="s">
        <v>6563</v>
      </c>
      <c r="BN337" t="s">
        <v>74</v>
      </c>
      <c r="BO337" t="s">
        <v>2053</v>
      </c>
      <c r="BP337" t="s">
        <v>74</v>
      </c>
      <c r="BQ337" t="s">
        <v>74</v>
      </c>
      <c r="BR337" t="s">
        <v>105</v>
      </c>
      <c r="BS337" t="s">
        <v>6564</v>
      </c>
      <c r="BT337" t="str">
        <f>HYPERLINK("https%3A%2F%2Fwww.webofscience.com%2Fwos%2Fwoscc%2Ffull-record%2FWOS:000320162300007","View Full Record in Web of Science")</f>
        <v>View Full Record in Web of Science</v>
      </c>
    </row>
    <row r="338" spans="1:72" x14ac:dyDescent="0.15">
      <c r="A338" t="s">
        <v>72</v>
      </c>
      <c r="B338" t="s">
        <v>6565</v>
      </c>
      <c r="C338" t="s">
        <v>74</v>
      </c>
      <c r="D338" t="s">
        <v>74</v>
      </c>
      <c r="E338" t="s">
        <v>74</v>
      </c>
      <c r="F338" t="s">
        <v>6566</v>
      </c>
      <c r="G338" t="s">
        <v>74</v>
      </c>
      <c r="H338" t="s">
        <v>74</v>
      </c>
      <c r="I338" t="s">
        <v>6567</v>
      </c>
      <c r="J338" t="s">
        <v>6568</v>
      </c>
      <c r="K338" t="s">
        <v>74</v>
      </c>
      <c r="L338" t="s">
        <v>74</v>
      </c>
      <c r="M338" t="s">
        <v>78</v>
      </c>
      <c r="N338" t="s">
        <v>79</v>
      </c>
      <c r="O338" t="s">
        <v>74</v>
      </c>
      <c r="P338" t="s">
        <v>74</v>
      </c>
      <c r="Q338" t="s">
        <v>74</v>
      </c>
      <c r="R338" t="s">
        <v>74</v>
      </c>
      <c r="S338" t="s">
        <v>74</v>
      </c>
      <c r="T338" t="s">
        <v>6569</v>
      </c>
      <c r="U338" t="s">
        <v>6570</v>
      </c>
      <c r="V338" t="s">
        <v>6571</v>
      </c>
      <c r="W338" t="s">
        <v>6572</v>
      </c>
      <c r="X338" t="s">
        <v>839</v>
      </c>
      <c r="Y338" t="s">
        <v>6573</v>
      </c>
      <c r="Z338" t="s">
        <v>6574</v>
      </c>
      <c r="AA338" t="s">
        <v>6575</v>
      </c>
      <c r="AB338" t="s">
        <v>6576</v>
      </c>
      <c r="AC338" t="s">
        <v>6577</v>
      </c>
      <c r="AD338" t="s">
        <v>6577</v>
      </c>
      <c r="AE338" t="s">
        <v>6578</v>
      </c>
      <c r="AF338" t="s">
        <v>74</v>
      </c>
      <c r="AG338">
        <v>27</v>
      </c>
      <c r="AH338">
        <v>7</v>
      </c>
      <c r="AI338">
        <v>7</v>
      </c>
      <c r="AJ338">
        <v>0</v>
      </c>
      <c r="AK338">
        <v>21</v>
      </c>
      <c r="AL338" t="s">
        <v>1080</v>
      </c>
      <c r="AM338" t="s">
        <v>1081</v>
      </c>
      <c r="AN338" t="s">
        <v>6579</v>
      </c>
      <c r="AO338" t="s">
        <v>6580</v>
      </c>
      <c r="AP338" t="s">
        <v>74</v>
      </c>
      <c r="AQ338" t="s">
        <v>74</v>
      </c>
      <c r="AR338" t="s">
        <v>6581</v>
      </c>
      <c r="AS338" t="s">
        <v>6582</v>
      </c>
      <c r="AT338" t="s">
        <v>5999</v>
      </c>
      <c r="AU338">
        <v>2013</v>
      </c>
      <c r="AV338">
        <v>47</v>
      </c>
      <c r="AW338">
        <v>2</v>
      </c>
      <c r="AX338" t="s">
        <v>74</v>
      </c>
      <c r="AY338" t="s">
        <v>74</v>
      </c>
      <c r="AZ338" t="s">
        <v>74</v>
      </c>
      <c r="BA338" t="s">
        <v>74</v>
      </c>
      <c r="BB338">
        <v>125</v>
      </c>
      <c r="BC338">
        <v>138</v>
      </c>
      <c r="BD338" t="s">
        <v>74</v>
      </c>
      <c r="BE338" t="s">
        <v>6583</v>
      </c>
      <c r="BF338" t="str">
        <f>HYPERLINK("http://dx.doi.org/10.1080/00288330.2012.752755","http://dx.doi.org/10.1080/00288330.2012.752755")</f>
        <v>http://dx.doi.org/10.1080/00288330.2012.752755</v>
      </c>
      <c r="BG338" t="s">
        <v>74</v>
      </c>
      <c r="BH338" t="s">
        <v>74</v>
      </c>
      <c r="BI338">
        <v>14</v>
      </c>
      <c r="BJ338" t="s">
        <v>3572</v>
      </c>
      <c r="BK338" t="s">
        <v>102</v>
      </c>
      <c r="BL338" t="s">
        <v>3572</v>
      </c>
      <c r="BM338" t="s">
        <v>6584</v>
      </c>
      <c r="BN338" t="s">
        <v>74</v>
      </c>
      <c r="BO338" t="s">
        <v>104</v>
      </c>
      <c r="BP338" t="s">
        <v>74</v>
      </c>
      <c r="BQ338" t="s">
        <v>74</v>
      </c>
      <c r="BR338" t="s">
        <v>105</v>
      </c>
      <c r="BS338" t="s">
        <v>6585</v>
      </c>
      <c r="BT338" t="str">
        <f>HYPERLINK("https%3A%2F%2Fwww.webofscience.com%2Fwos%2Fwoscc%2Ffull-record%2FWOS:000320018000001","View Full Record in Web of Science")</f>
        <v>View Full Record in Web of Science</v>
      </c>
    </row>
    <row r="339" spans="1:72" x14ac:dyDescent="0.15">
      <c r="A339" t="s">
        <v>72</v>
      </c>
      <c r="B339" t="s">
        <v>6586</v>
      </c>
      <c r="C339" t="s">
        <v>74</v>
      </c>
      <c r="D339" t="s">
        <v>74</v>
      </c>
      <c r="E339" t="s">
        <v>74</v>
      </c>
      <c r="F339" t="s">
        <v>6587</v>
      </c>
      <c r="G339" t="s">
        <v>74</v>
      </c>
      <c r="H339" t="s">
        <v>74</v>
      </c>
      <c r="I339" t="s">
        <v>6588</v>
      </c>
      <c r="J339" t="s">
        <v>6589</v>
      </c>
      <c r="K339" t="s">
        <v>74</v>
      </c>
      <c r="L339" t="s">
        <v>74</v>
      </c>
      <c r="M339" t="s">
        <v>78</v>
      </c>
      <c r="N339" t="s">
        <v>79</v>
      </c>
      <c r="O339" t="s">
        <v>74</v>
      </c>
      <c r="P339" t="s">
        <v>74</v>
      </c>
      <c r="Q339" t="s">
        <v>74</v>
      </c>
      <c r="R339" t="s">
        <v>74</v>
      </c>
      <c r="S339" t="s">
        <v>74</v>
      </c>
      <c r="T339" t="s">
        <v>6590</v>
      </c>
      <c r="U339" t="s">
        <v>6591</v>
      </c>
      <c r="V339" t="s">
        <v>6592</v>
      </c>
      <c r="W339" t="s">
        <v>6593</v>
      </c>
      <c r="X339" t="s">
        <v>6594</v>
      </c>
      <c r="Y339" t="s">
        <v>6595</v>
      </c>
      <c r="Z339" t="s">
        <v>6596</v>
      </c>
      <c r="AA339" t="s">
        <v>6597</v>
      </c>
      <c r="AB339" t="s">
        <v>6598</v>
      </c>
      <c r="AC339" t="s">
        <v>6599</v>
      </c>
      <c r="AD339" t="s">
        <v>6600</v>
      </c>
      <c r="AE339" t="s">
        <v>6601</v>
      </c>
      <c r="AF339" t="s">
        <v>74</v>
      </c>
      <c r="AG339">
        <v>50</v>
      </c>
      <c r="AH339">
        <v>21</v>
      </c>
      <c r="AI339">
        <v>22</v>
      </c>
      <c r="AJ339">
        <v>0</v>
      </c>
      <c r="AK339">
        <v>15</v>
      </c>
      <c r="AL339" t="s">
        <v>3724</v>
      </c>
      <c r="AM339" t="s">
        <v>3725</v>
      </c>
      <c r="AN339" t="s">
        <v>3726</v>
      </c>
      <c r="AO339" t="s">
        <v>6602</v>
      </c>
      <c r="AP339" t="s">
        <v>6603</v>
      </c>
      <c r="AQ339" t="s">
        <v>74</v>
      </c>
      <c r="AR339" t="s">
        <v>6604</v>
      </c>
      <c r="AS339" t="s">
        <v>6605</v>
      </c>
      <c r="AT339" t="s">
        <v>5642</v>
      </c>
      <c r="AU339">
        <v>2013</v>
      </c>
      <c r="AV339">
        <v>13</v>
      </c>
      <c r="AW339">
        <v>2</v>
      </c>
      <c r="AX339" t="s">
        <v>74</v>
      </c>
      <c r="AY339" t="s">
        <v>74</v>
      </c>
      <c r="AZ339" t="s">
        <v>74</v>
      </c>
      <c r="BA339" t="s">
        <v>74</v>
      </c>
      <c r="BB339">
        <v>151</v>
      </c>
      <c r="BC339">
        <v>162</v>
      </c>
      <c r="BD339" t="s">
        <v>74</v>
      </c>
      <c r="BE339" t="s">
        <v>6606</v>
      </c>
      <c r="BF339" t="str">
        <f>HYPERLINK("http://dx.doi.org/10.1007/s13127-012-0120-4","http://dx.doi.org/10.1007/s13127-012-0120-4")</f>
        <v>http://dx.doi.org/10.1007/s13127-012-0120-4</v>
      </c>
      <c r="BG339" t="s">
        <v>74</v>
      </c>
      <c r="BH339" t="s">
        <v>74</v>
      </c>
      <c r="BI339">
        <v>12</v>
      </c>
      <c r="BJ339" t="s">
        <v>6607</v>
      </c>
      <c r="BK339" t="s">
        <v>102</v>
      </c>
      <c r="BL339" t="s">
        <v>6607</v>
      </c>
      <c r="BM339" t="s">
        <v>6608</v>
      </c>
      <c r="BN339" t="s">
        <v>74</v>
      </c>
      <c r="BO339" t="s">
        <v>74</v>
      </c>
      <c r="BP339" t="s">
        <v>74</v>
      </c>
      <c r="BQ339" t="s">
        <v>74</v>
      </c>
      <c r="BR339" t="s">
        <v>105</v>
      </c>
      <c r="BS339" t="s">
        <v>6609</v>
      </c>
      <c r="BT339" t="str">
        <f>HYPERLINK("https%3A%2F%2Fwww.webofscience.com%2Fwos%2Fwoscc%2Ffull-record%2FWOS:000319471100005","View Full Record in Web of Science")</f>
        <v>View Full Record in Web of Science</v>
      </c>
    </row>
    <row r="340" spans="1:72" x14ac:dyDescent="0.15">
      <c r="A340" t="s">
        <v>72</v>
      </c>
      <c r="B340" t="s">
        <v>6610</v>
      </c>
      <c r="C340" t="s">
        <v>74</v>
      </c>
      <c r="D340" t="s">
        <v>74</v>
      </c>
      <c r="E340" t="s">
        <v>74</v>
      </c>
      <c r="F340" t="s">
        <v>6611</v>
      </c>
      <c r="G340" t="s">
        <v>74</v>
      </c>
      <c r="H340" t="s">
        <v>74</v>
      </c>
      <c r="I340" t="s">
        <v>6612</v>
      </c>
      <c r="J340" t="s">
        <v>6613</v>
      </c>
      <c r="K340" t="s">
        <v>74</v>
      </c>
      <c r="L340" t="s">
        <v>74</v>
      </c>
      <c r="M340" t="s">
        <v>78</v>
      </c>
      <c r="N340" t="s">
        <v>79</v>
      </c>
      <c r="O340" t="s">
        <v>74</v>
      </c>
      <c r="P340" t="s">
        <v>74</v>
      </c>
      <c r="Q340" t="s">
        <v>74</v>
      </c>
      <c r="R340" t="s">
        <v>74</v>
      </c>
      <c r="S340" t="s">
        <v>74</v>
      </c>
      <c r="T340" t="s">
        <v>6614</v>
      </c>
      <c r="U340" t="s">
        <v>6615</v>
      </c>
      <c r="V340" t="s">
        <v>6616</v>
      </c>
      <c r="W340" t="s">
        <v>6617</v>
      </c>
      <c r="X340" t="s">
        <v>6618</v>
      </c>
      <c r="Y340" t="s">
        <v>6619</v>
      </c>
      <c r="Z340" t="s">
        <v>6620</v>
      </c>
      <c r="AA340" t="s">
        <v>6621</v>
      </c>
      <c r="AB340" t="s">
        <v>6622</v>
      </c>
      <c r="AC340" t="s">
        <v>6623</v>
      </c>
      <c r="AD340" t="s">
        <v>6624</v>
      </c>
      <c r="AE340" t="s">
        <v>6625</v>
      </c>
      <c r="AF340" t="s">
        <v>74</v>
      </c>
      <c r="AG340">
        <v>75</v>
      </c>
      <c r="AH340">
        <v>81</v>
      </c>
      <c r="AI340">
        <v>83</v>
      </c>
      <c r="AJ340">
        <v>4</v>
      </c>
      <c r="AK340">
        <v>136</v>
      </c>
      <c r="AL340" t="s">
        <v>195</v>
      </c>
      <c r="AM340" t="s">
        <v>155</v>
      </c>
      <c r="AN340" t="s">
        <v>196</v>
      </c>
      <c r="AO340" t="s">
        <v>6626</v>
      </c>
      <c r="AP340" t="s">
        <v>6627</v>
      </c>
      <c r="AQ340" t="s">
        <v>74</v>
      </c>
      <c r="AR340" t="s">
        <v>6628</v>
      </c>
      <c r="AS340" t="s">
        <v>6629</v>
      </c>
      <c r="AT340" t="s">
        <v>5999</v>
      </c>
      <c r="AU340">
        <v>2013</v>
      </c>
      <c r="AV340">
        <v>454</v>
      </c>
      <c r="AW340" t="s">
        <v>74</v>
      </c>
      <c r="AX340" t="s">
        <v>74</v>
      </c>
      <c r="AY340" t="s">
        <v>74</v>
      </c>
      <c r="AZ340" t="s">
        <v>74</v>
      </c>
      <c r="BA340" t="s">
        <v>74</v>
      </c>
      <c r="BB340">
        <v>141</v>
      </c>
      <c r="BC340">
        <v>148</v>
      </c>
      <c r="BD340" t="s">
        <v>74</v>
      </c>
      <c r="BE340" t="s">
        <v>6630</v>
      </c>
      <c r="BF340" t="str">
        <f>HYPERLINK("http://dx.doi.org/10.1016/j.scitotenv.2013.02.060","http://dx.doi.org/10.1016/j.scitotenv.2013.02.060")</f>
        <v>http://dx.doi.org/10.1016/j.scitotenv.2013.02.060</v>
      </c>
      <c r="BG340" t="s">
        <v>74</v>
      </c>
      <c r="BH340" t="s">
        <v>74</v>
      </c>
      <c r="BI340">
        <v>8</v>
      </c>
      <c r="BJ340" t="s">
        <v>512</v>
      </c>
      <c r="BK340" t="s">
        <v>102</v>
      </c>
      <c r="BL340" t="s">
        <v>262</v>
      </c>
      <c r="BM340" t="s">
        <v>6631</v>
      </c>
      <c r="BN340">
        <v>23542487</v>
      </c>
      <c r="BO340" t="s">
        <v>1014</v>
      </c>
      <c r="BP340" t="s">
        <v>74</v>
      </c>
      <c r="BQ340" t="s">
        <v>74</v>
      </c>
      <c r="BR340" t="s">
        <v>105</v>
      </c>
      <c r="BS340" t="s">
        <v>6632</v>
      </c>
      <c r="BT340" t="str">
        <f>HYPERLINK("https%3A%2F%2Fwww.webofscience.com%2Fwos%2Fwoscc%2Ffull-record%2FWOS:000319180000015","View Full Record in Web of Science")</f>
        <v>View Full Record in Web of Science</v>
      </c>
    </row>
    <row r="341" spans="1:72" x14ac:dyDescent="0.15">
      <c r="A341" t="s">
        <v>72</v>
      </c>
      <c r="B341" t="s">
        <v>6633</v>
      </c>
      <c r="C341" t="s">
        <v>74</v>
      </c>
      <c r="D341" t="s">
        <v>74</v>
      </c>
      <c r="E341" t="s">
        <v>74</v>
      </c>
      <c r="F341" t="s">
        <v>6634</v>
      </c>
      <c r="G341" t="s">
        <v>74</v>
      </c>
      <c r="H341" t="s">
        <v>74</v>
      </c>
      <c r="I341" t="s">
        <v>6635</v>
      </c>
      <c r="J341" t="s">
        <v>6636</v>
      </c>
      <c r="K341" t="s">
        <v>74</v>
      </c>
      <c r="L341" t="s">
        <v>74</v>
      </c>
      <c r="M341" t="s">
        <v>78</v>
      </c>
      <c r="N341" t="s">
        <v>79</v>
      </c>
      <c r="O341" t="s">
        <v>74</v>
      </c>
      <c r="P341" t="s">
        <v>74</v>
      </c>
      <c r="Q341" t="s">
        <v>74</v>
      </c>
      <c r="R341" t="s">
        <v>74</v>
      </c>
      <c r="S341" t="s">
        <v>74</v>
      </c>
      <c r="T341" t="s">
        <v>6637</v>
      </c>
      <c r="U341" t="s">
        <v>6638</v>
      </c>
      <c r="V341" t="s">
        <v>6639</v>
      </c>
      <c r="W341" t="s">
        <v>6640</v>
      </c>
      <c r="X341" t="s">
        <v>6641</v>
      </c>
      <c r="Y341" t="s">
        <v>6642</v>
      </c>
      <c r="Z341" t="s">
        <v>6643</v>
      </c>
      <c r="AA341" t="s">
        <v>74</v>
      </c>
      <c r="AB341" t="s">
        <v>6644</v>
      </c>
      <c r="AC341" t="s">
        <v>6645</v>
      </c>
      <c r="AD341" t="s">
        <v>6646</v>
      </c>
      <c r="AE341" t="s">
        <v>6647</v>
      </c>
      <c r="AF341" t="s">
        <v>74</v>
      </c>
      <c r="AG341">
        <v>33</v>
      </c>
      <c r="AH341">
        <v>21</v>
      </c>
      <c r="AI341">
        <v>23</v>
      </c>
      <c r="AJ341">
        <v>0</v>
      </c>
      <c r="AK341">
        <v>32</v>
      </c>
      <c r="AL341" t="s">
        <v>529</v>
      </c>
      <c r="AM341" t="s">
        <v>391</v>
      </c>
      <c r="AN341" t="s">
        <v>530</v>
      </c>
      <c r="AO341" t="s">
        <v>6648</v>
      </c>
      <c r="AP341" t="s">
        <v>6649</v>
      </c>
      <c r="AQ341" t="s">
        <v>74</v>
      </c>
      <c r="AR341" t="s">
        <v>6650</v>
      </c>
      <c r="AS341" t="s">
        <v>6651</v>
      </c>
      <c r="AT341" t="s">
        <v>5642</v>
      </c>
      <c r="AU341">
        <v>2013</v>
      </c>
      <c r="AV341">
        <v>97</v>
      </c>
      <c r="AW341">
        <v>12</v>
      </c>
      <c r="AX341" t="s">
        <v>74</v>
      </c>
      <c r="AY341" t="s">
        <v>74</v>
      </c>
      <c r="AZ341" t="s">
        <v>74</v>
      </c>
      <c r="BA341" t="s">
        <v>74</v>
      </c>
      <c r="BB341">
        <v>5303</v>
      </c>
      <c r="BC341">
        <v>5313</v>
      </c>
      <c r="BD341" t="s">
        <v>74</v>
      </c>
      <c r="BE341" t="s">
        <v>6652</v>
      </c>
      <c r="BF341" t="str">
        <f>HYPERLINK("http://dx.doi.org/10.1007/s00253-013-4864-3","http://dx.doi.org/10.1007/s00253-013-4864-3")</f>
        <v>http://dx.doi.org/10.1007/s00253-013-4864-3</v>
      </c>
      <c r="BG341" t="s">
        <v>74</v>
      </c>
      <c r="BH341" t="s">
        <v>74</v>
      </c>
      <c r="BI341">
        <v>11</v>
      </c>
      <c r="BJ341" t="s">
        <v>2583</v>
      </c>
      <c r="BK341" t="s">
        <v>102</v>
      </c>
      <c r="BL341" t="s">
        <v>2583</v>
      </c>
      <c r="BM341" t="s">
        <v>6653</v>
      </c>
      <c r="BN341">
        <v>23584243</v>
      </c>
      <c r="BO341" t="s">
        <v>74</v>
      </c>
      <c r="BP341" t="s">
        <v>74</v>
      </c>
      <c r="BQ341" t="s">
        <v>74</v>
      </c>
      <c r="BR341" t="s">
        <v>105</v>
      </c>
      <c r="BS341" t="s">
        <v>6654</v>
      </c>
      <c r="BT341" t="str">
        <f>HYPERLINK("https%3A%2F%2Fwww.webofscience.com%2Fwos%2Fwoscc%2Ffull-record%2FWOS:000319609400011","View Full Record in Web of Science")</f>
        <v>View Full Record in Web of Science</v>
      </c>
    </row>
    <row r="342" spans="1:72" x14ac:dyDescent="0.15">
      <c r="A342" t="s">
        <v>72</v>
      </c>
      <c r="B342" t="s">
        <v>6655</v>
      </c>
      <c r="C342" t="s">
        <v>74</v>
      </c>
      <c r="D342" t="s">
        <v>74</v>
      </c>
      <c r="E342" t="s">
        <v>74</v>
      </c>
      <c r="F342" t="s">
        <v>6656</v>
      </c>
      <c r="G342" t="s">
        <v>74</v>
      </c>
      <c r="H342" t="s">
        <v>74</v>
      </c>
      <c r="I342" t="s">
        <v>6657</v>
      </c>
      <c r="J342" t="s">
        <v>6658</v>
      </c>
      <c r="K342" t="s">
        <v>74</v>
      </c>
      <c r="L342" t="s">
        <v>74</v>
      </c>
      <c r="M342" t="s">
        <v>78</v>
      </c>
      <c r="N342" t="s">
        <v>79</v>
      </c>
      <c r="O342" t="s">
        <v>74</v>
      </c>
      <c r="P342" t="s">
        <v>74</v>
      </c>
      <c r="Q342" t="s">
        <v>74</v>
      </c>
      <c r="R342" t="s">
        <v>74</v>
      </c>
      <c r="S342" t="s">
        <v>74</v>
      </c>
      <c r="T342" t="s">
        <v>6659</v>
      </c>
      <c r="U342" t="s">
        <v>6660</v>
      </c>
      <c r="V342" t="s">
        <v>6661</v>
      </c>
      <c r="W342" t="s">
        <v>6662</v>
      </c>
      <c r="X342" t="s">
        <v>6663</v>
      </c>
      <c r="Y342" t="s">
        <v>6664</v>
      </c>
      <c r="Z342" t="s">
        <v>6665</v>
      </c>
      <c r="AA342" t="s">
        <v>6666</v>
      </c>
      <c r="AB342" t="s">
        <v>6667</v>
      </c>
      <c r="AC342" t="s">
        <v>6668</v>
      </c>
      <c r="AD342" t="s">
        <v>6669</v>
      </c>
      <c r="AE342" t="s">
        <v>6670</v>
      </c>
      <c r="AF342" t="s">
        <v>74</v>
      </c>
      <c r="AG342">
        <v>29</v>
      </c>
      <c r="AH342">
        <v>16</v>
      </c>
      <c r="AI342">
        <v>19</v>
      </c>
      <c r="AJ342">
        <v>3</v>
      </c>
      <c r="AK342">
        <v>58</v>
      </c>
      <c r="AL342" t="s">
        <v>154</v>
      </c>
      <c r="AM342" t="s">
        <v>155</v>
      </c>
      <c r="AN342" t="s">
        <v>156</v>
      </c>
      <c r="AO342" t="s">
        <v>6671</v>
      </c>
      <c r="AP342" t="s">
        <v>74</v>
      </c>
      <c r="AQ342" t="s">
        <v>74</v>
      </c>
      <c r="AR342" t="s">
        <v>6672</v>
      </c>
      <c r="AS342" t="s">
        <v>6673</v>
      </c>
      <c r="AT342" t="s">
        <v>5642</v>
      </c>
      <c r="AU342">
        <v>2013</v>
      </c>
      <c r="AV342">
        <v>1831</v>
      </c>
      <c r="AW342">
        <v>6</v>
      </c>
      <c r="AX342" t="s">
        <v>74</v>
      </c>
      <c r="AY342" t="s">
        <v>74</v>
      </c>
      <c r="AZ342" t="s">
        <v>74</v>
      </c>
      <c r="BA342" t="s">
        <v>74</v>
      </c>
      <c r="BB342">
        <v>1108</v>
      </c>
      <c r="BC342">
        <v>1112</v>
      </c>
      <c r="BD342" t="s">
        <v>74</v>
      </c>
      <c r="BE342" t="s">
        <v>6674</v>
      </c>
      <c r="BF342" t="str">
        <f>HYPERLINK("http://dx.doi.org/10.1016/j.bbalip.2013.02.004","http://dx.doi.org/10.1016/j.bbalip.2013.02.004")</f>
        <v>http://dx.doi.org/10.1016/j.bbalip.2013.02.004</v>
      </c>
      <c r="BG342" t="s">
        <v>74</v>
      </c>
      <c r="BH342" t="s">
        <v>74</v>
      </c>
      <c r="BI342">
        <v>5</v>
      </c>
      <c r="BJ342" t="s">
        <v>6675</v>
      </c>
      <c r="BK342" t="s">
        <v>102</v>
      </c>
      <c r="BL342" t="s">
        <v>6675</v>
      </c>
      <c r="BM342" t="s">
        <v>6676</v>
      </c>
      <c r="BN342">
        <v>23454375</v>
      </c>
      <c r="BO342" t="s">
        <v>1063</v>
      </c>
      <c r="BP342" t="s">
        <v>74</v>
      </c>
      <c r="BQ342" t="s">
        <v>74</v>
      </c>
      <c r="BR342" t="s">
        <v>105</v>
      </c>
      <c r="BS342" t="s">
        <v>6677</v>
      </c>
      <c r="BT342" t="str">
        <f>HYPERLINK("https%3A%2F%2Fwww.webofscience.com%2Fwos%2Fwoscc%2Ffull-record%2FWOS:000319309800011","View Full Record in Web of Science")</f>
        <v>View Full Record in Web of Science</v>
      </c>
    </row>
    <row r="343" spans="1:72" x14ac:dyDescent="0.15">
      <c r="A343" t="s">
        <v>72</v>
      </c>
      <c r="B343" t="s">
        <v>6678</v>
      </c>
      <c r="C343" t="s">
        <v>74</v>
      </c>
      <c r="D343" t="s">
        <v>74</v>
      </c>
      <c r="E343" t="s">
        <v>74</v>
      </c>
      <c r="F343" t="s">
        <v>6679</v>
      </c>
      <c r="G343" t="s">
        <v>74</v>
      </c>
      <c r="H343" t="s">
        <v>74</v>
      </c>
      <c r="I343" t="s">
        <v>6680</v>
      </c>
      <c r="J343" t="s">
        <v>6681</v>
      </c>
      <c r="K343" t="s">
        <v>74</v>
      </c>
      <c r="L343" t="s">
        <v>74</v>
      </c>
      <c r="M343" t="s">
        <v>78</v>
      </c>
      <c r="N343" t="s">
        <v>79</v>
      </c>
      <c r="O343" t="s">
        <v>74</v>
      </c>
      <c r="P343" t="s">
        <v>74</v>
      </c>
      <c r="Q343" t="s">
        <v>74</v>
      </c>
      <c r="R343" t="s">
        <v>74</v>
      </c>
      <c r="S343" t="s">
        <v>74</v>
      </c>
      <c r="T343" t="s">
        <v>74</v>
      </c>
      <c r="U343" t="s">
        <v>6682</v>
      </c>
      <c r="V343" t="s">
        <v>6683</v>
      </c>
      <c r="W343" t="s">
        <v>6684</v>
      </c>
      <c r="X343" t="s">
        <v>6685</v>
      </c>
      <c r="Y343" t="s">
        <v>6686</v>
      </c>
      <c r="Z343" t="s">
        <v>6687</v>
      </c>
      <c r="AA343" t="s">
        <v>74</v>
      </c>
      <c r="AB343" t="s">
        <v>6688</v>
      </c>
      <c r="AC343" t="s">
        <v>6689</v>
      </c>
      <c r="AD343" t="s">
        <v>6689</v>
      </c>
      <c r="AE343" t="s">
        <v>6690</v>
      </c>
      <c r="AF343" t="s">
        <v>74</v>
      </c>
      <c r="AG343">
        <v>52</v>
      </c>
      <c r="AH343">
        <v>34</v>
      </c>
      <c r="AI343">
        <v>36</v>
      </c>
      <c r="AJ343">
        <v>1</v>
      </c>
      <c r="AK343">
        <v>36</v>
      </c>
      <c r="AL343" t="s">
        <v>390</v>
      </c>
      <c r="AM343" t="s">
        <v>391</v>
      </c>
      <c r="AN343" t="s">
        <v>392</v>
      </c>
      <c r="AO343" t="s">
        <v>6691</v>
      </c>
      <c r="AP343" t="s">
        <v>6692</v>
      </c>
      <c r="AQ343" t="s">
        <v>74</v>
      </c>
      <c r="AR343" t="s">
        <v>6693</v>
      </c>
      <c r="AS343" t="s">
        <v>6694</v>
      </c>
      <c r="AT343" t="s">
        <v>5642</v>
      </c>
      <c r="AU343">
        <v>2013</v>
      </c>
      <c r="AV343">
        <v>23</v>
      </c>
      <c r="AW343">
        <v>2</v>
      </c>
      <c r="AX343" t="s">
        <v>74</v>
      </c>
      <c r="AY343" t="s">
        <v>74</v>
      </c>
      <c r="AZ343" t="s">
        <v>74</v>
      </c>
      <c r="BA343" t="s">
        <v>74</v>
      </c>
      <c r="BB343">
        <v>113</v>
      </c>
      <c r="BC343">
        <v>124</v>
      </c>
      <c r="BD343" t="s">
        <v>74</v>
      </c>
      <c r="BE343" t="s">
        <v>6695</v>
      </c>
      <c r="BF343" t="str">
        <f>HYPERLINK("http://dx.doi.org/10.1017/S0959270912000494","http://dx.doi.org/10.1017/S0959270912000494")</f>
        <v>http://dx.doi.org/10.1017/S0959270912000494</v>
      </c>
      <c r="BG343" t="s">
        <v>74</v>
      </c>
      <c r="BH343" t="s">
        <v>74</v>
      </c>
      <c r="BI343">
        <v>12</v>
      </c>
      <c r="BJ343" t="s">
        <v>6696</v>
      </c>
      <c r="BK343" t="s">
        <v>102</v>
      </c>
      <c r="BL343" t="s">
        <v>6697</v>
      </c>
      <c r="BM343" t="s">
        <v>6698</v>
      </c>
      <c r="BN343" t="s">
        <v>74</v>
      </c>
      <c r="BO343" t="s">
        <v>104</v>
      </c>
      <c r="BP343" t="s">
        <v>74</v>
      </c>
      <c r="BQ343" t="s">
        <v>74</v>
      </c>
      <c r="BR343" t="s">
        <v>105</v>
      </c>
      <c r="BS343" t="s">
        <v>6699</v>
      </c>
      <c r="BT343" t="str">
        <f>HYPERLINK("https%3A%2F%2Fwww.webofscience.com%2Fwos%2Fwoscc%2Ffull-record%2FWOS:000319126200002","View Full Record in Web of Science")</f>
        <v>View Full Record in Web of Science</v>
      </c>
    </row>
    <row r="344" spans="1:72" x14ac:dyDescent="0.15">
      <c r="A344" t="s">
        <v>72</v>
      </c>
      <c r="B344" t="s">
        <v>6700</v>
      </c>
      <c r="C344" t="s">
        <v>74</v>
      </c>
      <c r="D344" t="s">
        <v>74</v>
      </c>
      <c r="E344" t="s">
        <v>74</v>
      </c>
      <c r="F344" t="s">
        <v>6701</v>
      </c>
      <c r="G344" t="s">
        <v>74</v>
      </c>
      <c r="H344" t="s">
        <v>74</v>
      </c>
      <c r="I344" t="s">
        <v>6702</v>
      </c>
      <c r="J344" t="s">
        <v>1207</v>
      </c>
      <c r="K344" t="s">
        <v>74</v>
      </c>
      <c r="L344" t="s">
        <v>74</v>
      </c>
      <c r="M344" t="s">
        <v>78</v>
      </c>
      <c r="N344" t="s">
        <v>79</v>
      </c>
      <c r="O344" t="s">
        <v>74</v>
      </c>
      <c r="P344" t="s">
        <v>74</v>
      </c>
      <c r="Q344" t="s">
        <v>74</v>
      </c>
      <c r="R344" t="s">
        <v>74</v>
      </c>
      <c r="S344" t="s">
        <v>74</v>
      </c>
      <c r="T344" t="s">
        <v>6703</v>
      </c>
      <c r="U344" t="s">
        <v>6704</v>
      </c>
      <c r="V344" t="s">
        <v>6705</v>
      </c>
      <c r="W344" t="s">
        <v>6706</v>
      </c>
      <c r="X344" t="s">
        <v>6707</v>
      </c>
      <c r="Y344" t="s">
        <v>6708</v>
      </c>
      <c r="Z344" t="s">
        <v>6709</v>
      </c>
      <c r="AA344" t="s">
        <v>6710</v>
      </c>
      <c r="AB344" t="s">
        <v>6711</v>
      </c>
      <c r="AC344" t="s">
        <v>74</v>
      </c>
      <c r="AD344" t="s">
        <v>74</v>
      </c>
      <c r="AE344" t="s">
        <v>74</v>
      </c>
      <c r="AF344" t="s">
        <v>74</v>
      </c>
      <c r="AG344">
        <v>86</v>
      </c>
      <c r="AH344">
        <v>6</v>
      </c>
      <c r="AI344">
        <v>6</v>
      </c>
      <c r="AJ344">
        <v>0</v>
      </c>
      <c r="AK344">
        <v>28</v>
      </c>
      <c r="AL344" t="s">
        <v>529</v>
      </c>
      <c r="AM344" t="s">
        <v>391</v>
      </c>
      <c r="AN344" t="s">
        <v>530</v>
      </c>
      <c r="AO344" t="s">
        <v>1221</v>
      </c>
      <c r="AP344" t="s">
        <v>1222</v>
      </c>
      <c r="AQ344" t="s">
        <v>74</v>
      </c>
      <c r="AR344" t="s">
        <v>1223</v>
      </c>
      <c r="AS344" t="s">
        <v>1224</v>
      </c>
      <c r="AT344" t="s">
        <v>5642</v>
      </c>
      <c r="AU344">
        <v>2013</v>
      </c>
      <c r="AV344">
        <v>40</v>
      </c>
      <c r="AW344" t="s">
        <v>6712</v>
      </c>
      <c r="AX344" t="s">
        <v>74</v>
      </c>
      <c r="AY344" t="s">
        <v>74</v>
      </c>
      <c r="AZ344" t="s">
        <v>74</v>
      </c>
      <c r="BA344" t="s">
        <v>74</v>
      </c>
      <c r="BB344">
        <v>2617</v>
      </c>
      <c r="BC344">
        <v>2636</v>
      </c>
      <c r="BD344" t="s">
        <v>74</v>
      </c>
      <c r="BE344" t="s">
        <v>6713</v>
      </c>
      <c r="BF344" t="str">
        <f>HYPERLINK("http://dx.doi.org/10.1007/s00382-012-1464-3","http://dx.doi.org/10.1007/s00382-012-1464-3")</f>
        <v>http://dx.doi.org/10.1007/s00382-012-1464-3</v>
      </c>
      <c r="BG344" t="s">
        <v>74</v>
      </c>
      <c r="BH344" t="s">
        <v>74</v>
      </c>
      <c r="BI344">
        <v>20</v>
      </c>
      <c r="BJ344" t="s">
        <v>305</v>
      </c>
      <c r="BK344" t="s">
        <v>102</v>
      </c>
      <c r="BL344" t="s">
        <v>305</v>
      </c>
      <c r="BM344" t="s">
        <v>6714</v>
      </c>
      <c r="BN344" t="s">
        <v>74</v>
      </c>
      <c r="BO344" t="s">
        <v>6715</v>
      </c>
      <c r="BP344" t="s">
        <v>74</v>
      </c>
      <c r="BQ344" t="s">
        <v>74</v>
      </c>
      <c r="BR344" t="s">
        <v>105</v>
      </c>
      <c r="BS344" t="s">
        <v>6716</v>
      </c>
      <c r="BT344" t="str">
        <f>HYPERLINK("https%3A%2F%2Fwww.webofscience.com%2Fwos%2Fwoscc%2Ffull-record%2FWOS:000319360800004","View Full Record in Web of Science")</f>
        <v>View Full Record in Web of Science</v>
      </c>
    </row>
    <row r="345" spans="1:72" x14ac:dyDescent="0.15">
      <c r="A345" t="s">
        <v>72</v>
      </c>
      <c r="B345" t="s">
        <v>6717</v>
      </c>
      <c r="C345" t="s">
        <v>74</v>
      </c>
      <c r="D345" t="s">
        <v>74</v>
      </c>
      <c r="E345" t="s">
        <v>74</v>
      </c>
      <c r="F345" t="s">
        <v>6718</v>
      </c>
      <c r="G345" t="s">
        <v>74</v>
      </c>
      <c r="H345" t="s">
        <v>74</v>
      </c>
      <c r="I345" t="s">
        <v>6719</v>
      </c>
      <c r="J345" t="s">
        <v>6720</v>
      </c>
      <c r="K345" t="s">
        <v>74</v>
      </c>
      <c r="L345" t="s">
        <v>74</v>
      </c>
      <c r="M345" t="s">
        <v>78</v>
      </c>
      <c r="N345" t="s">
        <v>79</v>
      </c>
      <c r="O345" t="s">
        <v>74</v>
      </c>
      <c r="P345" t="s">
        <v>74</v>
      </c>
      <c r="Q345" t="s">
        <v>74</v>
      </c>
      <c r="R345" t="s">
        <v>74</v>
      </c>
      <c r="S345" t="s">
        <v>74</v>
      </c>
      <c r="T345" t="s">
        <v>6721</v>
      </c>
      <c r="U345" t="s">
        <v>6722</v>
      </c>
      <c r="V345" t="s">
        <v>6723</v>
      </c>
      <c r="W345" t="s">
        <v>6724</v>
      </c>
      <c r="X345" t="s">
        <v>6725</v>
      </c>
      <c r="Y345" t="s">
        <v>6726</v>
      </c>
      <c r="Z345" t="s">
        <v>6727</v>
      </c>
      <c r="AA345" t="s">
        <v>6728</v>
      </c>
      <c r="AB345" t="s">
        <v>6729</v>
      </c>
      <c r="AC345" t="s">
        <v>6730</v>
      </c>
      <c r="AD345" t="s">
        <v>6730</v>
      </c>
      <c r="AE345" t="s">
        <v>6731</v>
      </c>
      <c r="AF345" t="s">
        <v>74</v>
      </c>
      <c r="AG345">
        <v>57</v>
      </c>
      <c r="AH345">
        <v>20</v>
      </c>
      <c r="AI345">
        <v>23</v>
      </c>
      <c r="AJ345">
        <v>3</v>
      </c>
      <c r="AK345">
        <v>45</v>
      </c>
      <c r="AL345" t="s">
        <v>1244</v>
      </c>
      <c r="AM345" t="s">
        <v>391</v>
      </c>
      <c r="AN345" t="s">
        <v>1245</v>
      </c>
      <c r="AO345" t="s">
        <v>6732</v>
      </c>
      <c r="AP345" t="s">
        <v>6733</v>
      </c>
      <c r="AQ345" t="s">
        <v>74</v>
      </c>
      <c r="AR345" t="s">
        <v>6734</v>
      </c>
      <c r="AS345" t="s">
        <v>6735</v>
      </c>
      <c r="AT345" t="s">
        <v>5642</v>
      </c>
      <c r="AU345">
        <v>2013</v>
      </c>
      <c r="AV345">
        <v>165</v>
      </c>
      <c r="AW345">
        <v>2</v>
      </c>
      <c r="AX345" t="s">
        <v>74</v>
      </c>
      <c r="AY345" t="s">
        <v>74</v>
      </c>
      <c r="AZ345" t="s">
        <v>74</v>
      </c>
      <c r="BA345" t="s">
        <v>74</v>
      </c>
      <c r="BB345">
        <v>243</v>
      </c>
      <c r="BC345">
        <v>253</v>
      </c>
      <c r="BD345" t="s">
        <v>74</v>
      </c>
      <c r="BE345" t="s">
        <v>6736</v>
      </c>
      <c r="BF345" t="str">
        <f>HYPERLINK("http://dx.doi.org/10.1016/j.cbpa.2013.03.019","http://dx.doi.org/10.1016/j.cbpa.2013.03.019")</f>
        <v>http://dx.doi.org/10.1016/j.cbpa.2013.03.019</v>
      </c>
      <c r="BG345" t="s">
        <v>74</v>
      </c>
      <c r="BH345" t="s">
        <v>74</v>
      </c>
      <c r="BI345">
        <v>11</v>
      </c>
      <c r="BJ345" t="s">
        <v>6737</v>
      </c>
      <c r="BK345" t="s">
        <v>102</v>
      </c>
      <c r="BL345" t="s">
        <v>6737</v>
      </c>
      <c r="BM345" t="s">
        <v>6738</v>
      </c>
      <c r="BN345">
        <v>23524056</v>
      </c>
      <c r="BO345" t="s">
        <v>74</v>
      </c>
      <c r="BP345" t="s">
        <v>74</v>
      </c>
      <c r="BQ345" t="s">
        <v>74</v>
      </c>
      <c r="BR345" t="s">
        <v>105</v>
      </c>
      <c r="BS345" t="s">
        <v>6739</v>
      </c>
      <c r="BT345" t="str">
        <f>HYPERLINK("https%3A%2F%2Fwww.webofscience.com%2Fwos%2Fwoscc%2Ffull-record%2FWOS:000319233300017","View Full Record in Web of Science")</f>
        <v>View Full Record in Web of Science</v>
      </c>
    </row>
    <row r="346" spans="1:72" x14ac:dyDescent="0.15">
      <c r="A346" t="s">
        <v>72</v>
      </c>
      <c r="B346" t="s">
        <v>6740</v>
      </c>
      <c r="C346" t="s">
        <v>74</v>
      </c>
      <c r="D346" t="s">
        <v>74</v>
      </c>
      <c r="E346" t="s">
        <v>74</v>
      </c>
      <c r="F346" t="s">
        <v>6741</v>
      </c>
      <c r="G346" t="s">
        <v>74</v>
      </c>
      <c r="H346" t="s">
        <v>74</v>
      </c>
      <c r="I346" t="s">
        <v>6742</v>
      </c>
      <c r="J346" t="s">
        <v>1528</v>
      </c>
      <c r="K346" t="s">
        <v>74</v>
      </c>
      <c r="L346" t="s">
        <v>74</v>
      </c>
      <c r="M346" t="s">
        <v>78</v>
      </c>
      <c r="N346" t="s">
        <v>52</v>
      </c>
      <c r="O346" t="s">
        <v>74</v>
      </c>
      <c r="P346" t="s">
        <v>74</v>
      </c>
      <c r="Q346" t="s">
        <v>74</v>
      </c>
      <c r="R346" t="s">
        <v>74</v>
      </c>
      <c r="S346" t="s">
        <v>74</v>
      </c>
      <c r="T346" t="s">
        <v>74</v>
      </c>
      <c r="U346" t="s">
        <v>74</v>
      </c>
      <c r="V346" t="s">
        <v>74</v>
      </c>
      <c r="W346" t="s">
        <v>6743</v>
      </c>
      <c r="X346" t="s">
        <v>6744</v>
      </c>
      <c r="Y346" t="s">
        <v>74</v>
      </c>
      <c r="Z346" t="s">
        <v>6745</v>
      </c>
      <c r="AA346" t="s">
        <v>6746</v>
      </c>
      <c r="AB346" t="s">
        <v>74</v>
      </c>
      <c r="AC346" t="s">
        <v>74</v>
      </c>
      <c r="AD346" t="s">
        <v>74</v>
      </c>
      <c r="AE346" t="s">
        <v>74</v>
      </c>
      <c r="AF346" t="s">
        <v>74</v>
      </c>
      <c r="AG346">
        <v>0</v>
      </c>
      <c r="AH346">
        <v>0</v>
      </c>
      <c r="AI346">
        <v>0</v>
      </c>
      <c r="AJ346">
        <v>0</v>
      </c>
      <c r="AK346">
        <v>3</v>
      </c>
      <c r="AL346" t="s">
        <v>906</v>
      </c>
      <c r="AM346" t="s">
        <v>643</v>
      </c>
      <c r="AN346" t="s">
        <v>907</v>
      </c>
      <c r="AO346" t="s">
        <v>1538</v>
      </c>
      <c r="AP346" t="s">
        <v>74</v>
      </c>
      <c r="AQ346" t="s">
        <v>74</v>
      </c>
      <c r="AR346" t="s">
        <v>1539</v>
      </c>
      <c r="AS346" t="s">
        <v>1540</v>
      </c>
      <c r="AT346" t="s">
        <v>5642</v>
      </c>
      <c r="AU346">
        <v>2013</v>
      </c>
      <c r="AV346">
        <v>34</v>
      </c>
      <c r="AW346">
        <v>6</v>
      </c>
      <c r="AX346" t="s">
        <v>74</v>
      </c>
      <c r="AY346" t="s">
        <v>74</v>
      </c>
      <c r="AZ346" t="s">
        <v>74</v>
      </c>
      <c r="BA346" t="s">
        <v>74</v>
      </c>
      <c r="BB346">
        <v>1648</v>
      </c>
      <c r="BC346">
        <v>1649</v>
      </c>
      <c r="BD346" t="s">
        <v>74</v>
      </c>
      <c r="BE346" t="s">
        <v>6747</v>
      </c>
      <c r="BF346" t="str">
        <f>HYPERLINK("http://dx.doi.org/10.1016/j.fsi.2013.03.045","http://dx.doi.org/10.1016/j.fsi.2013.03.045")</f>
        <v>http://dx.doi.org/10.1016/j.fsi.2013.03.045</v>
      </c>
      <c r="BG346" t="s">
        <v>74</v>
      </c>
      <c r="BH346" t="s">
        <v>74</v>
      </c>
      <c r="BI346">
        <v>2</v>
      </c>
      <c r="BJ346" t="s">
        <v>1542</v>
      </c>
      <c r="BK346" t="s">
        <v>102</v>
      </c>
      <c r="BL346" t="s">
        <v>1542</v>
      </c>
      <c r="BM346" t="s">
        <v>6748</v>
      </c>
      <c r="BN346" t="s">
        <v>74</v>
      </c>
      <c r="BO346" t="s">
        <v>74</v>
      </c>
      <c r="BP346" t="s">
        <v>74</v>
      </c>
      <c r="BQ346" t="s">
        <v>74</v>
      </c>
      <c r="BR346" t="s">
        <v>105</v>
      </c>
      <c r="BS346" t="s">
        <v>6749</v>
      </c>
      <c r="BT346" t="str">
        <f>HYPERLINK("https%3A%2F%2Fwww.webofscience.com%2Fwos%2Fwoscc%2Ffull-record%2FWOS:000319646100069","View Full Record in Web of Science")</f>
        <v>View Full Record in Web of Science</v>
      </c>
    </row>
    <row r="347" spans="1:72" x14ac:dyDescent="0.15">
      <c r="A347" t="s">
        <v>72</v>
      </c>
      <c r="B347" t="s">
        <v>6750</v>
      </c>
      <c r="C347" t="s">
        <v>74</v>
      </c>
      <c r="D347" t="s">
        <v>74</v>
      </c>
      <c r="E347" t="s">
        <v>74</v>
      </c>
      <c r="F347" t="s">
        <v>6751</v>
      </c>
      <c r="G347" t="s">
        <v>74</v>
      </c>
      <c r="H347" t="s">
        <v>74</v>
      </c>
      <c r="I347" t="s">
        <v>6752</v>
      </c>
      <c r="J347" t="s">
        <v>1528</v>
      </c>
      <c r="K347" t="s">
        <v>74</v>
      </c>
      <c r="L347" t="s">
        <v>74</v>
      </c>
      <c r="M347" t="s">
        <v>78</v>
      </c>
      <c r="N347" t="s">
        <v>52</v>
      </c>
      <c r="O347" t="s">
        <v>74</v>
      </c>
      <c r="P347" t="s">
        <v>74</v>
      </c>
      <c r="Q347" t="s">
        <v>74</v>
      </c>
      <c r="R347" t="s">
        <v>74</v>
      </c>
      <c r="S347" t="s">
        <v>74</v>
      </c>
      <c r="T347" t="s">
        <v>74</v>
      </c>
      <c r="U347" t="s">
        <v>74</v>
      </c>
      <c r="V347" t="s">
        <v>74</v>
      </c>
      <c r="W347" t="s">
        <v>6753</v>
      </c>
      <c r="X347" t="s">
        <v>6754</v>
      </c>
      <c r="Y347" t="s">
        <v>74</v>
      </c>
      <c r="Z347" t="s">
        <v>6745</v>
      </c>
      <c r="AA347" t="s">
        <v>6755</v>
      </c>
      <c r="AB347" t="s">
        <v>6756</v>
      </c>
      <c r="AC347" t="s">
        <v>74</v>
      </c>
      <c r="AD347" t="s">
        <v>74</v>
      </c>
      <c r="AE347" t="s">
        <v>74</v>
      </c>
      <c r="AF347" t="s">
        <v>74</v>
      </c>
      <c r="AG347">
        <v>0</v>
      </c>
      <c r="AH347">
        <v>0</v>
      </c>
      <c r="AI347">
        <v>0</v>
      </c>
      <c r="AJ347">
        <v>0</v>
      </c>
      <c r="AK347">
        <v>2</v>
      </c>
      <c r="AL347" t="s">
        <v>906</v>
      </c>
      <c r="AM347" t="s">
        <v>643</v>
      </c>
      <c r="AN347" t="s">
        <v>907</v>
      </c>
      <c r="AO347" t="s">
        <v>1538</v>
      </c>
      <c r="AP347" t="s">
        <v>74</v>
      </c>
      <c r="AQ347" t="s">
        <v>74</v>
      </c>
      <c r="AR347" t="s">
        <v>1539</v>
      </c>
      <c r="AS347" t="s">
        <v>1540</v>
      </c>
      <c r="AT347" t="s">
        <v>5642</v>
      </c>
      <c r="AU347">
        <v>2013</v>
      </c>
      <c r="AV347">
        <v>34</v>
      </c>
      <c r="AW347">
        <v>6</v>
      </c>
      <c r="AX347" t="s">
        <v>74</v>
      </c>
      <c r="AY347" t="s">
        <v>74</v>
      </c>
      <c r="AZ347" t="s">
        <v>74</v>
      </c>
      <c r="BA347" t="s">
        <v>74</v>
      </c>
      <c r="BB347">
        <v>1702</v>
      </c>
      <c r="BC347">
        <v>1702</v>
      </c>
      <c r="BD347" t="s">
        <v>74</v>
      </c>
      <c r="BE347" t="s">
        <v>6757</v>
      </c>
      <c r="BF347" t="str">
        <f>HYPERLINK("http://dx.doi.org/10.1016/j.fsi.2013.03.199","http://dx.doi.org/10.1016/j.fsi.2013.03.199")</f>
        <v>http://dx.doi.org/10.1016/j.fsi.2013.03.199</v>
      </c>
      <c r="BG347" t="s">
        <v>74</v>
      </c>
      <c r="BH347" t="s">
        <v>74</v>
      </c>
      <c r="BI347">
        <v>1</v>
      </c>
      <c r="BJ347" t="s">
        <v>1542</v>
      </c>
      <c r="BK347" t="s">
        <v>102</v>
      </c>
      <c r="BL347" t="s">
        <v>1542</v>
      </c>
      <c r="BM347" t="s">
        <v>6748</v>
      </c>
      <c r="BN347" t="s">
        <v>74</v>
      </c>
      <c r="BO347" t="s">
        <v>74</v>
      </c>
      <c r="BP347" t="s">
        <v>74</v>
      </c>
      <c r="BQ347" t="s">
        <v>74</v>
      </c>
      <c r="BR347" t="s">
        <v>105</v>
      </c>
      <c r="BS347" t="s">
        <v>6758</v>
      </c>
      <c r="BT347" t="str">
        <f>HYPERLINK("https%3A%2F%2Fwww.webofscience.com%2Fwos%2Fwoscc%2Ffull-record%2FWOS:000319646100222","View Full Record in Web of Science")</f>
        <v>View Full Record in Web of Science</v>
      </c>
    </row>
    <row r="348" spans="1:72" x14ac:dyDescent="0.15">
      <c r="A348" t="s">
        <v>72</v>
      </c>
      <c r="B348" t="s">
        <v>6759</v>
      </c>
      <c r="C348" t="s">
        <v>74</v>
      </c>
      <c r="D348" t="s">
        <v>74</v>
      </c>
      <c r="E348" t="s">
        <v>74</v>
      </c>
      <c r="F348" t="s">
        <v>6760</v>
      </c>
      <c r="G348" t="s">
        <v>74</v>
      </c>
      <c r="H348" t="s">
        <v>74</v>
      </c>
      <c r="I348" t="s">
        <v>6761</v>
      </c>
      <c r="J348" t="s">
        <v>6762</v>
      </c>
      <c r="K348" t="s">
        <v>74</v>
      </c>
      <c r="L348" t="s">
        <v>74</v>
      </c>
      <c r="M348" t="s">
        <v>78</v>
      </c>
      <c r="N348" t="s">
        <v>79</v>
      </c>
      <c r="O348" t="s">
        <v>74</v>
      </c>
      <c r="P348" t="s">
        <v>74</v>
      </c>
      <c r="Q348" t="s">
        <v>74</v>
      </c>
      <c r="R348" t="s">
        <v>74</v>
      </c>
      <c r="S348" t="s">
        <v>74</v>
      </c>
      <c r="T348" t="s">
        <v>6763</v>
      </c>
      <c r="U348" t="s">
        <v>6764</v>
      </c>
      <c r="V348" t="s">
        <v>6765</v>
      </c>
      <c r="W348" t="s">
        <v>6766</v>
      </c>
      <c r="X348" t="s">
        <v>6767</v>
      </c>
      <c r="Y348" t="s">
        <v>6768</v>
      </c>
      <c r="Z348" t="s">
        <v>6769</v>
      </c>
      <c r="AA348" t="s">
        <v>6770</v>
      </c>
      <c r="AB348" t="s">
        <v>6771</v>
      </c>
      <c r="AC348" t="s">
        <v>6772</v>
      </c>
      <c r="AD348" t="s">
        <v>6773</v>
      </c>
      <c r="AE348" t="s">
        <v>6774</v>
      </c>
      <c r="AF348" t="s">
        <v>74</v>
      </c>
      <c r="AG348">
        <v>31</v>
      </c>
      <c r="AH348">
        <v>4</v>
      </c>
      <c r="AI348">
        <v>6</v>
      </c>
      <c r="AJ348">
        <v>0</v>
      </c>
      <c r="AK348">
        <v>4</v>
      </c>
      <c r="AL348" t="s">
        <v>529</v>
      </c>
      <c r="AM348" t="s">
        <v>391</v>
      </c>
      <c r="AN348" t="s">
        <v>530</v>
      </c>
      <c r="AO348" t="s">
        <v>6775</v>
      </c>
      <c r="AP348" t="s">
        <v>74</v>
      </c>
      <c r="AQ348" t="s">
        <v>74</v>
      </c>
      <c r="AR348" t="s">
        <v>6776</v>
      </c>
      <c r="AS348" t="s">
        <v>6777</v>
      </c>
      <c r="AT348" t="s">
        <v>5642</v>
      </c>
      <c r="AU348">
        <v>2013</v>
      </c>
      <c r="AV348">
        <v>67</v>
      </c>
      <c r="AW348">
        <v>2</v>
      </c>
      <c r="AX348" t="s">
        <v>74</v>
      </c>
      <c r="AY348" t="s">
        <v>74</v>
      </c>
      <c r="AZ348" t="s">
        <v>74</v>
      </c>
      <c r="BA348" t="s">
        <v>74</v>
      </c>
      <c r="BB348">
        <v>229</v>
      </c>
      <c r="BC348">
        <v>240</v>
      </c>
      <c r="BD348" t="s">
        <v>74</v>
      </c>
      <c r="BE348" t="s">
        <v>6778</v>
      </c>
      <c r="BF348" t="str">
        <f>HYPERLINK("http://dx.doi.org/10.1007/s10152-012-0318-z","http://dx.doi.org/10.1007/s10152-012-0318-z")</f>
        <v>http://dx.doi.org/10.1007/s10152-012-0318-z</v>
      </c>
      <c r="BG348" t="s">
        <v>74</v>
      </c>
      <c r="BH348" t="s">
        <v>74</v>
      </c>
      <c r="BI348">
        <v>12</v>
      </c>
      <c r="BJ348" t="s">
        <v>3206</v>
      </c>
      <c r="BK348" t="s">
        <v>102</v>
      </c>
      <c r="BL348" t="s">
        <v>3206</v>
      </c>
      <c r="BM348" t="s">
        <v>6779</v>
      </c>
      <c r="BN348" t="s">
        <v>74</v>
      </c>
      <c r="BO348" t="s">
        <v>6780</v>
      </c>
      <c r="BP348" t="s">
        <v>74</v>
      </c>
      <c r="BQ348" t="s">
        <v>74</v>
      </c>
      <c r="BR348" t="s">
        <v>105</v>
      </c>
      <c r="BS348" t="s">
        <v>6781</v>
      </c>
      <c r="BT348" t="str">
        <f>HYPERLINK("https%3A%2F%2Fwww.webofscience.com%2Fwos%2Fwoscc%2Ffull-record%2FWOS:000319350200003","View Full Record in Web of Science")</f>
        <v>View Full Record in Web of Science</v>
      </c>
    </row>
    <row r="349" spans="1:72" x14ac:dyDescent="0.15">
      <c r="A349" t="s">
        <v>72</v>
      </c>
      <c r="B349" t="s">
        <v>3698</v>
      </c>
      <c r="C349" t="s">
        <v>74</v>
      </c>
      <c r="D349" t="s">
        <v>74</v>
      </c>
      <c r="E349" t="s">
        <v>74</v>
      </c>
      <c r="F349" t="s">
        <v>3699</v>
      </c>
      <c r="G349" t="s">
        <v>74</v>
      </c>
      <c r="H349" t="s">
        <v>74</v>
      </c>
      <c r="I349" t="s">
        <v>6782</v>
      </c>
      <c r="J349" t="s">
        <v>6783</v>
      </c>
      <c r="K349" t="s">
        <v>74</v>
      </c>
      <c r="L349" t="s">
        <v>74</v>
      </c>
      <c r="M349" t="s">
        <v>78</v>
      </c>
      <c r="N349" t="s">
        <v>79</v>
      </c>
      <c r="O349" t="s">
        <v>74</v>
      </c>
      <c r="P349" t="s">
        <v>74</v>
      </c>
      <c r="Q349" t="s">
        <v>74</v>
      </c>
      <c r="R349" t="s">
        <v>74</v>
      </c>
      <c r="S349" t="s">
        <v>74</v>
      </c>
      <c r="T349" t="s">
        <v>6784</v>
      </c>
      <c r="U349" t="s">
        <v>6785</v>
      </c>
      <c r="V349" t="s">
        <v>6786</v>
      </c>
      <c r="W349" t="s">
        <v>74</v>
      </c>
      <c r="X349" t="s">
        <v>74</v>
      </c>
      <c r="Y349" t="s">
        <v>3704</v>
      </c>
      <c r="Z349" t="s">
        <v>3705</v>
      </c>
      <c r="AA349" t="s">
        <v>74</v>
      </c>
      <c r="AB349" t="s">
        <v>74</v>
      </c>
      <c r="AC349" t="s">
        <v>74</v>
      </c>
      <c r="AD349" t="s">
        <v>74</v>
      </c>
      <c r="AE349" t="s">
        <v>74</v>
      </c>
      <c r="AF349" t="s">
        <v>74</v>
      </c>
      <c r="AG349">
        <v>68</v>
      </c>
      <c r="AH349">
        <v>12</v>
      </c>
      <c r="AI349">
        <v>14</v>
      </c>
      <c r="AJ349">
        <v>0</v>
      </c>
      <c r="AK349">
        <v>31</v>
      </c>
      <c r="AL349" t="s">
        <v>529</v>
      </c>
      <c r="AM349" t="s">
        <v>1151</v>
      </c>
      <c r="AN349" t="s">
        <v>1152</v>
      </c>
      <c r="AO349" t="s">
        <v>6787</v>
      </c>
      <c r="AP349" t="s">
        <v>6788</v>
      </c>
      <c r="AQ349" t="s">
        <v>74</v>
      </c>
      <c r="AR349" t="s">
        <v>6789</v>
      </c>
      <c r="AS349" t="s">
        <v>6790</v>
      </c>
      <c r="AT349" t="s">
        <v>5642</v>
      </c>
      <c r="AU349">
        <v>2013</v>
      </c>
      <c r="AV349">
        <v>69</v>
      </c>
      <c r="AW349">
        <v>3</v>
      </c>
      <c r="AX349" t="s">
        <v>74</v>
      </c>
      <c r="AY349" t="s">
        <v>74</v>
      </c>
      <c r="AZ349" t="s">
        <v>74</v>
      </c>
      <c r="BA349" t="s">
        <v>74</v>
      </c>
      <c r="BB349">
        <v>339</v>
      </c>
      <c r="BC349">
        <v>355</v>
      </c>
      <c r="BD349" t="s">
        <v>74</v>
      </c>
      <c r="BE349" t="s">
        <v>6791</v>
      </c>
      <c r="BF349" t="str">
        <f>HYPERLINK("http://dx.doi.org/10.1007/s10872-013-0177-5","http://dx.doi.org/10.1007/s10872-013-0177-5")</f>
        <v>http://dx.doi.org/10.1007/s10872-013-0177-5</v>
      </c>
      <c r="BG349" t="s">
        <v>74</v>
      </c>
      <c r="BH349" t="s">
        <v>74</v>
      </c>
      <c r="BI349">
        <v>17</v>
      </c>
      <c r="BJ349" t="s">
        <v>327</v>
      </c>
      <c r="BK349" t="s">
        <v>102</v>
      </c>
      <c r="BL349" t="s">
        <v>327</v>
      </c>
      <c r="BM349" t="s">
        <v>6792</v>
      </c>
      <c r="BN349" t="s">
        <v>74</v>
      </c>
      <c r="BO349" t="s">
        <v>74</v>
      </c>
      <c r="BP349" t="s">
        <v>74</v>
      </c>
      <c r="BQ349" t="s">
        <v>74</v>
      </c>
      <c r="BR349" t="s">
        <v>105</v>
      </c>
      <c r="BS349" t="s">
        <v>6793</v>
      </c>
      <c r="BT349" t="str">
        <f>HYPERLINK("https%3A%2F%2Fwww.webofscience.com%2Fwos%2Fwoscc%2Ffull-record%2FWOS:000319421300005","View Full Record in Web of Science")</f>
        <v>View Full Record in Web of Science</v>
      </c>
    </row>
    <row r="350" spans="1:72" x14ac:dyDescent="0.15">
      <c r="A350" t="s">
        <v>72</v>
      </c>
      <c r="B350" t="s">
        <v>6794</v>
      </c>
      <c r="C350" t="s">
        <v>74</v>
      </c>
      <c r="D350" t="s">
        <v>74</v>
      </c>
      <c r="E350" t="s">
        <v>74</v>
      </c>
      <c r="F350" t="s">
        <v>6795</v>
      </c>
      <c r="G350" t="s">
        <v>74</v>
      </c>
      <c r="H350" t="s">
        <v>74</v>
      </c>
      <c r="I350" t="s">
        <v>6796</v>
      </c>
      <c r="J350" t="s">
        <v>6797</v>
      </c>
      <c r="K350" t="s">
        <v>74</v>
      </c>
      <c r="L350" t="s">
        <v>74</v>
      </c>
      <c r="M350" t="s">
        <v>78</v>
      </c>
      <c r="N350" t="s">
        <v>79</v>
      </c>
      <c r="O350" t="s">
        <v>74</v>
      </c>
      <c r="P350" t="s">
        <v>74</v>
      </c>
      <c r="Q350" t="s">
        <v>74</v>
      </c>
      <c r="R350" t="s">
        <v>74</v>
      </c>
      <c r="S350" t="s">
        <v>74</v>
      </c>
      <c r="T350" t="s">
        <v>6798</v>
      </c>
      <c r="U350" t="s">
        <v>6799</v>
      </c>
      <c r="V350" t="s">
        <v>6800</v>
      </c>
      <c r="W350" t="s">
        <v>6801</v>
      </c>
      <c r="X350" t="s">
        <v>6802</v>
      </c>
      <c r="Y350" t="s">
        <v>6803</v>
      </c>
      <c r="Z350" t="s">
        <v>6804</v>
      </c>
      <c r="AA350" t="s">
        <v>6805</v>
      </c>
      <c r="AB350" t="s">
        <v>6806</v>
      </c>
      <c r="AC350" t="s">
        <v>6807</v>
      </c>
      <c r="AD350" t="s">
        <v>6808</v>
      </c>
      <c r="AE350" t="s">
        <v>6809</v>
      </c>
      <c r="AF350" t="s">
        <v>74</v>
      </c>
      <c r="AG350">
        <v>163</v>
      </c>
      <c r="AH350">
        <v>21</v>
      </c>
      <c r="AI350">
        <v>21</v>
      </c>
      <c r="AJ350">
        <v>0</v>
      </c>
      <c r="AK350">
        <v>24</v>
      </c>
      <c r="AL350" t="s">
        <v>441</v>
      </c>
      <c r="AM350" t="s">
        <v>442</v>
      </c>
      <c r="AN350" t="s">
        <v>443</v>
      </c>
      <c r="AO350" t="s">
        <v>6810</v>
      </c>
      <c r="AP350" t="s">
        <v>6811</v>
      </c>
      <c r="AQ350" t="s">
        <v>74</v>
      </c>
      <c r="AR350" t="s">
        <v>6812</v>
      </c>
      <c r="AS350" t="s">
        <v>6813</v>
      </c>
      <c r="AT350" t="s">
        <v>5642</v>
      </c>
      <c r="AU350">
        <v>2013</v>
      </c>
      <c r="AV350">
        <v>54</v>
      </c>
      <c r="AW350">
        <v>6</v>
      </c>
      <c r="AX350" t="s">
        <v>74</v>
      </c>
      <c r="AY350" t="s">
        <v>74</v>
      </c>
      <c r="AZ350" t="s">
        <v>74</v>
      </c>
      <c r="BA350" t="s">
        <v>74</v>
      </c>
      <c r="BB350">
        <v>1211</v>
      </c>
      <c r="BC350">
        <v>1258</v>
      </c>
      <c r="BD350" t="s">
        <v>74</v>
      </c>
      <c r="BE350" t="s">
        <v>6814</v>
      </c>
      <c r="BF350" t="str">
        <f>HYPERLINK("http://dx.doi.org/10.1093/petrology/egt010","http://dx.doi.org/10.1093/petrology/egt010")</f>
        <v>http://dx.doi.org/10.1093/petrology/egt010</v>
      </c>
      <c r="BG350" t="s">
        <v>74</v>
      </c>
      <c r="BH350" t="s">
        <v>74</v>
      </c>
      <c r="BI350">
        <v>48</v>
      </c>
      <c r="BJ350" t="s">
        <v>766</v>
      </c>
      <c r="BK350" t="s">
        <v>102</v>
      </c>
      <c r="BL350" t="s">
        <v>766</v>
      </c>
      <c r="BM350" t="s">
        <v>6815</v>
      </c>
      <c r="BN350" t="s">
        <v>74</v>
      </c>
      <c r="BO350" t="s">
        <v>104</v>
      </c>
      <c r="BP350" t="s">
        <v>74</v>
      </c>
      <c r="BQ350" t="s">
        <v>74</v>
      </c>
      <c r="BR350" t="s">
        <v>105</v>
      </c>
      <c r="BS350" t="s">
        <v>6816</v>
      </c>
      <c r="BT350" t="str">
        <f>HYPERLINK("https%3A%2F%2Fwww.webofscience.com%2Fwos%2Fwoscc%2Ffull-record%2FWOS:000319478600006","View Full Record in Web of Science")</f>
        <v>View Full Record in Web of Science</v>
      </c>
    </row>
    <row r="351" spans="1:72" x14ac:dyDescent="0.15">
      <c r="A351" t="s">
        <v>72</v>
      </c>
      <c r="B351" t="s">
        <v>6817</v>
      </c>
      <c r="C351" t="s">
        <v>74</v>
      </c>
      <c r="D351" t="s">
        <v>74</v>
      </c>
      <c r="E351" t="s">
        <v>74</v>
      </c>
      <c r="F351" t="s">
        <v>6818</v>
      </c>
      <c r="G351" t="s">
        <v>74</v>
      </c>
      <c r="H351" t="s">
        <v>74</v>
      </c>
      <c r="I351" t="s">
        <v>6819</v>
      </c>
      <c r="J351" t="s">
        <v>6820</v>
      </c>
      <c r="K351" t="s">
        <v>74</v>
      </c>
      <c r="L351" t="s">
        <v>74</v>
      </c>
      <c r="M351" t="s">
        <v>78</v>
      </c>
      <c r="N351" t="s">
        <v>79</v>
      </c>
      <c r="O351" t="s">
        <v>74</v>
      </c>
      <c r="P351" t="s">
        <v>74</v>
      </c>
      <c r="Q351" t="s">
        <v>74</v>
      </c>
      <c r="R351" t="s">
        <v>74</v>
      </c>
      <c r="S351" t="s">
        <v>74</v>
      </c>
      <c r="T351" t="s">
        <v>6821</v>
      </c>
      <c r="U351" t="s">
        <v>6822</v>
      </c>
      <c r="V351" t="s">
        <v>6823</v>
      </c>
      <c r="W351" t="s">
        <v>6824</v>
      </c>
      <c r="X351" t="s">
        <v>6825</v>
      </c>
      <c r="Y351" t="s">
        <v>6826</v>
      </c>
      <c r="Z351" t="s">
        <v>6827</v>
      </c>
      <c r="AA351" t="s">
        <v>6828</v>
      </c>
      <c r="AB351" t="s">
        <v>6829</v>
      </c>
      <c r="AC351" t="s">
        <v>6830</v>
      </c>
      <c r="AD351" t="s">
        <v>6831</v>
      </c>
      <c r="AE351" t="s">
        <v>6832</v>
      </c>
      <c r="AF351" t="s">
        <v>74</v>
      </c>
      <c r="AG351">
        <v>75</v>
      </c>
      <c r="AH351">
        <v>12</v>
      </c>
      <c r="AI351">
        <v>13</v>
      </c>
      <c r="AJ351">
        <v>1</v>
      </c>
      <c r="AK351">
        <v>56</v>
      </c>
      <c r="AL351" t="s">
        <v>529</v>
      </c>
      <c r="AM351" t="s">
        <v>391</v>
      </c>
      <c r="AN351" t="s">
        <v>530</v>
      </c>
      <c r="AO351" t="s">
        <v>6833</v>
      </c>
      <c r="AP351" t="s">
        <v>74</v>
      </c>
      <c r="AQ351" t="s">
        <v>74</v>
      </c>
      <c r="AR351" t="s">
        <v>6820</v>
      </c>
      <c r="AS351" t="s">
        <v>6834</v>
      </c>
      <c r="AT351" t="s">
        <v>5642</v>
      </c>
      <c r="AU351">
        <v>2013</v>
      </c>
      <c r="AV351">
        <v>172</v>
      </c>
      <c r="AW351">
        <v>2</v>
      </c>
      <c r="AX351" t="s">
        <v>74</v>
      </c>
      <c r="AY351" t="s">
        <v>74</v>
      </c>
      <c r="AZ351" t="s">
        <v>74</v>
      </c>
      <c r="BA351" t="s">
        <v>74</v>
      </c>
      <c r="BB351">
        <v>525</v>
      </c>
      <c r="BC351">
        <v>538</v>
      </c>
      <c r="BD351" t="s">
        <v>74</v>
      </c>
      <c r="BE351" t="s">
        <v>6835</v>
      </c>
      <c r="BF351" t="str">
        <f>HYPERLINK("http://dx.doi.org/10.1007/s00442-012-2497-3","http://dx.doi.org/10.1007/s00442-012-2497-3")</f>
        <v>http://dx.doi.org/10.1007/s00442-012-2497-3</v>
      </c>
      <c r="BG351" t="s">
        <v>74</v>
      </c>
      <c r="BH351" t="s">
        <v>74</v>
      </c>
      <c r="BI351">
        <v>14</v>
      </c>
      <c r="BJ351" t="s">
        <v>5449</v>
      </c>
      <c r="BK351" t="s">
        <v>102</v>
      </c>
      <c r="BL351" t="s">
        <v>262</v>
      </c>
      <c r="BM351" t="s">
        <v>6836</v>
      </c>
      <c r="BN351">
        <v>23104271</v>
      </c>
      <c r="BO351" t="s">
        <v>74</v>
      </c>
      <c r="BP351" t="s">
        <v>74</v>
      </c>
      <c r="BQ351" t="s">
        <v>74</v>
      </c>
      <c r="BR351" t="s">
        <v>105</v>
      </c>
      <c r="BS351" t="s">
        <v>6837</v>
      </c>
      <c r="BT351" t="str">
        <f>HYPERLINK("https%3A%2F%2Fwww.webofscience.com%2Fwos%2Fwoscc%2Ffull-record%2FWOS:000319077100022","View Full Record in Web of Science")</f>
        <v>View Full Record in Web of Science</v>
      </c>
    </row>
    <row r="352" spans="1:72" x14ac:dyDescent="0.15">
      <c r="A352" t="s">
        <v>72</v>
      </c>
      <c r="B352" t="s">
        <v>6838</v>
      </c>
      <c r="C352" t="s">
        <v>74</v>
      </c>
      <c r="D352" t="s">
        <v>74</v>
      </c>
      <c r="E352" t="s">
        <v>74</v>
      </c>
      <c r="F352" t="s">
        <v>6839</v>
      </c>
      <c r="G352" t="s">
        <v>74</v>
      </c>
      <c r="H352" t="s">
        <v>74</v>
      </c>
      <c r="I352" t="s">
        <v>6840</v>
      </c>
      <c r="J352" t="s">
        <v>6841</v>
      </c>
      <c r="K352" t="s">
        <v>74</v>
      </c>
      <c r="L352" t="s">
        <v>74</v>
      </c>
      <c r="M352" t="s">
        <v>78</v>
      </c>
      <c r="N352" t="s">
        <v>1459</v>
      </c>
      <c r="O352" t="s">
        <v>74</v>
      </c>
      <c r="P352" t="s">
        <v>74</v>
      </c>
      <c r="Q352" t="s">
        <v>74</v>
      </c>
      <c r="R352" t="s">
        <v>74</v>
      </c>
      <c r="S352" t="s">
        <v>74</v>
      </c>
      <c r="T352" t="s">
        <v>6842</v>
      </c>
      <c r="U352" t="s">
        <v>6843</v>
      </c>
      <c r="V352" t="s">
        <v>6844</v>
      </c>
      <c r="W352" t="s">
        <v>6845</v>
      </c>
      <c r="X352" t="s">
        <v>6846</v>
      </c>
      <c r="Y352" t="s">
        <v>6847</v>
      </c>
      <c r="Z352" t="s">
        <v>6848</v>
      </c>
      <c r="AA352" t="s">
        <v>6849</v>
      </c>
      <c r="AB352" t="s">
        <v>6850</v>
      </c>
      <c r="AC352" t="s">
        <v>74</v>
      </c>
      <c r="AD352" t="s">
        <v>74</v>
      </c>
      <c r="AE352" t="s">
        <v>74</v>
      </c>
      <c r="AF352" t="s">
        <v>74</v>
      </c>
      <c r="AG352">
        <v>58</v>
      </c>
      <c r="AH352">
        <v>3</v>
      </c>
      <c r="AI352">
        <v>3</v>
      </c>
      <c r="AJ352">
        <v>3</v>
      </c>
      <c r="AK352">
        <v>78</v>
      </c>
      <c r="AL352" t="s">
        <v>529</v>
      </c>
      <c r="AM352" t="s">
        <v>391</v>
      </c>
      <c r="AN352" t="s">
        <v>530</v>
      </c>
      <c r="AO352" t="s">
        <v>6851</v>
      </c>
      <c r="AP352" t="s">
        <v>6852</v>
      </c>
      <c r="AQ352" t="s">
        <v>74</v>
      </c>
      <c r="AR352" t="s">
        <v>6853</v>
      </c>
      <c r="AS352" t="s">
        <v>6854</v>
      </c>
      <c r="AT352" t="s">
        <v>5642</v>
      </c>
      <c r="AU352">
        <v>2013</v>
      </c>
      <c r="AV352">
        <v>63</v>
      </c>
      <c r="AW352">
        <v>2</v>
      </c>
      <c r="AX352" t="s">
        <v>74</v>
      </c>
      <c r="AY352" t="s">
        <v>74</v>
      </c>
      <c r="AZ352" t="s">
        <v>74</v>
      </c>
      <c r="BA352" t="s">
        <v>74</v>
      </c>
      <c r="BB352">
        <v>409</v>
      </c>
      <c r="BC352">
        <v>415</v>
      </c>
      <c r="BD352" t="s">
        <v>74</v>
      </c>
      <c r="BE352" t="s">
        <v>6855</v>
      </c>
      <c r="BF352" t="str">
        <f>HYPERLINK("http://dx.doi.org/10.1007/s13213-012-0525-5","http://dx.doi.org/10.1007/s13213-012-0525-5")</f>
        <v>http://dx.doi.org/10.1007/s13213-012-0525-5</v>
      </c>
      <c r="BG352" t="s">
        <v>74</v>
      </c>
      <c r="BH352" t="s">
        <v>74</v>
      </c>
      <c r="BI352">
        <v>7</v>
      </c>
      <c r="BJ352" t="s">
        <v>6856</v>
      </c>
      <c r="BK352" t="s">
        <v>102</v>
      </c>
      <c r="BL352" t="s">
        <v>6856</v>
      </c>
      <c r="BM352" t="s">
        <v>6857</v>
      </c>
      <c r="BN352" t="s">
        <v>74</v>
      </c>
      <c r="BO352" t="s">
        <v>104</v>
      </c>
      <c r="BP352" t="s">
        <v>74</v>
      </c>
      <c r="BQ352" t="s">
        <v>74</v>
      </c>
      <c r="BR352" t="s">
        <v>105</v>
      </c>
      <c r="BS352" t="s">
        <v>6858</v>
      </c>
      <c r="BT352" t="str">
        <f>HYPERLINK("https%3A%2F%2Fwww.webofscience.com%2Fwos%2Fwoscc%2Ffull-record%2FWOS:000319074600001","View Full Record in Web of Science")</f>
        <v>View Full Record in Web of Science</v>
      </c>
    </row>
    <row r="353" spans="1:72" x14ac:dyDescent="0.15">
      <c r="A353" t="s">
        <v>72</v>
      </c>
      <c r="B353" t="s">
        <v>6859</v>
      </c>
      <c r="C353" t="s">
        <v>74</v>
      </c>
      <c r="D353" t="s">
        <v>74</v>
      </c>
      <c r="E353" t="s">
        <v>74</v>
      </c>
      <c r="F353" t="s">
        <v>6860</v>
      </c>
      <c r="G353" t="s">
        <v>74</v>
      </c>
      <c r="H353" t="s">
        <v>74</v>
      </c>
      <c r="I353" t="s">
        <v>6861</v>
      </c>
      <c r="J353" t="s">
        <v>797</v>
      </c>
      <c r="K353" t="s">
        <v>74</v>
      </c>
      <c r="L353" t="s">
        <v>74</v>
      </c>
      <c r="M353" t="s">
        <v>78</v>
      </c>
      <c r="N353" t="s">
        <v>79</v>
      </c>
      <c r="O353" t="s">
        <v>74</v>
      </c>
      <c r="P353" t="s">
        <v>74</v>
      </c>
      <c r="Q353" t="s">
        <v>74</v>
      </c>
      <c r="R353" t="s">
        <v>74</v>
      </c>
      <c r="S353" t="s">
        <v>74</v>
      </c>
      <c r="T353" t="s">
        <v>6862</v>
      </c>
      <c r="U353" t="s">
        <v>6863</v>
      </c>
      <c r="V353" t="s">
        <v>6864</v>
      </c>
      <c r="W353" t="s">
        <v>6865</v>
      </c>
      <c r="X353" t="s">
        <v>6866</v>
      </c>
      <c r="Y353" t="s">
        <v>6867</v>
      </c>
      <c r="Z353" t="s">
        <v>6868</v>
      </c>
      <c r="AA353" t="s">
        <v>6869</v>
      </c>
      <c r="AB353" t="s">
        <v>6870</v>
      </c>
      <c r="AC353" t="s">
        <v>6871</v>
      </c>
      <c r="AD353" t="s">
        <v>6871</v>
      </c>
      <c r="AE353" t="s">
        <v>6872</v>
      </c>
      <c r="AF353" t="s">
        <v>74</v>
      </c>
      <c r="AG353">
        <v>39</v>
      </c>
      <c r="AH353">
        <v>16</v>
      </c>
      <c r="AI353">
        <v>18</v>
      </c>
      <c r="AJ353">
        <v>1</v>
      </c>
      <c r="AK353">
        <v>28</v>
      </c>
      <c r="AL353" t="s">
        <v>390</v>
      </c>
      <c r="AM353" t="s">
        <v>391</v>
      </c>
      <c r="AN353" t="s">
        <v>392</v>
      </c>
      <c r="AO353" t="s">
        <v>806</v>
      </c>
      <c r="AP353" t="s">
        <v>807</v>
      </c>
      <c r="AQ353" t="s">
        <v>74</v>
      </c>
      <c r="AR353" t="s">
        <v>808</v>
      </c>
      <c r="AS353" t="s">
        <v>809</v>
      </c>
      <c r="AT353" t="s">
        <v>5642</v>
      </c>
      <c r="AU353">
        <v>2013</v>
      </c>
      <c r="AV353">
        <v>25</v>
      </c>
      <c r="AW353">
        <v>3</v>
      </c>
      <c r="AX353" t="s">
        <v>74</v>
      </c>
      <c r="AY353" t="s">
        <v>74</v>
      </c>
      <c r="AZ353" t="s">
        <v>74</v>
      </c>
      <c r="BA353" t="s">
        <v>74</v>
      </c>
      <c r="BB353">
        <v>347</v>
      </c>
      <c r="BC353">
        <v>357</v>
      </c>
      <c r="BD353" t="s">
        <v>74</v>
      </c>
      <c r="BE353" t="s">
        <v>6873</v>
      </c>
      <c r="BF353" t="str">
        <f>HYPERLINK("http://dx.doi.org/10.1017/S0954102012001162","http://dx.doi.org/10.1017/S0954102012001162")</f>
        <v>http://dx.doi.org/10.1017/S0954102012001162</v>
      </c>
      <c r="BG353" t="s">
        <v>74</v>
      </c>
      <c r="BH353" t="s">
        <v>74</v>
      </c>
      <c r="BI353">
        <v>11</v>
      </c>
      <c r="BJ353" t="s">
        <v>811</v>
      </c>
      <c r="BK353" t="s">
        <v>102</v>
      </c>
      <c r="BL353" t="s">
        <v>812</v>
      </c>
      <c r="BM353" t="s">
        <v>6874</v>
      </c>
      <c r="BN353" t="s">
        <v>74</v>
      </c>
      <c r="BO353" t="s">
        <v>74</v>
      </c>
      <c r="BP353" t="s">
        <v>74</v>
      </c>
      <c r="BQ353" t="s">
        <v>74</v>
      </c>
      <c r="BR353" t="s">
        <v>105</v>
      </c>
      <c r="BS353" t="s">
        <v>6875</v>
      </c>
      <c r="BT353" t="str">
        <f>HYPERLINK("https%3A%2F%2Fwww.webofscience.com%2Fwos%2Fwoscc%2Ffull-record%2FWOS:000319216500002","View Full Record in Web of Science")</f>
        <v>View Full Record in Web of Science</v>
      </c>
    </row>
    <row r="354" spans="1:72" x14ac:dyDescent="0.15">
      <c r="A354" t="s">
        <v>72</v>
      </c>
      <c r="B354" t="s">
        <v>6876</v>
      </c>
      <c r="C354" t="s">
        <v>74</v>
      </c>
      <c r="D354" t="s">
        <v>74</v>
      </c>
      <c r="E354" t="s">
        <v>74</v>
      </c>
      <c r="F354" t="s">
        <v>6877</v>
      </c>
      <c r="G354" t="s">
        <v>74</v>
      </c>
      <c r="H354" t="s">
        <v>74</v>
      </c>
      <c r="I354" t="s">
        <v>6878</v>
      </c>
      <c r="J354" t="s">
        <v>797</v>
      </c>
      <c r="K354" t="s">
        <v>74</v>
      </c>
      <c r="L354" t="s">
        <v>74</v>
      </c>
      <c r="M354" t="s">
        <v>78</v>
      </c>
      <c r="N354" t="s">
        <v>79</v>
      </c>
      <c r="O354" t="s">
        <v>74</v>
      </c>
      <c r="P354" t="s">
        <v>74</v>
      </c>
      <c r="Q354" t="s">
        <v>74</v>
      </c>
      <c r="R354" t="s">
        <v>74</v>
      </c>
      <c r="S354" t="s">
        <v>74</v>
      </c>
      <c r="T354" t="s">
        <v>6879</v>
      </c>
      <c r="U354" t="s">
        <v>6880</v>
      </c>
      <c r="V354" t="s">
        <v>6881</v>
      </c>
      <c r="W354" t="s">
        <v>6882</v>
      </c>
      <c r="X354" t="s">
        <v>6883</v>
      </c>
      <c r="Y354" t="s">
        <v>6884</v>
      </c>
      <c r="Z354" t="s">
        <v>6885</v>
      </c>
      <c r="AA354" t="s">
        <v>6886</v>
      </c>
      <c r="AB354" t="s">
        <v>6887</v>
      </c>
      <c r="AC354" t="s">
        <v>6888</v>
      </c>
      <c r="AD354" t="s">
        <v>6889</v>
      </c>
      <c r="AE354" t="s">
        <v>6890</v>
      </c>
      <c r="AF354" t="s">
        <v>74</v>
      </c>
      <c r="AG354">
        <v>48</v>
      </c>
      <c r="AH354">
        <v>51</v>
      </c>
      <c r="AI354">
        <v>54</v>
      </c>
      <c r="AJ354">
        <v>1</v>
      </c>
      <c r="AK354">
        <v>86</v>
      </c>
      <c r="AL354" t="s">
        <v>390</v>
      </c>
      <c r="AM354" t="s">
        <v>391</v>
      </c>
      <c r="AN354" t="s">
        <v>392</v>
      </c>
      <c r="AO354" t="s">
        <v>806</v>
      </c>
      <c r="AP354" t="s">
        <v>807</v>
      </c>
      <c r="AQ354" t="s">
        <v>74</v>
      </c>
      <c r="AR354" t="s">
        <v>808</v>
      </c>
      <c r="AS354" t="s">
        <v>809</v>
      </c>
      <c r="AT354" t="s">
        <v>5642</v>
      </c>
      <c r="AU354">
        <v>2013</v>
      </c>
      <c r="AV354">
        <v>25</v>
      </c>
      <c r="AW354">
        <v>3</v>
      </c>
      <c r="AX354" t="s">
        <v>74</v>
      </c>
      <c r="AY354" t="s">
        <v>74</v>
      </c>
      <c r="AZ354" t="s">
        <v>74</v>
      </c>
      <c r="BA354" t="s">
        <v>74</v>
      </c>
      <c r="BB354">
        <v>358</v>
      </c>
      <c r="BC354">
        <v>372</v>
      </c>
      <c r="BD354" t="s">
        <v>74</v>
      </c>
      <c r="BE354" t="s">
        <v>6891</v>
      </c>
      <c r="BF354" t="str">
        <f>HYPERLINK("http://dx.doi.org/10.1017/S0954102012000934","http://dx.doi.org/10.1017/S0954102012000934")</f>
        <v>http://dx.doi.org/10.1017/S0954102012000934</v>
      </c>
      <c r="BG354" t="s">
        <v>74</v>
      </c>
      <c r="BH354" t="s">
        <v>74</v>
      </c>
      <c r="BI354">
        <v>15</v>
      </c>
      <c r="BJ354" t="s">
        <v>811</v>
      </c>
      <c r="BK354" t="s">
        <v>102</v>
      </c>
      <c r="BL354" t="s">
        <v>812</v>
      </c>
      <c r="BM354" t="s">
        <v>6874</v>
      </c>
      <c r="BN354" t="s">
        <v>74</v>
      </c>
      <c r="BO354" t="s">
        <v>74</v>
      </c>
      <c r="BP354" t="s">
        <v>74</v>
      </c>
      <c r="BQ354" t="s">
        <v>74</v>
      </c>
      <c r="BR354" t="s">
        <v>105</v>
      </c>
      <c r="BS354" t="s">
        <v>6892</v>
      </c>
      <c r="BT354" t="str">
        <f>HYPERLINK("https%3A%2F%2Fwww.webofscience.com%2Fwos%2Fwoscc%2Ffull-record%2FWOS:000319216500003","View Full Record in Web of Science")</f>
        <v>View Full Record in Web of Science</v>
      </c>
    </row>
    <row r="355" spans="1:72" x14ac:dyDescent="0.15">
      <c r="A355" t="s">
        <v>72</v>
      </c>
      <c r="B355" t="s">
        <v>6893</v>
      </c>
      <c r="C355" t="s">
        <v>74</v>
      </c>
      <c r="D355" t="s">
        <v>74</v>
      </c>
      <c r="E355" t="s">
        <v>74</v>
      </c>
      <c r="F355" t="s">
        <v>6894</v>
      </c>
      <c r="G355" t="s">
        <v>74</v>
      </c>
      <c r="H355" t="s">
        <v>74</v>
      </c>
      <c r="I355" t="s">
        <v>6895</v>
      </c>
      <c r="J355" t="s">
        <v>797</v>
      </c>
      <c r="K355" t="s">
        <v>74</v>
      </c>
      <c r="L355" t="s">
        <v>74</v>
      </c>
      <c r="M355" t="s">
        <v>78</v>
      </c>
      <c r="N355" t="s">
        <v>79</v>
      </c>
      <c r="O355" t="s">
        <v>74</v>
      </c>
      <c r="P355" t="s">
        <v>74</v>
      </c>
      <c r="Q355" t="s">
        <v>74</v>
      </c>
      <c r="R355" t="s">
        <v>74</v>
      </c>
      <c r="S355" t="s">
        <v>74</v>
      </c>
      <c r="T355" t="s">
        <v>6896</v>
      </c>
      <c r="U355" t="s">
        <v>6897</v>
      </c>
      <c r="V355" t="s">
        <v>6898</v>
      </c>
      <c r="W355" t="s">
        <v>6899</v>
      </c>
      <c r="X355" t="s">
        <v>6900</v>
      </c>
      <c r="Y355" t="s">
        <v>6901</v>
      </c>
      <c r="Z355" t="s">
        <v>6902</v>
      </c>
      <c r="AA355" t="s">
        <v>6903</v>
      </c>
      <c r="AB355" t="s">
        <v>6904</v>
      </c>
      <c r="AC355" t="s">
        <v>6905</v>
      </c>
      <c r="AD355" t="s">
        <v>6905</v>
      </c>
      <c r="AE355" t="s">
        <v>6906</v>
      </c>
      <c r="AF355" t="s">
        <v>74</v>
      </c>
      <c r="AG355">
        <v>40</v>
      </c>
      <c r="AH355">
        <v>9</v>
      </c>
      <c r="AI355">
        <v>10</v>
      </c>
      <c r="AJ355">
        <v>3</v>
      </c>
      <c r="AK355">
        <v>29</v>
      </c>
      <c r="AL355" t="s">
        <v>390</v>
      </c>
      <c r="AM355" t="s">
        <v>391</v>
      </c>
      <c r="AN355" t="s">
        <v>392</v>
      </c>
      <c r="AO355" t="s">
        <v>806</v>
      </c>
      <c r="AP355" t="s">
        <v>807</v>
      </c>
      <c r="AQ355" t="s">
        <v>74</v>
      </c>
      <c r="AR355" t="s">
        <v>808</v>
      </c>
      <c r="AS355" t="s">
        <v>809</v>
      </c>
      <c r="AT355" t="s">
        <v>5642</v>
      </c>
      <c r="AU355">
        <v>2013</v>
      </c>
      <c r="AV355">
        <v>25</v>
      </c>
      <c r="AW355">
        <v>3</v>
      </c>
      <c r="AX355" t="s">
        <v>74</v>
      </c>
      <c r="AY355" t="s">
        <v>74</v>
      </c>
      <c r="AZ355" t="s">
        <v>74</v>
      </c>
      <c r="BA355" t="s">
        <v>74</v>
      </c>
      <c r="BB355">
        <v>373</v>
      </c>
      <c r="BC355">
        <v>380</v>
      </c>
      <c r="BD355" t="s">
        <v>74</v>
      </c>
      <c r="BE355" t="s">
        <v>6907</v>
      </c>
      <c r="BF355" t="str">
        <f>HYPERLINK("http://dx.doi.org/10.1017/S0954102012001095","http://dx.doi.org/10.1017/S0954102012001095")</f>
        <v>http://dx.doi.org/10.1017/S0954102012001095</v>
      </c>
      <c r="BG355" t="s">
        <v>74</v>
      </c>
      <c r="BH355" t="s">
        <v>74</v>
      </c>
      <c r="BI355">
        <v>8</v>
      </c>
      <c r="BJ355" t="s">
        <v>811</v>
      </c>
      <c r="BK355" t="s">
        <v>102</v>
      </c>
      <c r="BL355" t="s">
        <v>812</v>
      </c>
      <c r="BM355" t="s">
        <v>6874</v>
      </c>
      <c r="BN355" t="s">
        <v>74</v>
      </c>
      <c r="BO355" t="s">
        <v>74</v>
      </c>
      <c r="BP355" t="s">
        <v>74</v>
      </c>
      <c r="BQ355" t="s">
        <v>74</v>
      </c>
      <c r="BR355" t="s">
        <v>105</v>
      </c>
      <c r="BS355" t="s">
        <v>6908</v>
      </c>
      <c r="BT355" t="str">
        <f>HYPERLINK("https%3A%2F%2Fwww.webofscience.com%2Fwos%2Fwoscc%2Ffull-record%2FWOS:000319216500004","View Full Record in Web of Science")</f>
        <v>View Full Record in Web of Science</v>
      </c>
    </row>
    <row r="356" spans="1:72" x14ac:dyDescent="0.15">
      <c r="A356" t="s">
        <v>72</v>
      </c>
      <c r="B356" t="s">
        <v>6909</v>
      </c>
      <c r="C356" t="s">
        <v>74</v>
      </c>
      <c r="D356" t="s">
        <v>74</v>
      </c>
      <c r="E356" t="s">
        <v>74</v>
      </c>
      <c r="F356" t="s">
        <v>6910</v>
      </c>
      <c r="G356" t="s">
        <v>74</v>
      </c>
      <c r="H356" t="s">
        <v>74</v>
      </c>
      <c r="I356" t="s">
        <v>6911</v>
      </c>
      <c r="J356" t="s">
        <v>797</v>
      </c>
      <c r="K356" t="s">
        <v>74</v>
      </c>
      <c r="L356" t="s">
        <v>74</v>
      </c>
      <c r="M356" t="s">
        <v>78</v>
      </c>
      <c r="N356" t="s">
        <v>79</v>
      </c>
      <c r="O356" t="s">
        <v>74</v>
      </c>
      <c r="P356" t="s">
        <v>74</v>
      </c>
      <c r="Q356" t="s">
        <v>74</v>
      </c>
      <c r="R356" t="s">
        <v>74</v>
      </c>
      <c r="S356" t="s">
        <v>74</v>
      </c>
      <c r="T356" t="s">
        <v>6912</v>
      </c>
      <c r="U356" t="s">
        <v>6913</v>
      </c>
      <c r="V356" t="s">
        <v>6914</v>
      </c>
      <c r="W356" t="s">
        <v>6915</v>
      </c>
      <c r="X356" t="s">
        <v>839</v>
      </c>
      <c r="Y356" t="s">
        <v>6916</v>
      </c>
      <c r="Z356" t="s">
        <v>841</v>
      </c>
      <c r="AA356" t="s">
        <v>74</v>
      </c>
      <c r="AB356" t="s">
        <v>74</v>
      </c>
      <c r="AC356" t="s">
        <v>74</v>
      </c>
      <c r="AD356" t="s">
        <v>74</v>
      </c>
      <c r="AE356" t="s">
        <v>74</v>
      </c>
      <c r="AF356" t="s">
        <v>74</v>
      </c>
      <c r="AG356">
        <v>14</v>
      </c>
      <c r="AH356">
        <v>2</v>
      </c>
      <c r="AI356">
        <v>2</v>
      </c>
      <c r="AJ356">
        <v>0</v>
      </c>
      <c r="AK356">
        <v>17</v>
      </c>
      <c r="AL356" t="s">
        <v>390</v>
      </c>
      <c r="AM356" t="s">
        <v>391</v>
      </c>
      <c r="AN356" t="s">
        <v>392</v>
      </c>
      <c r="AO356" t="s">
        <v>806</v>
      </c>
      <c r="AP356" t="s">
        <v>74</v>
      </c>
      <c r="AQ356" t="s">
        <v>74</v>
      </c>
      <c r="AR356" t="s">
        <v>808</v>
      </c>
      <c r="AS356" t="s">
        <v>809</v>
      </c>
      <c r="AT356" t="s">
        <v>5642</v>
      </c>
      <c r="AU356">
        <v>2013</v>
      </c>
      <c r="AV356">
        <v>25</v>
      </c>
      <c r="AW356">
        <v>3</v>
      </c>
      <c r="AX356" t="s">
        <v>74</v>
      </c>
      <c r="AY356" t="s">
        <v>74</v>
      </c>
      <c r="AZ356" t="s">
        <v>74</v>
      </c>
      <c r="BA356" t="s">
        <v>74</v>
      </c>
      <c r="BB356">
        <v>381</v>
      </c>
      <c r="BC356">
        <v>384</v>
      </c>
      <c r="BD356" t="s">
        <v>74</v>
      </c>
      <c r="BE356" t="s">
        <v>6917</v>
      </c>
      <c r="BF356" t="str">
        <f>HYPERLINK("http://dx.doi.org/10.1017/S095410201200106X","http://dx.doi.org/10.1017/S095410201200106X")</f>
        <v>http://dx.doi.org/10.1017/S095410201200106X</v>
      </c>
      <c r="BG356" t="s">
        <v>74</v>
      </c>
      <c r="BH356" t="s">
        <v>74</v>
      </c>
      <c r="BI356">
        <v>4</v>
      </c>
      <c r="BJ356" t="s">
        <v>811</v>
      </c>
      <c r="BK356" t="s">
        <v>102</v>
      </c>
      <c r="BL356" t="s">
        <v>812</v>
      </c>
      <c r="BM356" t="s">
        <v>6874</v>
      </c>
      <c r="BN356" t="s">
        <v>74</v>
      </c>
      <c r="BO356" t="s">
        <v>74</v>
      </c>
      <c r="BP356" t="s">
        <v>74</v>
      </c>
      <c r="BQ356" t="s">
        <v>74</v>
      </c>
      <c r="BR356" t="s">
        <v>105</v>
      </c>
      <c r="BS356" t="s">
        <v>6918</v>
      </c>
      <c r="BT356" t="str">
        <f>HYPERLINK("https%3A%2F%2Fwww.webofscience.com%2Fwos%2Fwoscc%2Ffull-record%2FWOS:000319216500005","View Full Record in Web of Science")</f>
        <v>View Full Record in Web of Science</v>
      </c>
    </row>
    <row r="357" spans="1:72" x14ac:dyDescent="0.15">
      <c r="A357" t="s">
        <v>72</v>
      </c>
      <c r="B357" t="s">
        <v>6919</v>
      </c>
      <c r="C357" t="s">
        <v>74</v>
      </c>
      <c r="D357" t="s">
        <v>74</v>
      </c>
      <c r="E357" t="s">
        <v>74</v>
      </c>
      <c r="F357" t="s">
        <v>6920</v>
      </c>
      <c r="G357" t="s">
        <v>74</v>
      </c>
      <c r="H357" t="s">
        <v>74</v>
      </c>
      <c r="I357" t="s">
        <v>6921</v>
      </c>
      <c r="J357" t="s">
        <v>797</v>
      </c>
      <c r="K357" t="s">
        <v>74</v>
      </c>
      <c r="L357" t="s">
        <v>74</v>
      </c>
      <c r="M357" t="s">
        <v>78</v>
      </c>
      <c r="N357" t="s">
        <v>79</v>
      </c>
      <c r="O357" t="s">
        <v>74</v>
      </c>
      <c r="P357" t="s">
        <v>74</v>
      </c>
      <c r="Q357" t="s">
        <v>74</v>
      </c>
      <c r="R357" t="s">
        <v>74</v>
      </c>
      <c r="S357" t="s">
        <v>74</v>
      </c>
      <c r="T357" t="s">
        <v>74</v>
      </c>
      <c r="U357" t="s">
        <v>6922</v>
      </c>
      <c r="V357" t="s">
        <v>74</v>
      </c>
      <c r="W357" t="s">
        <v>6923</v>
      </c>
      <c r="X357" t="s">
        <v>6924</v>
      </c>
      <c r="Y357" t="s">
        <v>6925</v>
      </c>
      <c r="Z357" t="s">
        <v>6926</v>
      </c>
      <c r="AA357" t="s">
        <v>6927</v>
      </c>
      <c r="AB357" t="s">
        <v>74</v>
      </c>
      <c r="AC357" t="s">
        <v>6928</v>
      </c>
      <c r="AD357" t="s">
        <v>6929</v>
      </c>
      <c r="AE357" t="s">
        <v>6930</v>
      </c>
      <c r="AF357" t="s">
        <v>74</v>
      </c>
      <c r="AG357">
        <v>18</v>
      </c>
      <c r="AH357">
        <v>4</v>
      </c>
      <c r="AI357">
        <v>5</v>
      </c>
      <c r="AJ357">
        <v>0</v>
      </c>
      <c r="AK357">
        <v>14</v>
      </c>
      <c r="AL357" t="s">
        <v>390</v>
      </c>
      <c r="AM357" t="s">
        <v>391</v>
      </c>
      <c r="AN357" t="s">
        <v>392</v>
      </c>
      <c r="AO357" t="s">
        <v>806</v>
      </c>
      <c r="AP357" t="s">
        <v>807</v>
      </c>
      <c r="AQ357" t="s">
        <v>74</v>
      </c>
      <c r="AR357" t="s">
        <v>808</v>
      </c>
      <c r="AS357" t="s">
        <v>809</v>
      </c>
      <c r="AT357" t="s">
        <v>5642</v>
      </c>
      <c r="AU357">
        <v>2013</v>
      </c>
      <c r="AV357">
        <v>25</v>
      </c>
      <c r="AW357">
        <v>3</v>
      </c>
      <c r="AX357" t="s">
        <v>74</v>
      </c>
      <c r="AY357" t="s">
        <v>74</v>
      </c>
      <c r="AZ357" t="s">
        <v>74</v>
      </c>
      <c r="BA357" t="s">
        <v>74</v>
      </c>
      <c r="BB357">
        <v>387</v>
      </c>
      <c r="BC357">
        <v>388</v>
      </c>
      <c r="BD357" t="s">
        <v>74</v>
      </c>
      <c r="BE357" t="s">
        <v>6931</v>
      </c>
      <c r="BF357" t="str">
        <f>HYPERLINK("http://dx.doi.org/10.1017/S0954102012001137","http://dx.doi.org/10.1017/S0954102012001137")</f>
        <v>http://dx.doi.org/10.1017/S0954102012001137</v>
      </c>
      <c r="BG357" t="s">
        <v>74</v>
      </c>
      <c r="BH357" t="s">
        <v>74</v>
      </c>
      <c r="BI357">
        <v>2</v>
      </c>
      <c r="BJ357" t="s">
        <v>811</v>
      </c>
      <c r="BK357" t="s">
        <v>102</v>
      </c>
      <c r="BL357" t="s">
        <v>812</v>
      </c>
      <c r="BM357" t="s">
        <v>6874</v>
      </c>
      <c r="BN357" t="s">
        <v>74</v>
      </c>
      <c r="BO357" t="s">
        <v>74</v>
      </c>
      <c r="BP357" t="s">
        <v>74</v>
      </c>
      <c r="BQ357" t="s">
        <v>74</v>
      </c>
      <c r="BR357" t="s">
        <v>105</v>
      </c>
      <c r="BS357" t="s">
        <v>6932</v>
      </c>
      <c r="BT357" t="str">
        <f>HYPERLINK("https%3A%2F%2Fwww.webofscience.com%2Fwos%2Fwoscc%2Ffull-record%2FWOS:000319216500007","View Full Record in Web of Science")</f>
        <v>View Full Record in Web of Science</v>
      </c>
    </row>
    <row r="358" spans="1:72" x14ac:dyDescent="0.15">
      <c r="A358" t="s">
        <v>72</v>
      </c>
      <c r="B358" t="s">
        <v>6933</v>
      </c>
      <c r="C358" t="s">
        <v>74</v>
      </c>
      <c r="D358" t="s">
        <v>74</v>
      </c>
      <c r="E358" t="s">
        <v>74</v>
      </c>
      <c r="F358" t="s">
        <v>6934</v>
      </c>
      <c r="G358" t="s">
        <v>74</v>
      </c>
      <c r="H358" t="s">
        <v>74</v>
      </c>
      <c r="I358" t="s">
        <v>6935</v>
      </c>
      <c r="J358" t="s">
        <v>797</v>
      </c>
      <c r="K358" t="s">
        <v>74</v>
      </c>
      <c r="L358" t="s">
        <v>74</v>
      </c>
      <c r="M358" t="s">
        <v>78</v>
      </c>
      <c r="N358" t="s">
        <v>79</v>
      </c>
      <c r="O358" t="s">
        <v>74</v>
      </c>
      <c r="P358" t="s">
        <v>74</v>
      </c>
      <c r="Q358" t="s">
        <v>74</v>
      </c>
      <c r="R358" t="s">
        <v>74</v>
      </c>
      <c r="S358" t="s">
        <v>74</v>
      </c>
      <c r="T358" t="s">
        <v>6936</v>
      </c>
      <c r="U358" t="s">
        <v>6937</v>
      </c>
      <c r="V358" t="s">
        <v>6938</v>
      </c>
      <c r="W358" t="s">
        <v>6939</v>
      </c>
      <c r="X358" t="s">
        <v>6940</v>
      </c>
      <c r="Y358" t="s">
        <v>6941</v>
      </c>
      <c r="Z358" t="s">
        <v>6942</v>
      </c>
      <c r="AA358" t="s">
        <v>6943</v>
      </c>
      <c r="AB358" t="s">
        <v>6944</v>
      </c>
      <c r="AC358" t="s">
        <v>6945</v>
      </c>
      <c r="AD358" t="s">
        <v>6946</v>
      </c>
      <c r="AE358" t="s">
        <v>6947</v>
      </c>
      <c r="AF358" t="s">
        <v>74</v>
      </c>
      <c r="AG358">
        <v>40</v>
      </c>
      <c r="AH358">
        <v>14</v>
      </c>
      <c r="AI358">
        <v>14</v>
      </c>
      <c r="AJ358">
        <v>0</v>
      </c>
      <c r="AK358">
        <v>27</v>
      </c>
      <c r="AL358" t="s">
        <v>390</v>
      </c>
      <c r="AM358" t="s">
        <v>391</v>
      </c>
      <c r="AN358" t="s">
        <v>392</v>
      </c>
      <c r="AO358" t="s">
        <v>806</v>
      </c>
      <c r="AP358" t="s">
        <v>807</v>
      </c>
      <c r="AQ358" t="s">
        <v>74</v>
      </c>
      <c r="AR358" t="s">
        <v>808</v>
      </c>
      <c r="AS358" t="s">
        <v>809</v>
      </c>
      <c r="AT358" t="s">
        <v>5642</v>
      </c>
      <c r="AU358">
        <v>2013</v>
      </c>
      <c r="AV358">
        <v>25</v>
      </c>
      <c r="AW358">
        <v>3</v>
      </c>
      <c r="AX358" t="s">
        <v>74</v>
      </c>
      <c r="AY358" t="s">
        <v>74</v>
      </c>
      <c r="AZ358" t="s">
        <v>74</v>
      </c>
      <c r="BA358" t="s">
        <v>74</v>
      </c>
      <c r="BB358">
        <v>397</v>
      </c>
      <c r="BC358">
        <v>408</v>
      </c>
      <c r="BD358" t="s">
        <v>74</v>
      </c>
      <c r="BE358" t="s">
        <v>6948</v>
      </c>
      <c r="BF358" t="str">
        <f>HYPERLINK("http://dx.doi.org/10.1017/S0954102012000909","http://dx.doi.org/10.1017/S0954102012000909")</f>
        <v>http://dx.doi.org/10.1017/S0954102012000909</v>
      </c>
      <c r="BG358" t="s">
        <v>74</v>
      </c>
      <c r="BH358" t="s">
        <v>74</v>
      </c>
      <c r="BI358">
        <v>12</v>
      </c>
      <c r="BJ358" t="s">
        <v>811</v>
      </c>
      <c r="BK358" t="s">
        <v>102</v>
      </c>
      <c r="BL358" t="s">
        <v>812</v>
      </c>
      <c r="BM358" t="s">
        <v>6874</v>
      </c>
      <c r="BN358" t="s">
        <v>74</v>
      </c>
      <c r="BO358" t="s">
        <v>74</v>
      </c>
      <c r="BP358" t="s">
        <v>74</v>
      </c>
      <c r="BQ358" t="s">
        <v>74</v>
      </c>
      <c r="BR358" t="s">
        <v>105</v>
      </c>
      <c r="BS358" t="s">
        <v>6949</v>
      </c>
      <c r="BT358" t="str">
        <f>HYPERLINK("https%3A%2F%2Fwww.webofscience.com%2Fwos%2Fwoscc%2Ffull-record%2FWOS:000319216500009","View Full Record in Web of Science")</f>
        <v>View Full Record in Web of Science</v>
      </c>
    </row>
    <row r="359" spans="1:72" x14ac:dyDescent="0.15">
      <c r="A359" t="s">
        <v>72</v>
      </c>
      <c r="B359" t="s">
        <v>6950</v>
      </c>
      <c r="C359" t="s">
        <v>74</v>
      </c>
      <c r="D359" t="s">
        <v>74</v>
      </c>
      <c r="E359" t="s">
        <v>74</v>
      </c>
      <c r="F359" t="s">
        <v>6951</v>
      </c>
      <c r="G359" t="s">
        <v>74</v>
      </c>
      <c r="H359" t="s">
        <v>74</v>
      </c>
      <c r="I359" t="s">
        <v>6952</v>
      </c>
      <c r="J359" t="s">
        <v>797</v>
      </c>
      <c r="K359" t="s">
        <v>74</v>
      </c>
      <c r="L359" t="s">
        <v>74</v>
      </c>
      <c r="M359" t="s">
        <v>78</v>
      </c>
      <c r="N359" t="s">
        <v>79</v>
      </c>
      <c r="O359" t="s">
        <v>74</v>
      </c>
      <c r="P359" t="s">
        <v>74</v>
      </c>
      <c r="Q359" t="s">
        <v>74</v>
      </c>
      <c r="R359" t="s">
        <v>74</v>
      </c>
      <c r="S359" t="s">
        <v>74</v>
      </c>
      <c r="T359" t="s">
        <v>6953</v>
      </c>
      <c r="U359" t="s">
        <v>6954</v>
      </c>
      <c r="V359" t="s">
        <v>6955</v>
      </c>
      <c r="W359" t="s">
        <v>6956</v>
      </c>
      <c r="X359" t="s">
        <v>6957</v>
      </c>
      <c r="Y359" t="s">
        <v>6958</v>
      </c>
      <c r="Z359" t="s">
        <v>6959</v>
      </c>
      <c r="AA359" t="s">
        <v>74</v>
      </c>
      <c r="AB359" t="s">
        <v>6960</v>
      </c>
      <c r="AC359" t="s">
        <v>6961</v>
      </c>
      <c r="AD359" t="s">
        <v>6962</v>
      </c>
      <c r="AE359" t="s">
        <v>6963</v>
      </c>
      <c r="AF359" t="s">
        <v>74</v>
      </c>
      <c r="AG359">
        <v>29</v>
      </c>
      <c r="AH359">
        <v>1</v>
      </c>
      <c r="AI359">
        <v>2</v>
      </c>
      <c r="AJ359">
        <v>0</v>
      </c>
      <c r="AK359">
        <v>27</v>
      </c>
      <c r="AL359" t="s">
        <v>390</v>
      </c>
      <c r="AM359" t="s">
        <v>391</v>
      </c>
      <c r="AN359" t="s">
        <v>392</v>
      </c>
      <c r="AO359" t="s">
        <v>806</v>
      </c>
      <c r="AP359" t="s">
        <v>807</v>
      </c>
      <c r="AQ359" t="s">
        <v>74</v>
      </c>
      <c r="AR359" t="s">
        <v>808</v>
      </c>
      <c r="AS359" t="s">
        <v>809</v>
      </c>
      <c r="AT359" t="s">
        <v>5642</v>
      </c>
      <c r="AU359">
        <v>2013</v>
      </c>
      <c r="AV359">
        <v>25</v>
      </c>
      <c r="AW359">
        <v>3</v>
      </c>
      <c r="AX359" t="s">
        <v>74</v>
      </c>
      <c r="AY359" t="s">
        <v>74</v>
      </c>
      <c r="AZ359" t="s">
        <v>74</v>
      </c>
      <c r="BA359" t="s">
        <v>74</v>
      </c>
      <c r="BB359">
        <v>409</v>
      </c>
      <c r="BC359">
        <v>419</v>
      </c>
      <c r="BD359" t="s">
        <v>74</v>
      </c>
      <c r="BE359" t="s">
        <v>6964</v>
      </c>
      <c r="BF359" t="str">
        <f>HYPERLINK("http://dx.doi.org/10.1017/S0954102012000880","http://dx.doi.org/10.1017/S0954102012000880")</f>
        <v>http://dx.doi.org/10.1017/S0954102012000880</v>
      </c>
      <c r="BG359" t="s">
        <v>74</v>
      </c>
      <c r="BH359" t="s">
        <v>74</v>
      </c>
      <c r="BI359">
        <v>11</v>
      </c>
      <c r="BJ359" t="s">
        <v>811</v>
      </c>
      <c r="BK359" t="s">
        <v>102</v>
      </c>
      <c r="BL359" t="s">
        <v>812</v>
      </c>
      <c r="BM359" t="s">
        <v>6874</v>
      </c>
      <c r="BN359" t="s">
        <v>74</v>
      </c>
      <c r="BO359" t="s">
        <v>74</v>
      </c>
      <c r="BP359" t="s">
        <v>74</v>
      </c>
      <c r="BQ359" t="s">
        <v>74</v>
      </c>
      <c r="BR359" t="s">
        <v>105</v>
      </c>
      <c r="BS359" t="s">
        <v>6965</v>
      </c>
      <c r="BT359" t="str">
        <f>HYPERLINK("https%3A%2F%2Fwww.webofscience.com%2Fwos%2Fwoscc%2Ffull-record%2FWOS:000319216500010","View Full Record in Web of Science")</f>
        <v>View Full Record in Web of Science</v>
      </c>
    </row>
    <row r="360" spans="1:72" x14ac:dyDescent="0.15">
      <c r="A360" t="s">
        <v>72</v>
      </c>
      <c r="B360" t="s">
        <v>6966</v>
      </c>
      <c r="C360" t="s">
        <v>74</v>
      </c>
      <c r="D360" t="s">
        <v>74</v>
      </c>
      <c r="E360" t="s">
        <v>74</v>
      </c>
      <c r="F360" t="s">
        <v>6967</v>
      </c>
      <c r="G360" t="s">
        <v>74</v>
      </c>
      <c r="H360" t="s">
        <v>74</v>
      </c>
      <c r="I360" t="s">
        <v>6968</v>
      </c>
      <c r="J360" t="s">
        <v>797</v>
      </c>
      <c r="K360" t="s">
        <v>74</v>
      </c>
      <c r="L360" t="s">
        <v>74</v>
      </c>
      <c r="M360" t="s">
        <v>78</v>
      </c>
      <c r="N360" t="s">
        <v>79</v>
      </c>
      <c r="O360" t="s">
        <v>74</v>
      </c>
      <c r="P360" t="s">
        <v>74</v>
      </c>
      <c r="Q360" t="s">
        <v>74</v>
      </c>
      <c r="R360" t="s">
        <v>74</v>
      </c>
      <c r="S360" t="s">
        <v>74</v>
      </c>
      <c r="T360" t="s">
        <v>6969</v>
      </c>
      <c r="U360" t="s">
        <v>6970</v>
      </c>
      <c r="V360" t="s">
        <v>6971</v>
      </c>
      <c r="W360" t="s">
        <v>6972</v>
      </c>
      <c r="X360" t="s">
        <v>6973</v>
      </c>
      <c r="Y360" t="s">
        <v>6974</v>
      </c>
      <c r="Z360" t="s">
        <v>6975</v>
      </c>
      <c r="AA360" t="s">
        <v>6976</v>
      </c>
      <c r="AB360" t="s">
        <v>6977</v>
      </c>
      <c r="AC360" t="s">
        <v>6978</v>
      </c>
      <c r="AD360" t="s">
        <v>6979</v>
      </c>
      <c r="AE360" t="s">
        <v>6980</v>
      </c>
      <c r="AF360" t="s">
        <v>74</v>
      </c>
      <c r="AG360">
        <v>46</v>
      </c>
      <c r="AH360">
        <v>20</v>
      </c>
      <c r="AI360">
        <v>21</v>
      </c>
      <c r="AJ360">
        <v>0</v>
      </c>
      <c r="AK360">
        <v>35</v>
      </c>
      <c r="AL360" t="s">
        <v>390</v>
      </c>
      <c r="AM360" t="s">
        <v>391</v>
      </c>
      <c r="AN360" t="s">
        <v>392</v>
      </c>
      <c r="AO360" t="s">
        <v>806</v>
      </c>
      <c r="AP360" t="s">
        <v>807</v>
      </c>
      <c r="AQ360" t="s">
        <v>74</v>
      </c>
      <c r="AR360" t="s">
        <v>808</v>
      </c>
      <c r="AS360" t="s">
        <v>809</v>
      </c>
      <c r="AT360" t="s">
        <v>5642</v>
      </c>
      <c r="AU360">
        <v>2013</v>
      </c>
      <c r="AV360">
        <v>25</v>
      </c>
      <c r="AW360">
        <v>3</v>
      </c>
      <c r="AX360" t="s">
        <v>74</v>
      </c>
      <c r="AY360" t="s">
        <v>74</v>
      </c>
      <c r="AZ360" t="s">
        <v>74</v>
      </c>
      <c r="BA360" t="s">
        <v>74</v>
      </c>
      <c r="BB360">
        <v>421</v>
      </c>
      <c r="BC360">
        <v>432</v>
      </c>
      <c r="BD360" t="s">
        <v>74</v>
      </c>
      <c r="BE360" t="s">
        <v>6981</v>
      </c>
      <c r="BF360" t="str">
        <f>HYPERLINK("http://dx.doi.org/10.1017/S0954102012001150","http://dx.doi.org/10.1017/S0954102012001150")</f>
        <v>http://dx.doi.org/10.1017/S0954102012001150</v>
      </c>
      <c r="BG360" t="s">
        <v>74</v>
      </c>
      <c r="BH360" t="s">
        <v>74</v>
      </c>
      <c r="BI360">
        <v>12</v>
      </c>
      <c r="BJ360" t="s">
        <v>811</v>
      </c>
      <c r="BK360" t="s">
        <v>102</v>
      </c>
      <c r="BL360" t="s">
        <v>812</v>
      </c>
      <c r="BM360" t="s">
        <v>6874</v>
      </c>
      <c r="BN360" t="s">
        <v>74</v>
      </c>
      <c r="BO360" t="s">
        <v>1014</v>
      </c>
      <c r="BP360" t="s">
        <v>74</v>
      </c>
      <c r="BQ360" t="s">
        <v>74</v>
      </c>
      <c r="BR360" t="s">
        <v>105</v>
      </c>
      <c r="BS360" t="s">
        <v>6982</v>
      </c>
      <c r="BT360" t="str">
        <f>HYPERLINK("https%3A%2F%2Fwww.webofscience.com%2Fwos%2Fwoscc%2Ffull-record%2FWOS:000319216500011","View Full Record in Web of Science")</f>
        <v>View Full Record in Web of Science</v>
      </c>
    </row>
    <row r="361" spans="1:72" x14ac:dyDescent="0.15">
      <c r="A361" t="s">
        <v>72</v>
      </c>
      <c r="B361" t="s">
        <v>6983</v>
      </c>
      <c r="C361" t="s">
        <v>74</v>
      </c>
      <c r="D361" t="s">
        <v>74</v>
      </c>
      <c r="E361" t="s">
        <v>74</v>
      </c>
      <c r="F361" t="s">
        <v>6984</v>
      </c>
      <c r="G361" t="s">
        <v>74</v>
      </c>
      <c r="H361" t="s">
        <v>74</v>
      </c>
      <c r="I361" t="s">
        <v>6985</v>
      </c>
      <c r="J361" t="s">
        <v>797</v>
      </c>
      <c r="K361" t="s">
        <v>74</v>
      </c>
      <c r="L361" t="s">
        <v>74</v>
      </c>
      <c r="M361" t="s">
        <v>78</v>
      </c>
      <c r="N361" t="s">
        <v>79</v>
      </c>
      <c r="O361" t="s">
        <v>74</v>
      </c>
      <c r="P361" t="s">
        <v>74</v>
      </c>
      <c r="Q361" t="s">
        <v>74</v>
      </c>
      <c r="R361" t="s">
        <v>74</v>
      </c>
      <c r="S361" t="s">
        <v>74</v>
      </c>
      <c r="T361" t="s">
        <v>6986</v>
      </c>
      <c r="U361" t="s">
        <v>6987</v>
      </c>
      <c r="V361" t="s">
        <v>6988</v>
      </c>
      <c r="W361" t="s">
        <v>6989</v>
      </c>
      <c r="X361" t="s">
        <v>6990</v>
      </c>
      <c r="Y361" t="s">
        <v>6991</v>
      </c>
      <c r="Z361" t="s">
        <v>6992</v>
      </c>
      <c r="AA361" t="s">
        <v>6993</v>
      </c>
      <c r="AB361" t="s">
        <v>6994</v>
      </c>
      <c r="AC361" t="s">
        <v>6995</v>
      </c>
      <c r="AD361" t="s">
        <v>6996</v>
      </c>
      <c r="AE361" t="s">
        <v>6997</v>
      </c>
      <c r="AF361" t="s">
        <v>74</v>
      </c>
      <c r="AG361">
        <v>52</v>
      </c>
      <c r="AH361">
        <v>2</v>
      </c>
      <c r="AI361">
        <v>3</v>
      </c>
      <c r="AJ361">
        <v>0</v>
      </c>
      <c r="AK361">
        <v>13</v>
      </c>
      <c r="AL361" t="s">
        <v>390</v>
      </c>
      <c r="AM361" t="s">
        <v>391</v>
      </c>
      <c r="AN361" t="s">
        <v>392</v>
      </c>
      <c r="AO361" t="s">
        <v>806</v>
      </c>
      <c r="AP361" t="s">
        <v>807</v>
      </c>
      <c r="AQ361" t="s">
        <v>74</v>
      </c>
      <c r="AR361" t="s">
        <v>808</v>
      </c>
      <c r="AS361" t="s">
        <v>809</v>
      </c>
      <c r="AT361" t="s">
        <v>5642</v>
      </c>
      <c r="AU361">
        <v>2013</v>
      </c>
      <c r="AV361">
        <v>25</v>
      </c>
      <c r="AW361">
        <v>3</v>
      </c>
      <c r="AX361" t="s">
        <v>74</v>
      </c>
      <c r="AY361" t="s">
        <v>74</v>
      </c>
      <c r="AZ361" t="s">
        <v>74</v>
      </c>
      <c r="BA361" t="s">
        <v>74</v>
      </c>
      <c r="BB361">
        <v>433</v>
      </c>
      <c r="BC361">
        <v>444</v>
      </c>
      <c r="BD361" t="s">
        <v>74</v>
      </c>
      <c r="BE361" t="s">
        <v>6998</v>
      </c>
      <c r="BF361" t="str">
        <f>HYPERLINK("http://dx.doi.org/10.1017/S0954102012001113","http://dx.doi.org/10.1017/S0954102012001113")</f>
        <v>http://dx.doi.org/10.1017/S0954102012001113</v>
      </c>
      <c r="BG361" t="s">
        <v>74</v>
      </c>
      <c r="BH361" t="s">
        <v>74</v>
      </c>
      <c r="BI361">
        <v>12</v>
      </c>
      <c r="BJ361" t="s">
        <v>811</v>
      </c>
      <c r="BK361" t="s">
        <v>102</v>
      </c>
      <c r="BL361" t="s">
        <v>812</v>
      </c>
      <c r="BM361" t="s">
        <v>6874</v>
      </c>
      <c r="BN361" t="s">
        <v>74</v>
      </c>
      <c r="BO361" t="s">
        <v>74</v>
      </c>
      <c r="BP361" t="s">
        <v>74</v>
      </c>
      <c r="BQ361" t="s">
        <v>74</v>
      </c>
      <c r="BR361" t="s">
        <v>105</v>
      </c>
      <c r="BS361" t="s">
        <v>6999</v>
      </c>
      <c r="BT361" t="str">
        <f>HYPERLINK("https%3A%2F%2Fwww.webofscience.com%2Fwos%2Fwoscc%2Ffull-record%2FWOS:000319216500012","View Full Record in Web of Science")</f>
        <v>View Full Record in Web of Science</v>
      </c>
    </row>
    <row r="362" spans="1:72" x14ac:dyDescent="0.15">
      <c r="A362" t="s">
        <v>72</v>
      </c>
      <c r="B362" t="s">
        <v>7000</v>
      </c>
      <c r="C362" t="s">
        <v>74</v>
      </c>
      <c r="D362" t="s">
        <v>74</v>
      </c>
      <c r="E362" t="s">
        <v>74</v>
      </c>
      <c r="F362" t="s">
        <v>7001</v>
      </c>
      <c r="G362" t="s">
        <v>74</v>
      </c>
      <c r="H362" t="s">
        <v>74</v>
      </c>
      <c r="I362" t="s">
        <v>7002</v>
      </c>
      <c r="J362" t="s">
        <v>797</v>
      </c>
      <c r="K362" t="s">
        <v>74</v>
      </c>
      <c r="L362" t="s">
        <v>74</v>
      </c>
      <c r="M362" t="s">
        <v>78</v>
      </c>
      <c r="N362" t="s">
        <v>79</v>
      </c>
      <c r="O362" t="s">
        <v>74</v>
      </c>
      <c r="P362" t="s">
        <v>74</v>
      </c>
      <c r="Q362" t="s">
        <v>74</v>
      </c>
      <c r="R362" t="s">
        <v>74</v>
      </c>
      <c r="S362" t="s">
        <v>74</v>
      </c>
      <c r="T362" t="s">
        <v>7003</v>
      </c>
      <c r="U362" t="s">
        <v>7004</v>
      </c>
      <c r="V362" t="s">
        <v>7005</v>
      </c>
      <c r="W362" t="s">
        <v>7006</v>
      </c>
      <c r="X362" t="s">
        <v>7007</v>
      </c>
      <c r="Y362" t="s">
        <v>7008</v>
      </c>
      <c r="Z362" t="s">
        <v>7009</v>
      </c>
      <c r="AA362" t="s">
        <v>7010</v>
      </c>
      <c r="AB362" t="s">
        <v>7011</v>
      </c>
      <c r="AC362" t="s">
        <v>7012</v>
      </c>
      <c r="AD362" t="s">
        <v>7013</v>
      </c>
      <c r="AE362" t="s">
        <v>7014</v>
      </c>
      <c r="AF362" t="s">
        <v>74</v>
      </c>
      <c r="AG362">
        <v>25</v>
      </c>
      <c r="AH362">
        <v>13</v>
      </c>
      <c r="AI362">
        <v>14</v>
      </c>
      <c r="AJ362">
        <v>0</v>
      </c>
      <c r="AK362">
        <v>11</v>
      </c>
      <c r="AL362" t="s">
        <v>390</v>
      </c>
      <c r="AM362" t="s">
        <v>391</v>
      </c>
      <c r="AN362" t="s">
        <v>392</v>
      </c>
      <c r="AO362" t="s">
        <v>806</v>
      </c>
      <c r="AP362" t="s">
        <v>807</v>
      </c>
      <c r="AQ362" t="s">
        <v>74</v>
      </c>
      <c r="AR362" t="s">
        <v>808</v>
      </c>
      <c r="AS362" t="s">
        <v>809</v>
      </c>
      <c r="AT362" t="s">
        <v>5642</v>
      </c>
      <c r="AU362">
        <v>2013</v>
      </c>
      <c r="AV362">
        <v>25</v>
      </c>
      <c r="AW362">
        <v>3</v>
      </c>
      <c r="AX362" t="s">
        <v>74</v>
      </c>
      <c r="AY362" t="s">
        <v>74</v>
      </c>
      <c r="AZ362" t="s">
        <v>74</v>
      </c>
      <c r="BA362" t="s">
        <v>74</v>
      </c>
      <c r="BB362">
        <v>457</v>
      </c>
      <c r="BC362">
        <v>467</v>
      </c>
      <c r="BD362" t="s">
        <v>74</v>
      </c>
      <c r="BE362" t="s">
        <v>7015</v>
      </c>
      <c r="BF362" t="str">
        <f>HYPERLINK("http://dx.doi.org/10.1017/S0954102012001009","http://dx.doi.org/10.1017/S0954102012001009")</f>
        <v>http://dx.doi.org/10.1017/S0954102012001009</v>
      </c>
      <c r="BG362" t="s">
        <v>74</v>
      </c>
      <c r="BH362" t="s">
        <v>74</v>
      </c>
      <c r="BI362">
        <v>11</v>
      </c>
      <c r="BJ362" t="s">
        <v>811</v>
      </c>
      <c r="BK362" t="s">
        <v>102</v>
      </c>
      <c r="BL362" t="s">
        <v>812</v>
      </c>
      <c r="BM362" t="s">
        <v>6874</v>
      </c>
      <c r="BN362" t="s">
        <v>74</v>
      </c>
      <c r="BO362" t="s">
        <v>74</v>
      </c>
      <c r="BP362" t="s">
        <v>74</v>
      </c>
      <c r="BQ362" t="s">
        <v>74</v>
      </c>
      <c r="BR362" t="s">
        <v>105</v>
      </c>
      <c r="BS362" t="s">
        <v>7016</v>
      </c>
      <c r="BT362" t="str">
        <f>HYPERLINK("https%3A%2F%2Fwww.webofscience.com%2Fwos%2Fwoscc%2Ffull-record%2FWOS:000319216500014","View Full Record in Web of Science")</f>
        <v>View Full Record in Web of Science</v>
      </c>
    </row>
    <row r="363" spans="1:72" x14ac:dyDescent="0.15">
      <c r="A363" t="s">
        <v>72</v>
      </c>
      <c r="B363" t="s">
        <v>7017</v>
      </c>
      <c r="C363" t="s">
        <v>74</v>
      </c>
      <c r="D363" t="s">
        <v>74</v>
      </c>
      <c r="E363" t="s">
        <v>74</v>
      </c>
      <c r="F363" t="s">
        <v>7018</v>
      </c>
      <c r="G363" t="s">
        <v>74</v>
      </c>
      <c r="H363" t="s">
        <v>74</v>
      </c>
      <c r="I363" t="s">
        <v>7019</v>
      </c>
      <c r="J363" t="s">
        <v>1257</v>
      </c>
      <c r="K363" t="s">
        <v>74</v>
      </c>
      <c r="L363" t="s">
        <v>74</v>
      </c>
      <c r="M363" t="s">
        <v>78</v>
      </c>
      <c r="N363" t="s">
        <v>79</v>
      </c>
      <c r="O363" t="s">
        <v>74</v>
      </c>
      <c r="P363" t="s">
        <v>74</v>
      </c>
      <c r="Q363" t="s">
        <v>74</v>
      </c>
      <c r="R363" t="s">
        <v>74</v>
      </c>
      <c r="S363" t="s">
        <v>74</v>
      </c>
      <c r="T363" t="s">
        <v>7020</v>
      </c>
      <c r="U363" t="s">
        <v>7021</v>
      </c>
      <c r="V363" t="s">
        <v>7022</v>
      </c>
      <c r="W363" t="s">
        <v>7023</v>
      </c>
      <c r="X363" t="s">
        <v>7024</v>
      </c>
      <c r="Y363" t="s">
        <v>7025</v>
      </c>
      <c r="Z363" t="s">
        <v>7026</v>
      </c>
      <c r="AA363" t="s">
        <v>7027</v>
      </c>
      <c r="AB363" t="s">
        <v>7028</v>
      </c>
      <c r="AC363" t="s">
        <v>7029</v>
      </c>
      <c r="AD363" t="s">
        <v>7029</v>
      </c>
      <c r="AE363" t="s">
        <v>7030</v>
      </c>
      <c r="AF363" t="s">
        <v>74</v>
      </c>
      <c r="AG363">
        <v>69</v>
      </c>
      <c r="AH363">
        <v>48</v>
      </c>
      <c r="AI363">
        <v>50</v>
      </c>
      <c r="AJ363">
        <v>1</v>
      </c>
      <c r="AK363">
        <v>45</v>
      </c>
      <c r="AL363" t="s">
        <v>506</v>
      </c>
      <c r="AM363" t="s">
        <v>442</v>
      </c>
      <c r="AN363" t="s">
        <v>507</v>
      </c>
      <c r="AO363" t="s">
        <v>1269</v>
      </c>
      <c r="AP363" t="s">
        <v>1270</v>
      </c>
      <c r="AQ363" t="s">
        <v>74</v>
      </c>
      <c r="AR363" t="s">
        <v>1271</v>
      </c>
      <c r="AS363" t="s">
        <v>1272</v>
      </c>
      <c r="AT363" t="s">
        <v>5642</v>
      </c>
      <c r="AU363">
        <v>2013</v>
      </c>
      <c r="AV363">
        <v>76</v>
      </c>
      <c r="AW363" t="s">
        <v>74</v>
      </c>
      <c r="AX363" t="s">
        <v>74</v>
      </c>
      <c r="AY363" t="s">
        <v>74</v>
      </c>
      <c r="AZ363" t="s">
        <v>74</v>
      </c>
      <c r="BA363" t="s">
        <v>74</v>
      </c>
      <c r="BB363">
        <v>13</v>
      </c>
      <c r="BC363">
        <v>26</v>
      </c>
      <c r="BD363" t="s">
        <v>74</v>
      </c>
      <c r="BE363" t="s">
        <v>7031</v>
      </c>
      <c r="BF363" t="str">
        <f>HYPERLINK("http://dx.doi.org/10.1016/j.dsr.2013.02.007","http://dx.doi.org/10.1016/j.dsr.2013.02.007")</f>
        <v>http://dx.doi.org/10.1016/j.dsr.2013.02.007</v>
      </c>
      <c r="BG363" t="s">
        <v>74</v>
      </c>
      <c r="BH363" t="s">
        <v>74</v>
      </c>
      <c r="BI363">
        <v>14</v>
      </c>
      <c r="BJ363" t="s">
        <v>327</v>
      </c>
      <c r="BK363" t="s">
        <v>102</v>
      </c>
      <c r="BL363" t="s">
        <v>327</v>
      </c>
      <c r="BM363" t="s">
        <v>7032</v>
      </c>
      <c r="BN363" t="s">
        <v>74</v>
      </c>
      <c r="BO363" t="s">
        <v>74</v>
      </c>
      <c r="BP363" t="s">
        <v>74</v>
      </c>
      <c r="BQ363" t="s">
        <v>74</v>
      </c>
      <c r="BR363" t="s">
        <v>105</v>
      </c>
      <c r="BS363" t="s">
        <v>7033</v>
      </c>
      <c r="BT363" t="str">
        <f>HYPERLINK("https%3A%2F%2Fwww.webofscience.com%2Fwos%2Fwoscc%2Ffull-record%2FWOS:000319090000002","View Full Record in Web of Science")</f>
        <v>View Full Record in Web of Science</v>
      </c>
    </row>
    <row r="364" spans="1:72" x14ac:dyDescent="0.15">
      <c r="A364" t="s">
        <v>72</v>
      </c>
      <c r="B364" t="s">
        <v>7034</v>
      </c>
      <c r="C364" t="s">
        <v>74</v>
      </c>
      <c r="D364" t="s">
        <v>74</v>
      </c>
      <c r="E364" t="s">
        <v>74</v>
      </c>
      <c r="F364" t="s">
        <v>7035</v>
      </c>
      <c r="G364" t="s">
        <v>74</v>
      </c>
      <c r="H364" t="s">
        <v>74</v>
      </c>
      <c r="I364" t="s">
        <v>7036</v>
      </c>
      <c r="J364" t="s">
        <v>1408</v>
      </c>
      <c r="K364" t="s">
        <v>74</v>
      </c>
      <c r="L364" t="s">
        <v>74</v>
      </c>
      <c r="M364" t="s">
        <v>78</v>
      </c>
      <c r="N364" t="s">
        <v>79</v>
      </c>
      <c r="O364" t="s">
        <v>74</v>
      </c>
      <c r="P364" t="s">
        <v>74</v>
      </c>
      <c r="Q364" t="s">
        <v>74</v>
      </c>
      <c r="R364" t="s">
        <v>74</v>
      </c>
      <c r="S364" t="s">
        <v>74</v>
      </c>
      <c r="T364" t="s">
        <v>7037</v>
      </c>
      <c r="U364" t="s">
        <v>7038</v>
      </c>
      <c r="V364" t="s">
        <v>7039</v>
      </c>
      <c r="W364" t="s">
        <v>7040</v>
      </c>
      <c r="X364" t="s">
        <v>7041</v>
      </c>
      <c r="Y364" t="s">
        <v>7042</v>
      </c>
      <c r="Z364" t="s">
        <v>7043</v>
      </c>
      <c r="AA364" t="s">
        <v>7044</v>
      </c>
      <c r="AB364" t="s">
        <v>7045</v>
      </c>
      <c r="AC364" t="s">
        <v>7046</v>
      </c>
      <c r="AD364" t="s">
        <v>7047</v>
      </c>
      <c r="AE364" t="s">
        <v>7048</v>
      </c>
      <c r="AF364" t="s">
        <v>74</v>
      </c>
      <c r="AG364">
        <v>170</v>
      </c>
      <c r="AH364">
        <v>24</v>
      </c>
      <c r="AI364">
        <v>24</v>
      </c>
      <c r="AJ364">
        <v>1</v>
      </c>
      <c r="AK364">
        <v>66</v>
      </c>
      <c r="AL364" t="s">
        <v>195</v>
      </c>
      <c r="AM364" t="s">
        <v>155</v>
      </c>
      <c r="AN364" t="s">
        <v>196</v>
      </c>
      <c r="AO364" t="s">
        <v>1421</v>
      </c>
      <c r="AP364" t="s">
        <v>1422</v>
      </c>
      <c r="AQ364" t="s">
        <v>74</v>
      </c>
      <c r="AR364" t="s">
        <v>1423</v>
      </c>
      <c r="AS364" t="s">
        <v>1424</v>
      </c>
      <c r="AT364" t="s">
        <v>5642</v>
      </c>
      <c r="AU364">
        <v>2013</v>
      </c>
      <c r="AV364">
        <v>121</v>
      </c>
      <c r="AW364" t="s">
        <v>74</v>
      </c>
      <c r="AX364" t="s">
        <v>74</v>
      </c>
      <c r="AY364" t="s">
        <v>74</v>
      </c>
      <c r="AZ364" t="s">
        <v>74</v>
      </c>
      <c r="BA364" t="s">
        <v>74</v>
      </c>
      <c r="BB364">
        <v>55</v>
      </c>
      <c r="BC364">
        <v>72</v>
      </c>
      <c r="BD364" t="s">
        <v>74</v>
      </c>
      <c r="BE364" t="s">
        <v>7049</v>
      </c>
      <c r="BF364" t="str">
        <f>HYPERLINK("http://dx.doi.org/10.1016/j.earscirev.2013.02.006","http://dx.doi.org/10.1016/j.earscirev.2013.02.006")</f>
        <v>http://dx.doi.org/10.1016/j.earscirev.2013.02.006</v>
      </c>
      <c r="BG364" t="s">
        <v>74</v>
      </c>
      <c r="BH364" t="s">
        <v>74</v>
      </c>
      <c r="BI364">
        <v>18</v>
      </c>
      <c r="BJ364" t="s">
        <v>1426</v>
      </c>
      <c r="BK364" t="s">
        <v>102</v>
      </c>
      <c r="BL364" t="s">
        <v>219</v>
      </c>
      <c r="BM364" t="s">
        <v>7050</v>
      </c>
      <c r="BN364" t="s">
        <v>74</v>
      </c>
      <c r="BO364" t="s">
        <v>74</v>
      </c>
      <c r="BP364" t="s">
        <v>74</v>
      </c>
      <c r="BQ364" t="s">
        <v>74</v>
      </c>
      <c r="BR364" t="s">
        <v>105</v>
      </c>
      <c r="BS364" t="s">
        <v>7051</v>
      </c>
      <c r="BT364" t="str">
        <f>HYPERLINK("https%3A%2F%2Fwww.webofscience.com%2Fwos%2Fwoscc%2Ffull-record%2FWOS:000319235800004","View Full Record in Web of Science")</f>
        <v>View Full Record in Web of Science</v>
      </c>
    </row>
    <row r="365" spans="1:72" x14ac:dyDescent="0.15">
      <c r="A365" t="s">
        <v>72</v>
      </c>
      <c r="B365" t="s">
        <v>7052</v>
      </c>
      <c r="C365" t="s">
        <v>74</v>
      </c>
      <c r="D365" t="s">
        <v>74</v>
      </c>
      <c r="E365" t="s">
        <v>74</v>
      </c>
      <c r="F365" t="s">
        <v>7053</v>
      </c>
      <c r="G365" t="s">
        <v>74</v>
      </c>
      <c r="H365" t="s">
        <v>74</v>
      </c>
      <c r="I365" t="s">
        <v>7054</v>
      </c>
      <c r="J365" t="s">
        <v>7055</v>
      </c>
      <c r="K365" t="s">
        <v>74</v>
      </c>
      <c r="L365" t="s">
        <v>74</v>
      </c>
      <c r="M365" t="s">
        <v>78</v>
      </c>
      <c r="N365" t="s">
        <v>1459</v>
      </c>
      <c r="O365" t="s">
        <v>74</v>
      </c>
      <c r="P365" t="s">
        <v>74</v>
      </c>
      <c r="Q365" t="s">
        <v>74</v>
      </c>
      <c r="R365" t="s">
        <v>74</v>
      </c>
      <c r="S365" t="s">
        <v>74</v>
      </c>
      <c r="T365" t="s">
        <v>7056</v>
      </c>
      <c r="U365" t="s">
        <v>7057</v>
      </c>
      <c r="V365" t="s">
        <v>7058</v>
      </c>
      <c r="W365" t="s">
        <v>7059</v>
      </c>
      <c r="X365" t="s">
        <v>74</v>
      </c>
      <c r="Y365" t="s">
        <v>7060</v>
      </c>
      <c r="Z365" t="s">
        <v>7061</v>
      </c>
      <c r="AA365" t="s">
        <v>74</v>
      </c>
      <c r="AB365" t="s">
        <v>74</v>
      </c>
      <c r="AC365" t="s">
        <v>74</v>
      </c>
      <c r="AD365" t="s">
        <v>74</v>
      </c>
      <c r="AE365" t="s">
        <v>74</v>
      </c>
      <c r="AF365" t="s">
        <v>74</v>
      </c>
      <c r="AG365">
        <v>57</v>
      </c>
      <c r="AH365">
        <v>5</v>
      </c>
      <c r="AI365">
        <v>5</v>
      </c>
      <c r="AJ365">
        <v>0</v>
      </c>
      <c r="AK365">
        <v>12</v>
      </c>
      <c r="AL365" t="s">
        <v>529</v>
      </c>
      <c r="AM365" t="s">
        <v>391</v>
      </c>
      <c r="AN365" t="s">
        <v>1220</v>
      </c>
      <c r="AO365" t="s">
        <v>7062</v>
      </c>
      <c r="AP365" t="s">
        <v>7063</v>
      </c>
      <c r="AQ365" t="s">
        <v>74</v>
      </c>
      <c r="AR365" t="s">
        <v>7064</v>
      </c>
      <c r="AS365" t="s">
        <v>7065</v>
      </c>
      <c r="AT365" t="s">
        <v>5642</v>
      </c>
      <c r="AU365">
        <v>2013</v>
      </c>
      <c r="AV365">
        <v>102</v>
      </c>
      <c r="AW365">
        <v>4</v>
      </c>
      <c r="AX365" t="s">
        <v>74</v>
      </c>
      <c r="AY365" t="s">
        <v>74</v>
      </c>
      <c r="AZ365" t="s">
        <v>74</v>
      </c>
      <c r="BA365" t="s">
        <v>74</v>
      </c>
      <c r="BB365">
        <v>977</v>
      </c>
      <c r="BC365">
        <v>987</v>
      </c>
      <c r="BD365" t="s">
        <v>74</v>
      </c>
      <c r="BE365" t="s">
        <v>7066</v>
      </c>
      <c r="BF365" t="str">
        <f>HYPERLINK("http://dx.doi.org/10.1007/s00531-012-0841-9","http://dx.doi.org/10.1007/s00531-012-0841-9")</f>
        <v>http://dx.doi.org/10.1007/s00531-012-0841-9</v>
      </c>
      <c r="BG365" t="s">
        <v>74</v>
      </c>
      <c r="BH365" t="s">
        <v>74</v>
      </c>
      <c r="BI365">
        <v>11</v>
      </c>
      <c r="BJ365" t="s">
        <v>1426</v>
      </c>
      <c r="BK365" t="s">
        <v>102</v>
      </c>
      <c r="BL365" t="s">
        <v>219</v>
      </c>
      <c r="BM365" t="s">
        <v>7067</v>
      </c>
      <c r="BN365" t="s">
        <v>74</v>
      </c>
      <c r="BO365" t="s">
        <v>74</v>
      </c>
      <c r="BP365" t="s">
        <v>74</v>
      </c>
      <c r="BQ365" t="s">
        <v>74</v>
      </c>
      <c r="BR365" t="s">
        <v>105</v>
      </c>
      <c r="BS365" t="s">
        <v>7068</v>
      </c>
      <c r="BT365" t="str">
        <f>HYPERLINK("https%3A%2F%2Fwww.webofscience.com%2Fwos%2Fwoscc%2Ffull-record%2FWOS:000319167100001","View Full Record in Web of Science")</f>
        <v>View Full Record in Web of Science</v>
      </c>
    </row>
    <row r="366" spans="1:72" x14ac:dyDescent="0.15">
      <c r="A366" t="s">
        <v>72</v>
      </c>
      <c r="B366" t="s">
        <v>7069</v>
      </c>
      <c r="C366" t="s">
        <v>74</v>
      </c>
      <c r="D366" t="s">
        <v>74</v>
      </c>
      <c r="E366" t="s">
        <v>74</v>
      </c>
      <c r="F366" t="s">
        <v>7070</v>
      </c>
      <c r="G366" t="s">
        <v>74</v>
      </c>
      <c r="H366" t="s">
        <v>74</v>
      </c>
      <c r="I366" t="s">
        <v>7071</v>
      </c>
      <c r="J366" t="s">
        <v>3712</v>
      </c>
      <c r="K366" t="s">
        <v>74</v>
      </c>
      <c r="L366" t="s">
        <v>74</v>
      </c>
      <c r="M366" t="s">
        <v>78</v>
      </c>
      <c r="N366" t="s">
        <v>79</v>
      </c>
      <c r="O366" t="s">
        <v>74</v>
      </c>
      <c r="P366" t="s">
        <v>74</v>
      </c>
      <c r="Q366" t="s">
        <v>74</v>
      </c>
      <c r="R366" t="s">
        <v>74</v>
      </c>
      <c r="S366" t="s">
        <v>74</v>
      </c>
      <c r="T366" t="s">
        <v>74</v>
      </c>
      <c r="U366" t="s">
        <v>7072</v>
      </c>
      <c r="V366" t="s">
        <v>7073</v>
      </c>
      <c r="W366" t="s">
        <v>7074</v>
      </c>
      <c r="X366" t="s">
        <v>7075</v>
      </c>
      <c r="Y366" t="s">
        <v>7076</v>
      </c>
      <c r="Z366" t="s">
        <v>7077</v>
      </c>
      <c r="AA366" t="s">
        <v>7078</v>
      </c>
      <c r="AB366" t="s">
        <v>7079</v>
      </c>
      <c r="AC366" t="s">
        <v>7080</v>
      </c>
      <c r="AD366" t="s">
        <v>7081</v>
      </c>
      <c r="AE366" t="s">
        <v>7082</v>
      </c>
      <c r="AF366" t="s">
        <v>74</v>
      </c>
      <c r="AG366">
        <v>86</v>
      </c>
      <c r="AH366">
        <v>39</v>
      </c>
      <c r="AI366">
        <v>44</v>
      </c>
      <c r="AJ366">
        <v>0</v>
      </c>
      <c r="AK366">
        <v>75</v>
      </c>
      <c r="AL366" t="s">
        <v>3724</v>
      </c>
      <c r="AM366" t="s">
        <v>3725</v>
      </c>
      <c r="AN366" t="s">
        <v>3726</v>
      </c>
      <c r="AO366" t="s">
        <v>3727</v>
      </c>
      <c r="AP366" t="s">
        <v>3728</v>
      </c>
      <c r="AQ366" t="s">
        <v>74</v>
      </c>
      <c r="AR366" t="s">
        <v>3729</v>
      </c>
      <c r="AS366" t="s">
        <v>3730</v>
      </c>
      <c r="AT366" t="s">
        <v>5642</v>
      </c>
      <c r="AU366">
        <v>2013</v>
      </c>
      <c r="AV366">
        <v>160</v>
      </c>
      <c r="AW366">
        <v>6</v>
      </c>
      <c r="AX366" t="s">
        <v>74</v>
      </c>
      <c r="AY366" t="s">
        <v>74</v>
      </c>
      <c r="AZ366" t="s">
        <v>74</v>
      </c>
      <c r="BA366" t="s">
        <v>74</v>
      </c>
      <c r="BB366">
        <v>1311</v>
      </c>
      <c r="BC366">
        <v>1323</v>
      </c>
      <c r="BD366" t="s">
        <v>74</v>
      </c>
      <c r="BE366" t="s">
        <v>7083</v>
      </c>
      <c r="BF366" t="str">
        <f>HYPERLINK("http://dx.doi.org/10.1007/s00227-013-2182-z","http://dx.doi.org/10.1007/s00227-013-2182-z")</f>
        <v>http://dx.doi.org/10.1007/s00227-013-2182-z</v>
      </c>
      <c r="BG366" t="s">
        <v>74</v>
      </c>
      <c r="BH366" t="s">
        <v>74</v>
      </c>
      <c r="BI366">
        <v>13</v>
      </c>
      <c r="BJ366" t="s">
        <v>1809</v>
      </c>
      <c r="BK366" t="s">
        <v>102</v>
      </c>
      <c r="BL366" t="s">
        <v>1809</v>
      </c>
      <c r="BM366" t="s">
        <v>7084</v>
      </c>
      <c r="BN366" t="s">
        <v>74</v>
      </c>
      <c r="BO366" t="s">
        <v>74</v>
      </c>
      <c r="BP366" t="s">
        <v>74</v>
      </c>
      <c r="BQ366" t="s">
        <v>74</v>
      </c>
      <c r="BR366" t="s">
        <v>105</v>
      </c>
      <c r="BS366" t="s">
        <v>7085</v>
      </c>
      <c r="BT366" t="str">
        <f>HYPERLINK("https%3A%2F%2Fwww.webofscience.com%2Fwos%2Fwoscc%2Ffull-record%2FWOS:000319360100002","View Full Record in Web of Science")</f>
        <v>View Full Record in Web of Science</v>
      </c>
    </row>
    <row r="367" spans="1:72" x14ac:dyDescent="0.15">
      <c r="A367" t="s">
        <v>72</v>
      </c>
      <c r="B367" t="s">
        <v>7086</v>
      </c>
      <c r="C367" t="s">
        <v>74</v>
      </c>
      <c r="D367" t="s">
        <v>74</v>
      </c>
      <c r="E367" t="s">
        <v>74</v>
      </c>
      <c r="F367" t="s">
        <v>7087</v>
      </c>
      <c r="G367" t="s">
        <v>74</v>
      </c>
      <c r="H367" t="s">
        <v>74</v>
      </c>
      <c r="I367" t="s">
        <v>7088</v>
      </c>
      <c r="J367" t="s">
        <v>3712</v>
      </c>
      <c r="K367" t="s">
        <v>74</v>
      </c>
      <c r="L367" t="s">
        <v>74</v>
      </c>
      <c r="M367" t="s">
        <v>78</v>
      </c>
      <c r="N367" t="s">
        <v>79</v>
      </c>
      <c r="O367" t="s">
        <v>74</v>
      </c>
      <c r="P367" t="s">
        <v>74</v>
      </c>
      <c r="Q367" t="s">
        <v>74</v>
      </c>
      <c r="R367" t="s">
        <v>74</v>
      </c>
      <c r="S367" t="s">
        <v>74</v>
      </c>
      <c r="T367" t="s">
        <v>74</v>
      </c>
      <c r="U367" t="s">
        <v>7089</v>
      </c>
      <c r="V367" t="s">
        <v>7090</v>
      </c>
      <c r="W367" t="s">
        <v>7091</v>
      </c>
      <c r="X367" t="s">
        <v>7092</v>
      </c>
      <c r="Y367" t="s">
        <v>7093</v>
      </c>
      <c r="Z367" t="s">
        <v>7094</v>
      </c>
      <c r="AA367" t="s">
        <v>74</v>
      </c>
      <c r="AB367" t="s">
        <v>74</v>
      </c>
      <c r="AC367" t="s">
        <v>7095</v>
      </c>
      <c r="AD367" t="s">
        <v>7096</v>
      </c>
      <c r="AE367" t="s">
        <v>7097</v>
      </c>
      <c r="AF367" t="s">
        <v>74</v>
      </c>
      <c r="AG367">
        <v>67</v>
      </c>
      <c r="AH367">
        <v>11</v>
      </c>
      <c r="AI367">
        <v>15</v>
      </c>
      <c r="AJ367">
        <v>2</v>
      </c>
      <c r="AK367">
        <v>36</v>
      </c>
      <c r="AL367" t="s">
        <v>529</v>
      </c>
      <c r="AM367" t="s">
        <v>391</v>
      </c>
      <c r="AN367" t="s">
        <v>530</v>
      </c>
      <c r="AO367" t="s">
        <v>3727</v>
      </c>
      <c r="AP367" t="s">
        <v>74</v>
      </c>
      <c r="AQ367" t="s">
        <v>74</v>
      </c>
      <c r="AR367" t="s">
        <v>3729</v>
      </c>
      <c r="AS367" t="s">
        <v>3730</v>
      </c>
      <c r="AT367" t="s">
        <v>5642</v>
      </c>
      <c r="AU367">
        <v>2013</v>
      </c>
      <c r="AV367">
        <v>160</v>
      </c>
      <c r="AW367">
        <v>6</v>
      </c>
      <c r="AX367" t="s">
        <v>74</v>
      </c>
      <c r="AY367" t="s">
        <v>74</v>
      </c>
      <c r="AZ367" t="s">
        <v>74</v>
      </c>
      <c r="BA367" t="s">
        <v>74</v>
      </c>
      <c r="BB367">
        <v>1383</v>
      </c>
      <c r="BC367">
        <v>1393</v>
      </c>
      <c r="BD367" t="s">
        <v>74</v>
      </c>
      <c r="BE367" t="s">
        <v>7098</v>
      </c>
      <c r="BF367" t="str">
        <f>HYPERLINK("http://dx.doi.org/10.1007/s00227-013-2190-z","http://dx.doi.org/10.1007/s00227-013-2190-z")</f>
        <v>http://dx.doi.org/10.1007/s00227-013-2190-z</v>
      </c>
      <c r="BG367" t="s">
        <v>74</v>
      </c>
      <c r="BH367" t="s">
        <v>74</v>
      </c>
      <c r="BI367">
        <v>11</v>
      </c>
      <c r="BJ367" t="s">
        <v>1809</v>
      </c>
      <c r="BK367" t="s">
        <v>102</v>
      </c>
      <c r="BL367" t="s">
        <v>1809</v>
      </c>
      <c r="BM367" t="s">
        <v>7084</v>
      </c>
      <c r="BN367" t="s">
        <v>74</v>
      </c>
      <c r="BO367" t="s">
        <v>74</v>
      </c>
      <c r="BP367" t="s">
        <v>74</v>
      </c>
      <c r="BQ367" t="s">
        <v>74</v>
      </c>
      <c r="BR367" t="s">
        <v>105</v>
      </c>
      <c r="BS367" t="s">
        <v>7099</v>
      </c>
      <c r="BT367" t="str">
        <f>HYPERLINK("https%3A%2F%2Fwww.webofscience.com%2Fwos%2Fwoscc%2Ffull-record%2FWOS:000319360100008","View Full Record in Web of Science")</f>
        <v>View Full Record in Web of Science</v>
      </c>
    </row>
    <row r="368" spans="1:72" x14ac:dyDescent="0.15">
      <c r="A368" t="s">
        <v>72</v>
      </c>
      <c r="B368" t="s">
        <v>7100</v>
      </c>
      <c r="C368" t="s">
        <v>74</v>
      </c>
      <c r="D368" t="s">
        <v>74</v>
      </c>
      <c r="E368" t="s">
        <v>74</v>
      </c>
      <c r="F368" t="s">
        <v>7101</v>
      </c>
      <c r="G368" t="s">
        <v>74</v>
      </c>
      <c r="H368" t="s">
        <v>74</v>
      </c>
      <c r="I368" t="s">
        <v>7102</v>
      </c>
      <c r="J368" t="s">
        <v>3345</v>
      </c>
      <c r="K368" t="s">
        <v>74</v>
      </c>
      <c r="L368" t="s">
        <v>74</v>
      </c>
      <c r="M368" t="s">
        <v>78</v>
      </c>
      <c r="N368" t="s">
        <v>79</v>
      </c>
      <c r="O368" t="s">
        <v>74</v>
      </c>
      <c r="P368" t="s">
        <v>74</v>
      </c>
      <c r="Q368" t="s">
        <v>74</v>
      </c>
      <c r="R368" t="s">
        <v>74</v>
      </c>
      <c r="S368" t="s">
        <v>74</v>
      </c>
      <c r="T368" t="s">
        <v>7103</v>
      </c>
      <c r="U368" t="s">
        <v>7104</v>
      </c>
      <c r="V368" t="s">
        <v>7105</v>
      </c>
      <c r="W368" t="s">
        <v>7106</v>
      </c>
      <c r="X368" t="s">
        <v>7107</v>
      </c>
      <c r="Y368" t="s">
        <v>6901</v>
      </c>
      <c r="Z368" t="s">
        <v>6902</v>
      </c>
      <c r="AA368" t="s">
        <v>7108</v>
      </c>
      <c r="AB368" t="s">
        <v>6904</v>
      </c>
      <c r="AC368" t="s">
        <v>6905</v>
      </c>
      <c r="AD368" t="s">
        <v>6905</v>
      </c>
      <c r="AE368" t="s">
        <v>7109</v>
      </c>
      <c r="AF368" t="s">
        <v>74</v>
      </c>
      <c r="AG368">
        <v>45</v>
      </c>
      <c r="AH368">
        <v>5</v>
      </c>
      <c r="AI368">
        <v>5</v>
      </c>
      <c r="AJ368">
        <v>3</v>
      </c>
      <c r="AK368">
        <v>28</v>
      </c>
      <c r="AL368" t="s">
        <v>529</v>
      </c>
      <c r="AM368" t="s">
        <v>391</v>
      </c>
      <c r="AN368" t="s">
        <v>530</v>
      </c>
      <c r="AO368" t="s">
        <v>3358</v>
      </c>
      <c r="AP368" t="s">
        <v>74</v>
      </c>
      <c r="AQ368" t="s">
        <v>74</v>
      </c>
      <c r="AR368" t="s">
        <v>3360</v>
      </c>
      <c r="AS368" t="s">
        <v>3361</v>
      </c>
      <c r="AT368" t="s">
        <v>5642</v>
      </c>
      <c r="AU368">
        <v>2013</v>
      </c>
      <c r="AV368">
        <v>36</v>
      </c>
      <c r="AW368">
        <v>6</v>
      </c>
      <c r="AX368" t="s">
        <v>74</v>
      </c>
      <c r="AY368" t="s">
        <v>74</v>
      </c>
      <c r="AZ368" t="s">
        <v>74</v>
      </c>
      <c r="BA368" t="s">
        <v>74</v>
      </c>
      <c r="BB368">
        <v>797</v>
      </c>
      <c r="BC368">
        <v>805</v>
      </c>
      <c r="BD368" t="s">
        <v>74</v>
      </c>
      <c r="BE368" t="s">
        <v>7110</v>
      </c>
      <c r="BF368" t="str">
        <f>HYPERLINK("http://dx.doi.org/10.1007/s00300-013-1304-x","http://dx.doi.org/10.1007/s00300-013-1304-x")</f>
        <v>http://dx.doi.org/10.1007/s00300-013-1304-x</v>
      </c>
      <c r="BG368" t="s">
        <v>74</v>
      </c>
      <c r="BH368" t="s">
        <v>74</v>
      </c>
      <c r="BI368">
        <v>9</v>
      </c>
      <c r="BJ368" t="s">
        <v>1158</v>
      </c>
      <c r="BK368" t="s">
        <v>102</v>
      </c>
      <c r="BL368" t="s">
        <v>1159</v>
      </c>
      <c r="BM368" t="s">
        <v>7111</v>
      </c>
      <c r="BN368" t="s">
        <v>74</v>
      </c>
      <c r="BO368" t="s">
        <v>74</v>
      </c>
      <c r="BP368" t="s">
        <v>74</v>
      </c>
      <c r="BQ368" t="s">
        <v>74</v>
      </c>
      <c r="BR368" t="s">
        <v>105</v>
      </c>
      <c r="BS368" t="s">
        <v>7112</v>
      </c>
      <c r="BT368" t="str">
        <f>HYPERLINK("https%3A%2F%2Fwww.webofscience.com%2Fwos%2Fwoscc%2Ffull-record%2FWOS:000318722600004","View Full Record in Web of Science")</f>
        <v>View Full Record in Web of Science</v>
      </c>
    </row>
    <row r="369" spans="1:72" x14ac:dyDescent="0.15">
      <c r="A369" t="s">
        <v>72</v>
      </c>
      <c r="B369" t="s">
        <v>7113</v>
      </c>
      <c r="C369" t="s">
        <v>74</v>
      </c>
      <c r="D369" t="s">
        <v>74</v>
      </c>
      <c r="E369" t="s">
        <v>74</v>
      </c>
      <c r="F369" t="s">
        <v>7114</v>
      </c>
      <c r="G369" t="s">
        <v>74</v>
      </c>
      <c r="H369" t="s">
        <v>74</v>
      </c>
      <c r="I369" t="s">
        <v>7115</v>
      </c>
      <c r="J369" t="s">
        <v>3345</v>
      </c>
      <c r="K369" t="s">
        <v>74</v>
      </c>
      <c r="L369" t="s">
        <v>74</v>
      </c>
      <c r="M369" t="s">
        <v>78</v>
      </c>
      <c r="N369" t="s">
        <v>79</v>
      </c>
      <c r="O369" t="s">
        <v>74</v>
      </c>
      <c r="P369" t="s">
        <v>74</v>
      </c>
      <c r="Q369" t="s">
        <v>74</v>
      </c>
      <c r="R369" t="s">
        <v>74</v>
      </c>
      <c r="S369" t="s">
        <v>74</v>
      </c>
      <c r="T369" t="s">
        <v>7116</v>
      </c>
      <c r="U369" t="s">
        <v>7117</v>
      </c>
      <c r="V369" t="s">
        <v>7118</v>
      </c>
      <c r="W369" t="s">
        <v>7119</v>
      </c>
      <c r="X369" t="s">
        <v>7120</v>
      </c>
      <c r="Y369" t="s">
        <v>7121</v>
      </c>
      <c r="Z369" t="s">
        <v>7122</v>
      </c>
      <c r="AA369" t="s">
        <v>74</v>
      </c>
      <c r="AB369" t="s">
        <v>74</v>
      </c>
      <c r="AC369" t="s">
        <v>7123</v>
      </c>
      <c r="AD369" t="s">
        <v>7124</v>
      </c>
      <c r="AE369" t="s">
        <v>7125</v>
      </c>
      <c r="AF369" t="s">
        <v>74</v>
      </c>
      <c r="AG369">
        <v>42</v>
      </c>
      <c r="AH369">
        <v>19</v>
      </c>
      <c r="AI369">
        <v>19</v>
      </c>
      <c r="AJ369">
        <v>0</v>
      </c>
      <c r="AK369">
        <v>17</v>
      </c>
      <c r="AL369" t="s">
        <v>529</v>
      </c>
      <c r="AM369" t="s">
        <v>391</v>
      </c>
      <c r="AN369" t="s">
        <v>530</v>
      </c>
      <c r="AO369" t="s">
        <v>3358</v>
      </c>
      <c r="AP369" t="s">
        <v>3359</v>
      </c>
      <c r="AQ369" t="s">
        <v>74</v>
      </c>
      <c r="AR369" t="s">
        <v>3360</v>
      </c>
      <c r="AS369" t="s">
        <v>3361</v>
      </c>
      <c r="AT369" t="s">
        <v>5642</v>
      </c>
      <c r="AU369">
        <v>2013</v>
      </c>
      <c r="AV369">
        <v>36</v>
      </c>
      <c r="AW369">
        <v>6</v>
      </c>
      <c r="AX369" t="s">
        <v>74</v>
      </c>
      <c r="AY369" t="s">
        <v>74</v>
      </c>
      <c r="AZ369" t="s">
        <v>74</v>
      </c>
      <c r="BA369" t="s">
        <v>74</v>
      </c>
      <c r="BB369">
        <v>807</v>
      </c>
      <c r="BC369">
        <v>817</v>
      </c>
      <c r="BD369" t="s">
        <v>74</v>
      </c>
      <c r="BE369" t="s">
        <v>7126</v>
      </c>
      <c r="BF369" t="str">
        <f>HYPERLINK("http://dx.doi.org/10.1007/s00300-013-1305-9","http://dx.doi.org/10.1007/s00300-013-1305-9")</f>
        <v>http://dx.doi.org/10.1007/s00300-013-1305-9</v>
      </c>
      <c r="BG369" t="s">
        <v>74</v>
      </c>
      <c r="BH369" t="s">
        <v>74</v>
      </c>
      <c r="BI369">
        <v>11</v>
      </c>
      <c r="BJ369" t="s">
        <v>1158</v>
      </c>
      <c r="BK369" t="s">
        <v>102</v>
      </c>
      <c r="BL369" t="s">
        <v>1159</v>
      </c>
      <c r="BM369" t="s">
        <v>7111</v>
      </c>
      <c r="BN369" t="s">
        <v>74</v>
      </c>
      <c r="BO369" t="s">
        <v>74</v>
      </c>
      <c r="BP369" t="s">
        <v>74</v>
      </c>
      <c r="BQ369" t="s">
        <v>74</v>
      </c>
      <c r="BR369" t="s">
        <v>105</v>
      </c>
      <c r="BS369" t="s">
        <v>7127</v>
      </c>
      <c r="BT369" t="str">
        <f>HYPERLINK("https%3A%2F%2Fwww.webofscience.com%2Fwos%2Fwoscc%2Ffull-record%2FWOS:000318722600005","View Full Record in Web of Science")</f>
        <v>View Full Record in Web of Science</v>
      </c>
    </row>
    <row r="370" spans="1:72" x14ac:dyDescent="0.15">
      <c r="A370" t="s">
        <v>72</v>
      </c>
      <c r="B370" t="s">
        <v>7128</v>
      </c>
      <c r="C370" t="s">
        <v>74</v>
      </c>
      <c r="D370" t="s">
        <v>74</v>
      </c>
      <c r="E370" t="s">
        <v>74</v>
      </c>
      <c r="F370" t="s">
        <v>7129</v>
      </c>
      <c r="G370" t="s">
        <v>74</v>
      </c>
      <c r="H370" t="s">
        <v>74</v>
      </c>
      <c r="I370" t="s">
        <v>7130</v>
      </c>
      <c r="J370" t="s">
        <v>3345</v>
      </c>
      <c r="K370" t="s">
        <v>74</v>
      </c>
      <c r="L370" t="s">
        <v>74</v>
      </c>
      <c r="M370" t="s">
        <v>78</v>
      </c>
      <c r="N370" t="s">
        <v>79</v>
      </c>
      <c r="O370" t="s">
        <v>74</v>
      </c>
      <c r="P370" t="s">
        <v>74</v>
      </c>
      <c r="Q370" t="s">
        <v>74</v>
      </c>
      <c r="R370" t="s">
        <v>74</v>
      </c>
      <c r="S370" t="s">
        <v>74</v>
      </c>
      <c r="T370" t="s">
        <v>7131</v>
      </c>
      <c r="U370" t="s">
        <v>7132</v>
      </c>
      <c r="V370" t="s">
        <v>7133</v>
      </c>
      <c r="W370" t="s">
        <v>7134</v>
      </c>
      <c r="X370" t="s">
        <v>7135</v>
      </c>
      <c r="Y370" t="s">
        <v>7136</v>
      </c>
      <c r="Z370" t="s">
        <v>7137</v>
      </c>
      <c r="AA370" t="s">
        <v>74</v>
      </c>
      <c r="AB370" t="s">
        <v>7138</v>
      </c>
      <c r="AC370" t="s">
        <v>7139</v>
      </c>
      <c r="AD370" t="s">
        <v>7140</v>
      </c>
      <c r="AE370" t="s">
        <v>7141</v>
      </c>
      <c r="AF370" t="s">
        <v>74</v>
      </c>
      <c r="AG370">
        <v>77</v>
      </c>
      <c r="AH370">
        <v>3</v>
      </c>
      <c r="AI370">
        <v>3</v>
      </c>
      <c r="AJ370">
        <v>0</v>
      </c>
      <c r="AK370">
        <v>16</v>
      </c>
      <c r="AL370" t="s">
        <v>529</v>
      </c>
      <c r="AM370" t="s">
        <v>391</v>
      </c>
      <c r="AN370" t="s">
        <v>1220</v>
      </c>
      <c r="AO370" t="s">
        <v>3358</v>
      </c>
      <c r="AP370" t="s">
        <v>3359</v>
      </c>
      <c r="AQ370" t="s">
        <v>74</v>
      </c>
      <c r="AR370" t="s">
        <v>3360</v>
      </c>
      <c r="AS370" t="s">
        <v>3361</v>
      </c>
      <c r="AT370" t="s">
        <v>5642</v>
      </c>
      <c r="AU370">
        <v>2013</v>
      </c>
      <c r="AV370">
        <v>36</v>
      </c>
      <c r="AW370">
        <v>6</v>
      </c>
      <c r="AX370" t="s">
        <v>74</v>
      </c>
      <c r="AY370" t="s">
        <v>74</v>
      </c>
      <c r="AZ370" t="s">
        <v>74</v>
      </c>
      <c r="BA370" t="s">
        <v>74</v>
      </c>
      <c r="BB370">
        <v>871</v>
      </c>
      <c r="BC370">
        <v>883</v>
      </c>
      <c r="BD370" t="s">
        <v>74</v>
      </c>
      <c r="BE370" t="s">
        <v>7142</v>
      </c>
      <c r="BF370" t="str">
        <f>HYPERLINK("http://dx.doi.org/10.1007/s00300-013-1312-x","http://dx.doi.org/10.1007/s00300-013-1312-x")</f>
        <v>http://dx.doi.org/10.1007/s00300-013-1312-x</v>
      </c>
      <c r="BG370" t="s">
        <v>74</v>
      </c>
      <c r="BH370" t="s">
        <v>74</v>
      </c>
      <c r="BI370">
        <v>13</v>
      </c>
      <c r="BJ370" t="s">
        <v>1158</v>
      </c>
      <c r="BK370" t="s">
        <v>102</v>
      </c>
      <c r="BL370" t="s">
        <v>1159</v>
      </c>
      <c r="BM370" t="s">
        <v>7111</v>
      </c>
      <c r="BN370" t="s">
        <v>74</v>
      </c>
      <c r="BO370" t="s">
        <v>426</v>
      </c>
      <c r="BP370" t="s">
        <v>74</v>
      </c>
      <c r="BQ370" t="s">
        <v>74</v>
      </c>
      <c r="BR370" t="s">
        <v>105</v>
      </c>
      <c r="BS370" t="s">
        <v>7143</v>
      </c>
      <c r="BT370" t="str">
        <f>HYPERLINK("https%3A%2F%2Fwww.webofscience.com%2Fwos%2Fwoscc%2Ffull-record%2FWOS:000318722600011","View Full Record in Web of Science")</f>
        <v>View Full Record in Web of Science</v>
      </c>
    </row>
    <row r="371" spans="1:72" x14ac:dyDescent="0.15">
      <c r="A371" t="s">
        <v>72</v>
      </c>
      <c r="B371" t="s">
        <v>7144</v>
      </c>
      <c r="C371" t="s">
        <v>74</v>
      </c>
      <c r="D371" t="s">
        <v>74</v>
      </c>
      <c r="E371" t="s">
        <v>74</v>
      </c>
      <c r="F371" t="s">
        <v>7145</v>
      </c>
      <c r="G371" t="s">
        <v>74</v>
      </c>
      <c r="H371" t="s">
        <v>74</v>
      </c>
      <c r="I371" t="s">
        <v>7146</v>
      </c>
      <c r="J371" t="s">
        <v>3345</v>
      </c>
      <c r="K371" t="s">
        <v>74</v>
      </c>
      <c r="L371" t="s">
        <v>74</v>
      </c>
      <c r="M371" t="s">
        <v>78</v>
      </c>
      <c r="N371" t="s">
        <v>79</v>
      </c>
      <c r="O371" t="s">
        <v>74</v>
      </c>
      <c r="P371" t="s">
        <v>74</v>
      </c>
      <c r="Q371" t="s">
        <v>74</v>
      </c>
      <c r="R371" t="s">
        <v>74</v>
      </c>
      <c r="S371" t="s">
        <v>74</v>
      </c>
      <c r="T371" t="s">
        <v>7147</v>
      </c>
      <c r="U371" t="s">
        <v>7148</v>
      </c>
      <c r="V371" t="s">
        <v>7149</v>
      </c>
      <c r="W371" t="s">
        <v>7150</v>
      </c>
      <c r="X371" t="s">
        <v>7151</v>
      </c>
      <c r="Y371" t="s">
        <v>7152</v>
      </c>
      <c r="Z371" t="s">
        <v>7153</v>
      </c>
      <c r="AA371" t="s">
        <v>74</v>
      </c>
      <c r="AB371" t="s">
        <v>7154</v>
      </c>
      <c r="AC371" t="s">
        <v>74</v>
      </c>
      <c r="AD371" t="s">
        <v>74</v>
      </c>
      <c r="AE371" t="s">
        <v>74</v>
      </c>
      <c r="AF371" t="s">
        <v>74</v>
      </c>
      <c r="AG371">
        <v>34</v>
      </c>
      <c r="AH371">
        <v>12</v>
      </c>
      <c r="AI371">
        <v>12</v>
      </c>
      <c r="AJ371">
        <v>3</v>
      </c>
      <c r="AK371">
        <v>46</v>
      </c>
      <c r="AL371" t="s">
        <v>529</v>
      </c>
      <c r="AM371" t="s">
        <v>391</v>
      </c>
      <c r="AN371" t="s">
        <v>1220</v>
      </c>
      <c r="AO371" t="s">
        <v>3358</v>
      </c>
      <c r="AP371" t="s">
        <v>3359</v>
      </c>
      <c r="AQ371" t="s">
        <v>74</v>
      </c>
      <c r="AR371" t="s">
        <v>3360</v>
      </c>
      <c r="AS371" t="s">
        <v>3361</v>
      </c>
      <c r="AT371" t="s">
        <v>5642</v>
      </c>
      <c r="AU371">
        <v>2013</v>
      </c>
      <c r="AV371">
        <v>36</v>
      </c>
      <c r="AW371">
        <v>6</v>
      </c>
      <c r="AX371" t="s">
        <v>74</v>
      </c>
      <c r="AY371" t="s">
        <v>74</v>
      </c>
      <c r="AZ371" t="s">
        <v>74</v>
      </c>
      <c r="BA371" t="s">
        <v>74</v>
      </c>
      <c r="BB371">
        <v>913</v>
      </c>
      <c r="BC371">
        <v>918</v>
      </c>
      <c r="BD371" t="s">
        <v>74</v>
      </c>
      <c r="BE371" t="s">
        <v>7155</v>
      </c>
      <c r="BF371" t="str">
        <f>HYPERLINK("http://dx.doi.org/10.1007/s00300-013-1306-8","http://dx.doi.org/10.1007/s00300-013-1306-8")</f>
        <v>http://dx.doi.org/10.1007/s00300-013-1306-8</v>
      </c>
      <c r="BG371" t="s">
        <v>74</v>
      </c>
      <c r="BH371" t="s">
        <v>74</v>
      </c>
      <c r="BI371">
        <v>6</v>
      </c>
      <c r="BJ371" t="s">
        <v>1158</v>
      </c>
      <c r="BK371" t="s">
        <v>102</v>
      </c>
      <c r="BL371" t="s">
        <v>1159</v>
      </c>
      <c r="BM371" t="s">
        <v>7111</v>
      </c>
      <c r="BN371" t="s">
        <v>74</v>
      </c>
      <c r="BO371" t="s">
        <v>74</v>
      </c>
      <c r="BP371" t="s">
        <v>74</v>
      </c>
      <c r="BQ371" t="s">
        <v>74</v>
      </c>
      <c r="BR371" t="s">
        <v>105</v>
      </c>
      <c r="BS371" t="s">
        <v>7156</v>
      </c>
      <c r="BT371" t="str">
        <f>HYPERLINK("https%3A%2F%2Fwww.webofscience.com%2Fwos%2Fwoscc%2Ffull-record%2FWOS:000318722600015","View Full Record in Web of Science")</f>
        <v>View Full Record in Web of Science</v>
      </c>
    </row>
    <row r="372" spans="1:72" x14ac:dyDescent="0.15">
      <c r="A372" t="s">
        <v>72</v>
      </c>
      <c r="B372" t="s">
        <v>7157</v>
      </c>
      <c r="C372" t="s">
        <v>74</v>
      </c>
      <c r="D372" t="s">
        <v>74</v>
      </c>
      <c r="E372" t="s">
        <v>74</v>
      </c>
      <c r="F372" t="s">
        <v>7158</v>
      </c>
      <c r="G372" t="s">
        <v>74</v>
      </c>
      <c r="H372" t="s">
        <v>74</v>
      </c>
      <c r="I372" t="s">
        <v>7159</v>
      </c>
      <c r="J372" t="s">
        <v>7160</v>
      </c>
      <c r="K372" t="s">
        <v>74</v>
      </c>
      <c r="L372" t="s">
        <v>74</v>
      </c>
      <c r="M372" t="s">
        <v>78</v>
      </c>
      <c r="N372" t="s">
        <v>79</v>
      </c>
      <c r="O372" t="s">
        <v>74</v>
      </c>
      <c r="P372" t="s">
        <v>74</v>
      </c>
      <c r="Q372" t="s">
        <v>74</v>
      </c>
      <c r="R372" t="s">
        <v>74</v>
      </c>
      <c r="S372" t="s">
        <v>74</v>
      </c>
      <c r="T372" t="s">
        <v>7161</v>
      </c>
      <c r="U372" t="s">
        <v>7162</v>
      </c>
      <c r="V372" t="s">
        <v>7163</v>
      </c>
      <c r="W372" t="s">
        <v>7164</v>
      </c>
      <c r="X372" t="s">
        <v>7165</v>
      </c>
      <c r="Y372" t="s">
        <v>7166</v>
      </c>
      <c r="Z372" t="s">
        <v>7167</v>
      </c>
      <c r="AA372" t="s">
        <v>74</v>
      </c>
      <c r="AB372" t="s">
        <v>74</v>
      </c>
      <c r="AC372" t="s">
        <v>7168</v>
      </c>
      <c r="AD372" t="s">
        <v>7169</v>
      </c>
      <c r="AE372" t="s">
        <v>7170</v>
      </c>
      <c r="AF372" t="s">
        <v>74</v>
      </c>
      <c r="AG372">
        <v>41</v>
      </c>
      <c r="AH372">
        <v>11</v>
      </c>
      <c r="AI372">
        <v>20</v>
      </c>
      <c r="AJ372">
        <v>2</v>
      </c>
      <c r="AK372">
        <v>27</v>
      </c>
      <c r="AL372" t="s">
        <v>368</v>
      </c>
      <c r="AM372" t="s">
        <v>369</v>
      </c>
      <c r="AN372" t="s">
        <v>370</v>
      </c>
      <c r="AO372" t="s">
        <v>7171</v>
      </c>
      <c r="AP372" t="s">
        <v>7172</v>
      </c>
      <c r="AQ372" t="s">
        <v>74</v>
      </c>
      <c r="AR372" t="s">
        <v>7173</v>
      </c>
      <c r="AS372" t="s">
        <v>7174</v>
      </c>
      <c r="AT372" t="s">
        <v>5642</v>
      </c>
      <c r="AU372">
        <v>2013</v>
      </c>
      <c r="AV372">
        <v>48</v>
      </c>
      <c r="AW372">
        <v>6</v>
      </c>
      <c r="AX372" t="s">
        <v>74</v>
      </c>
      <c r="AY372" t="s">
        <v>74</v>
      </c>
      <c r="AZ372" t="s">
        <v>74</v>
      </c>
      <c r="BA372" t="s">
        <v>74</v>
      </c>
      <c r="BB372">
        <v>1252</v>
      </c>
      <c r="BC372">
        <v>1259</v>
      </c>
      <c r="BD372" t="s">
        <v>74</v>
      </c>
      <c r="BE372" t="s">
        <v>7175</v>
      </c>
      <c r="BF372" t="str">
        <f>HYPERLINK("http://dx.doi.org/10.1111/ijfs.12084","http://dx.doi.org/10.1111/ijfs.12084")</f>
        <v>http://dx.doi.org/10.1111/ijfs.12084</v>
      </c>
      <c r="BG372" t="s">
        <v>74</v>
      </c>
      <c r="BH372" t="s">
        <v>74</v>
      </c>
      <c r="BI372">
        <v>8</v>
      </c>
      <c r="BJ372" t="s">
        <v>7176</v>
      </c>
      <c r="BK372" t="s">
        <v>102</v>
      </c>
      <c r="BL372" t="s">
        <v>7176</v>
      </c>
      <c r="BM372" t="s">
        <v>7177</v>
      </c>
      <c r="BN372" t="s">
        <v>74</v>
      </c>
      <c r="BO372" t="s">
        <v>74</v>
      </c>
      <c r="BP372" t="s">
        <v>74</v>
      </c>
      <c r="BQ372" t="s">
        <v>74</v>
      </c>
      <c r="BR372" t="s">
        <v>105</v>
      </c>
      <c r="BS372" t="s">
        <v>7178</v>
      </c>
      <c r="BT372" t="str">
        <f>HYPERLINK("https%3A%2F%2Fwww.webofscience.com%2Fwos%2Fwoscc%2Ffull-record%2FWOS:000318637500018","View Full Record in Web of Science")</f>
        <v>View Full Record in Web of Science</v>
      </c>
    </row>
    <row r="373" spans="1:72" x14ac:dyDescent="0.15">
      <c r="A373" t="s">
        <v>72</v>
      </c>
      <c r="B373" t="s">
        <v>7179</v>
      </c>
      <c r="C373" t="s">
        <v>74</v>
      </c>
      <c r="D373" t="s">
        <v>74</v>
      </c>
      <c r="E373" t="s">
        <v>74</v>
      </c>
      <c r="F373" t="s">
        <v>7180</v>
      </c>
      <c r="G373" t="s">
        <v>74</v>
      </c>
      <c r="H373" t="s">
        <v>74</v>
      </c>
      <c r="I373" t="s">
        <v>7181</v>
      </c>
      <c r="J373" t="s">
        <v>7182</v>
      </c>
      <c r="K373" t="s">
        <v>74</v>
      </c>
      <c r="L373" t="s">
        <v>74</v>
      </c>
      <c r="M373" t="s">
        <v>78</v>
      </c>
      <c r="N373" t="s">
        <v>7183</v>
      </c>
      <c r="O373" t="s">
        <v>74</v>
      </c>
      <c r="P373" t="s">
        <v>74</v>
      </c>
      <c r="Q373" t="s">
        <v>74</v>
      </c>
      <c r="R373" t="s">
        <v>74</v>
      </c>
      <c r="S373" t="s">
        <v>74</v>
      </c>
      <c r="T373" t="s">
        <v>74</v>
      </c>
      <c r="U373" t="s">
        <v>74</v>
      </c>
      <c r="V373" t="s">
        <v>74</v>
      </c>
      <c r="W373" t="s">
        <v>7184</v>
      </c>
      <c r="X373" t="s">
        <v>7185</v>
      </c>
      <c r="Y373" t="s">
        <v>7186</v>
      </c>
      <c r="Z373" t="s">
        <v>74</v>
      </c>
      <c r="AA373" t="s">
        <v>74</v>
      </c>
      <c r="AB373" t="s">
        <v>74</v>
      </c>
      <c r="AC373" t="s">
        <v>74</v>
      </c>
      <c r="AD373" t="s">
        <v>74</v>
      </c>
      <c r="AE373" t="s">
        <v>74</v>
      </c>
      <c r="AF373" t="s">
        <v>74</v>
      </c>
      <c r="AG373">
        <v>1</v>
      </c>
      <c r="AH373">
        <v>0</v>
      </c>
      <c r="AI373">
        <v>0</v>
      </c>
      <c r="AJ373">
        <v>0</v>
      </c>
      <c r="AK373">
        <v>0</v>
      </c>
      <c r="AL373" t="s">
        <v>7187</v>
      </c>
      <c r="AM373" t="s">
        <v>7188</v>
      </c>
      <c r="AN373" t="s">
        <v>7189</v>
      </c>
      <c r="AO373" t="s">
        <v>7190</v>
      </c>
      <c r="AP373" t="s">
        <v>7191</v>
      </c>
      <c r="AQ373" t="s">
        <v>74</v>
      </c>
      <c r="AR373" t="s">
        <v>7192</v>
      </c>
      <c r="AS373" t="s">
        <v>7193</v>
      </c>
      <c r="AT373" t="s">
        <v>5642</v>
      </c>
      <c r="AU373">
        <v>2013</v>
      </c>
      <c r="AV373">
        <v>24</v>
      </c>
      <c r="AW373">
        <v>1</v>
      </c>
      <c r="AX373" t="s">
        <v>74</v>
      </c>
      <c r="AY373" t="s">
        <v>74</v>
      </c>
      <c r="AZ373" t="s">
        <v>74</v>
      </c>
      <c r="BA373" t="s">
        <v>74</v>
      </c>
      <c r="BB373">
        <v>171</v>
      </c>
      <c r="BC373">
        <v>172</v>
      </c>
      <c r="BD373" t="s">
        <v>74</v>
      </c>
      <c r="BE373" t="s">
        <v>74</v>
      </c>
      <c r="BF373" t="s">
        <v>74</v>
      </c>
      <c r="BG373" t="s">
        <v>74</v>
      </c>
      <c r="BH373" t="s">
        <v>74</v>
      </c>
      <c r="BI373">
        <v>2</v>
      </c>
      <c r="BJ373" t="s">
        <v>5149</v>
      </c>
      <c r="BK373" t="s">
        <v>5150</v>
      </c>
      <c r="BL373" t="s">
        <v>5151</v>
      </c>
      <c r="BM373" t="s">
        <v>7194</v>
      </c>
      <c r="BN373" t="s">
        <v>74</v>
      </c>
      <c r="BO373" t="s">
        <v>74</v>
      </c>
      <c r="BP373" t="s">
        <v>74</v>
      </c>
      <c r="BQ373" t="s">
        <v>74</v>
      </c>
      <c r="BR373" t="s">
        <v>105</v>
      </c>
      <c r="BS373" t="s">
        <v>7195</v>
      </c>
      <c r="BT373" t="str">
        <f>HYPERLINK("https%3A%2F%2Fwww.webofscience.com%2Fwos%2Fwoscc%2Ffull-record%2FWOS:000318432500018","View Full Record in Web of Science")</f>
        <v>View Full Record in Web of Science</v>
      </c>
    </row>
    <row r="374" spans="1:72" x14ac:dyDescent="0.15">
      <c r="A374" t="s">
        <v>72</v>
      </c>
      <c r="B374" t="s">
        <v>7196</v>
      </c>
      <c r="C374" t="s">
        <v>74</v>
      </c>
      <c r="D374" t="s">
        <v>74</v>
      </c>
      <c r="E374" t="s">
        <v>74</v>
      </c>
      <c r="F374" t="s">
        <v>7197</v>
      </c>
      <c r="G374" t="s">
        <v>74</v>
      </c>
      <c r="H374" t="s">
        <v>74</v>
      </c>
      <c r="I374" t="s">
        <v>7198</v>
      </c>
      <c r="J374" t="s">
        <v>7199</v>
      </c>
      <c r="K374" t="s">
        <v>74</v>
      </c>
      <c r="L374" t="s">
        <v>74</v>
      </c>
      <c r="M374" t="s">
        <v>78</v>
      </c>
      <c r="N374" t="s">
        <v>1459</v>
      </c>
      <c r="O374" t="s">
        <v>74</v>
      </c>
      <c r="P374" t="s">
        <v>74</v>
      </c>
      <c r="Q374" t="s">
        <v>74</v>
      </c>
      <c r="R374" t="s">
        <v>74</v>
      </c>
      <c r="S374" t="s">
        <v>74</v>
      </c>
      <c r="T374" t="s">
        <v>7200</v>
      </c>
      <c r="U374" t="s">
        <v>7201</v>
      </c>
      <c r="V374" t="s">
        <v>7202</v>
      </c>
      <c r="W374" t="s">
        <v>7203</v>
      </c>
      <c r="X374" t="s">
        <v>7204</v>
      </c>
      <c r="Y374" t="s">
        <v>7205</v>
      </c>
      <c r="Z374" t="s">
        <v>7206</v>
      </c>
      <c r="AA374" t="s">
        <v>74</v>
      </c>
      <c r="AB374" t="s">
        <v>74</v>
      </c>
      <c r="AC374" t="s">
        <v>7207</v>
      </c>
      <c r="AD374" t="s">
        <v>7208</v>
      </c>
      <c r="AE374" t="s">
        <v>7209</v>
      </c>
      <c r="AF374" t="s">
        <v>74</v>
      </c>
      <c r="AG374">
        <v>269</v>
      </c>
      <c r="AH374">
        <v>188</v>
      </c>
      <c r="AI374">
        <v>212</v>
      </c>
      <c r="AJ374">
        <v>3</v>
      </c>
      <c r="AK374">
        <v>136</v>
      </c>
      <c r="AL374" t="s">
        <v>1515</v>
      </c>
      <c r="AM374" t="s">
        <v>442</v>
      </c>
      <c r="AN374" t="s">
        <v>1516</v>
      </c>
      <c r="AO374" t="s">
        <v>7210</v>
      </c>
      <c r="AP374" t="s">
        <v>7211</v>
      </c>
      <c r="AQ374" t="s">
        <v>74</v>
      </c>
      <c r="AR374" t="s">
        <v>7212</v>
      </c>
      <c r="AS374" t="s">
        <v>7213</v>
      </c>
      <c r="AT374" t="s">
        <v>5642</v>
      </c>
      <c r="AU374">
        <v>2013</v>
      </c>
      <c r="AV374">
        <v>9</v>
      </c>
      <c r="AW374" t="s">
        <v>74</v>
      </c>
      <c r="AX374" t="s">
        <v>74</v>
      </c>
      <c r="AY374" t="s">
        <v>74</v>
      </c>
      <c r="AZ374" t="s">
        <v>74</v>
      </c>
      <c r="BA374" t="s">
        <v>74</v>
      </c>
      <c r="BB374">
        <v>3</v>
      </c>
      <c r="BC374">
        <v>48</v>
      </c>
      <c r="BD374" t="s">
        <v>74</v>
      </c>
      <c r="BE374" t="s">
        <v>7214</v>
      </c>
      <c r="BF374" t="str">
        <f>HYPERLINK("http://dx.doi.org/10.1016/j.aeolia.2012.08.001","http://dx.doi.org/10.1016/j.aeolia.2012.08.001")</f>
        <v>http://dx.doi.org/10.1016/j.aeolia.2012.08.001</v>
      </c>
      <c r="BG374" t="s">
        <v>74</v>
      </c>
      <c r="BH374" t="s">
        <v>74</v>
      </c>
      <c r="BI374">
        <v>46</v>
      </c>
      <c r="BJ374" t="s">
        <v>7215</v>
      </c>
      <c r="BK374" t="s">
        <v>102</v>
      </c>
      <c r="BL374" t="s">
        <v>7216</v>
      </c>
      <c r="BM374" t="s">
        <v>7217</v>
      </c>
      <c r="BN374" t="s">
        <v>74</v>
      </c>
      <c r="BO374" t="s">
        <v>1014</v>
      </c>
      <c r="BP374" t="s">
        <v>74</v>
      </c>
      <c r="BQ374" t="s">
        <v>74</v>
      </c>
      <c r="BR374" t="s">
        <v>105</v>
      </c>
      <c r="BS374" t="s">
        <v>7218</v>
      </c>
      <c r="BT374" t="str">
        <f>HYPERLINK("https%3A%2F%2Fwww.webofscience.com%2Fwos%2Fwoscc%2Ffull-record%2FWOS:000319632500002","View Full Record in Web of Science")</f>
        <v>View Full Record in Web of Science</v>
      </c>
    </row>
    <row r="375" spans="1:72" x14ac:dyDescent="0.15">
      <c r="A375" t="s">
        <v>72</v>
      </c>
      <c r="B375" t="s">
        <v>7219</v>
      </c>
      <c r="C375" t="s">
        <v>74</v>
      </c>
      <c r="D375" t="s">
        <v>74</v>
      </c>
      <c r="E375" t="s">
        <v>74</v>
      </c>
      <c r="F375" t="s">
        <v>7220</v>
      </c>
      <c r="G375" t="s">
        <v>74</v>
      </c>
      <c r="H375" t="s">
        <v>74</v>
      </c>
      <c r="I375" t="s">
        <v>7221</v>
      </c>
      <c r="J375" t="s">
        <v>7222</v>
      </c>
      <c r="K375" t="s">
        <v>74</v>
      </c>
      <c r="L375" t="s">
        <v>74</v>
      </c>
      <c r="M375" t="s">
        <v>78</v>
      </c>
      <c r="N375" t="s">
        <v>79</v>
      </c>
      <c r="O375" t="s">
        <v>74</v>
      </c>
      <c r="P375" t="s">
        <v>74</v>
      </c>
      <c r="Q375" t="s">
        <v>74</v>
      </c>
      <c r="R375" t="s">
        <v>74</v>
      </c>
      <c r="S375" t="s">
        <v>74</v>
      </c>
      <c r="T375" t="s">
        <v>7223</v>
      </c>
      <c r="U375" t="s">
        <v>7224</v>
      </c>
      <c r="V375" t="s">
        <v>7225</v>
      </c>
      <c r="W375" t="s">
        <v>7226</v>
      </c>
      <c r="X375" t="s">
        <v>147</v>
      </c>
      <c r="Y375" t="s">
        <v>7227</v>
      </c>
      <c r="Z375" t="s">
        <v>7228</v>
      </c>
      <c r="AA375" t="s">
        <v>74</v>
      </c>
      <c r="AB375" t="s">
        <v>7229</v>
      </c>
      <c r="AC375" t="s">
        <v>7230</v>
      </c>
      <c r="AD375" t="s">
        <v>7230</v>
      </c>
      <c r="AE375" t="s">
        <v>7231</v>
      </c>
      <c r="AF375" t="s">
        <v>74</v>
      </c>
      <c r="AG375">
        <v>20</v>
      </c>
      <c r="AH375">
        <v>5</v>
      </c>
      <c r="AI375">
        <v>5</v>
      </c>
      <c r="AJ375">
        <v>0</v>
      </c>
      <c r="AK375">
        <v>19</v>
      </c>
      <c r="AL375" t="s">
        <v>7232</v>
      </c>
      <c r="AM375" t="s">
        <v>7233</v>
      </c>
      <c r="AN375" t="s">
        <v>7234</v>
      </c>
      <c r="AO375" t="s">
        <v>7235</v>
      </c>
      <c r="AP375" t="s">
        <v>7236</v>
      </c>
      <c r="AQ375" t="s">
        <v>74</v>
      </c>
      <c r="AR375" t="s">
        <v>7237</v>
      </c>
      <c r="AS375" t="s">
        <v>7238</v>
      </c>
      <c r="AT375" t="s">
        <v>5642</v>
      </c>
      <c r="AU375">
        <v>2013</v>
      </c>
      <c r="AV375">
        <v>64</v>
      </c>
      <c r="AW375">
        <v>2</v>
      </c>
      <c r="AX375" t="s">
        <v>74</v>
      </c>
      <c r="AY375" t="s">
        <v>74</v>
      </c>
      <c r="AZ375" t="s">
        <v>74</v>
      </c>
      <c r="BA375" t="s">
        <v>74</v>
      </c>
      <c r="BB375">
        <v>274</v>
      </c>
      <c r="BC375">
        <v>279</v>
      </c>
      <c r="BD375" t="s">
        <v>74</v>
      </c>
      <c r="BE375" t="s">
        <v>7239</v>
      </c>
      <c r="BF375" t="str">
        <f>HYPERLINK("http://dx.doi.org/10.5344/ajev.2013.12086","http://dx.doi.org/10.5344/ajev.2013.12086")</f>
        <v>http://dx.doi.org/10.5344/ajev.2013.12086</v>
      </c>
      <c r="BG375" t="s">
        <v>74</v>
      </c>
      <c r="BH375" t="s">
        <v>74</v>
      </c>
      <c r="BI375">
        <v>6</v>
      </c>
      <c r="BJ375" t="s">
        <v>7240</v>
      </c>
      <c r="BK375" t="s">
        <v>102</v>
      </c>
      <c r="BL375" t="s">
        <v>7241</v>
      </c>
      <c r="BM375" t="s">
        <v>7242</v>
      </c>
      <c r="BN375" t="s">
        <v>74</v>
      </c>
      <c r="BO375" t="s">
        <v>74</v>
      </c>
      <c r="BP375" t="s">
        <v>74</v>
      </c>
      <c r="BQ375" t="s">
        <v>74</v>
      </c>
      <c r="BR375" t="s">
        <v>105</v>
      </c>
      <c r="BS375" t="s">
        <v>7243</v>
      </c>
      <c r="BT375" t="str">
        <f>HYPERLINK("https%3A%2F%2Fwww.webofscience.com%2Fwos%2Fwoscc%2Ffull-record%2FWOS:000338924000012","View Full Record in Web of Science")</f>
        <v>View Full Record in Web of Science</v>
      </c>
    </row>
    <row r="376" spans="1:72" x14ac:dyDescent="0.15">
      <c r="A376" t="s">
        <v>72</v>
      </c>
      <c r="B376" t="s">
        <v>7244</v>
      </c>
      <c r="C376" t="s">
        <v>74</v>
      </c>
      <c r="D376" t="s">
        <v>74</v>
      </c>
      <c r="E376" t="s">
        <v>74</v>
      </c>
      <c r="F376" t="s">
        <v>7245</v>
      </c>
      <c r="G376" t="s">
        <v>74</v>
      </c>
      <c r="H376" t="s">
        <v>74</v>
      </c>
      <c r="I376" t="s">
        <v>7246</v>
      </c>
      <c r="J376" t="s">
        <v>797</v>
      </c>
      <c r="K376" t="s">
        <v>74</v>
      </c>
      <c r="L376" t="s">
        <v>74</v>
      </c>
      <c r="M376" t="s">
        <v>78</v>
      </c>
      <c r="N376" t="s">
        <v>991</v>
      </c>
      <c r="O376" t="s">
        <v>74</v>
      </c>
      <c r="P376" t="s">
        <v>74</v>
      </c>
      <c r="Q376" t="s">
        <v>74</v>
      </c>
      <c r="R376" t="s">
        <v>74</v>
      </c>
      <c r="S376" t="s">
        <v>74</v>
      </c>
      <c r="T376" t="s">
        <v>74</v>
      </c>
      <c r="U376" t="s">
        <v>74</v>
      </c>
      <c r="V376" t="s">
        <v>74</v>
      </c>
      <c r="W376" t="s">
        <v>74</v>
      </c>
      <c r="X376" t="s">
        <v>74</v>
      </c>
      <c r="Y376" t="s">
        <v>74</v>
      </c>
      <c r="Z376" t="s">
        <v>74</v>
      </c>
      <c r="AA376" t="s">
        <v>7247</v>
      </c>
      <c r="AB376" t="s">
        <v>74</v>
      </c>
      <c r="AC376" t="s">
        <v>74</v>
      </c>
      <c r="AD376" t="s">
        <v>74</v>
      </c>
      <c r="AE376" t="s">
        <v>74</v>
      </c>
      <c r="AF376" t="s">
        <v>74</v>
      </c>
      <c r="AG376">
        <v>0</v>
      </c>
      <c r="AH376">
        <v>0</v>
      </c>
      <c r="AI376">
        <v>0</v>
      </c>
      <c r="AJ376">
        <v>0</v>
      </c>
      <c r="AK376">
        <v>10</v>
      </c>
      <c r="AL376" t="s">
        <v>390</v>
      </c>
      <c r="AM376" t="s">
        <v>391</v>
      </c>
      <c r="AN376" t="s">
        <v>392</v>
      </c>
      <c r="AO376" t="s">
        <v>806</v>
      </c>
      <c r="AP376" t="s">
        <v>74</v>
      </c>
      <c r="AQ376" t="s">
        <v>74</v>
      </c>
      <c r="AR376" t="s">
        <v>808</v>
      </c>
      <c r="AS376" t="s">
        <v>809</v>
      </c>
      <c r="AT376" t="s">
        <v>5642</v>
      </c>
      <c r="AU376">
        <v>2013</v>
      </c>
      <c r="AV376">
        <v>25</v>
      </c>
      <c r="AW376">
        <v>3</v>
      </c>
      <c r="AX376" t="s">
        <v>74</v>
      </c>
      <c r="AY376" t="s">
        <v>74</v>
      </c>
      <c r="AZ376" t="s">
        <v>74</v>
      </c>
      <c r="BA376" t="s">
        <v>74</v>
      </c>
      <c r="BB376">
        <v>345</v>
      </c>
      <c r="BC376">
        <v>345</v>
      </c>
      <c r="BD376" t="s">
        <v>74</v>
      </c>
      <c r="BE376" t="s">
        <v>7248</v>
      </c>
      <c r="BF376" t="str">
        <f>HYPERLINK("http://dx.doi.org/10.1017/S0954102013000412","http://dx.doi.org/10.1017/S0954102013000412")</f>
        <v>http://dx.doi.org/10.1017/S0954102013000412</v>
      </c>
      <c r="BG376" t="s">
        <v>74</v>
      </c>
      <c r="BH376" t="s">
        <v>74</v>
      </c>
      <c r="BI376">
        <v>1</v>
      </c>
      <c r="BJ376" t="s">
        <v>811</v>
      </c>
      <c r="BK376" t="s">
        <v>102</v>
      </c>
      <c r="BL376" t="s">
        <v>812</v>
      </c>
      <c r="BM376" t="s">
        <v>6874</v>
      </c>
      <c r="BN376" t="s">
        <v>74</v>
      </c>
      <c r="BO376" t="s">
        <v>104</v>
      </c>
      <c r="BP376" t="s">
        <v>74</v>
      </c>
      <c r="BQ376" t="s">
        <v>74</v>
      </c>
      <c r="BR376" t="s">
        <v>105</v>
      </c>
      <c r="BS376" t="s">
        <v>7249</v>
      </c>
      <c r="BT376" t="str">
        <f>HYPERLINK("https%3A%2F%2Fwww.webofscience.com%2Fwos%2Fwoscc%2Ffull-record%2FWOS:000319216500001","View Full Record in Web of Science")</f>
        <v>View Full Record in Web of Science</v>
      </c>
    </row>
    <row r="377" spans="1:72" x14ac:dyDescent="0.15">
      <c r="A377" t="s">
        <v>72</v>
      </c>
      <c r="B377" t="s">
        <v>7250</v>
      </c>
      <c r="C377" t="s">
        <v>74</v>
      </c>
      <c r="D377" t="s">
        <v>74</v>
      </c>
      <c r="E377" t="s">
        <v>74</v>
      </c>
      <c r="F377" t="s">
        <v>7251</v>
      </c>
      <c r="G377" t="s">
        <v>74</v>
      </c>
      <c r="H377" t="s">
        <v>74</v>
      </c>
      <c r="I377" t="s">
        <v>7252</v>
      </c>
      <c r="J377" t="s">
        <v>797</v>
      </c>
      <c r="K377" t="s">
        <v>74</v>
      </c>
      <c r="L377" t="s">
        <v>74</v>
      </c>
      <c r="M377" t="s">
        <v>78</v>
      </c>
      <c r="N377" t="s">
        <v>79</v>
      </c>
      <c r="O377" t="s">
        <v>74</v>
      </c>
      <c r="P377" t="s">
        <v>74</v>
      </c>
      <c r="Q377" t="s">
        <v>74</v>
      </c>
      <c r="R377" t="s">
        <v>74</v>
      </c>
      <c r="S377" t="s">
        <v>74</v>
      </c>
      <c r="T377" t="s">
        <v>74</v>
      </c>
      <c r="U377" t="s">
        <v>7253</v>
      </c>
      <c r="V377" t="s">
        <v>74</v>
      </c>
      <c r="W377" t="s">
        <v>7254</v>
      </c>
      <c r="X377" t="s">
        <v>7255</v>
      </c>
      <c r="Y377" t="s">
        <v>7256</v>
      </c>
      <c r="Z377" t="s">
        <v>7257</v>
      </c>
      <c r="AA377" t="s">
        <v>7258</v>
      </c>
      <c r="AB377" t="s">
        <v>7259</v>
      </c>
      <c r="AC377" t="s">
        <v>7260</v>
      </c>
      <c r="AD377" t="s">
        <v>7261</v>
      </c>
      <c r="AE377" t="s">
        <v>7262</v>
      </c>
      <c r="AF377" t="s">
        <v>74</v>
      </c>
      <c r="AG377">
        <v>15</v>
      </c>
      <c r="AH377">
        <v>32</v>
      </c>
      <c r="AI377">
        <v>33</v>
      </c>
      <c r="AJ377">
        <v>0</v>
      </c>
      <c r="AK377">
        <v>19</v>
      </c>
      <c r="AL377" t="s">
        <v>390</v>
      </c>
      <c r="AM377" t="s">
        <v>391</v>
      </c>
      <c r="AN377" t="s">
        <v>392</v>
      </c>
      <c r="AO377" t="s">
        <v>806</v>
      </c>
      <c r="AP377" t="s">
        <v>807</v>
      </c>
      <c r="AQ377" t="s">
        <v>74</v>
      </c>
      <c r="AR377" t="s">
        <v>808</v>
      </c>
      <c r="AS377" t="s">
        <v>809</v>
      </c>
      <c r="AT377" t="s">
        <v>5642</v>
      </c>
      <c r="AU377">
        <v>2013</v>
      </c>
      <c r="AV377">
        <v>25</v>
      </c>
      <c r="AW377">
        <v>3</v>
      </c>
      <c r="AX377" t="s">
        <v>74</v>
      </c>
      <c r="AY377" t="s">
        <v>74</v>
      </c>
      <c r="AZ377" t="s">
        <v>74</v>
      </c>
      <c r="BA377" t="s">
        <v>74</v>
      </c>
      <c r="BB377">
        <v>385</v>
      </c>
      <c r="BC377">
        <v>386</v>
      </c>
      <c r="BD377" t="s">
        <v>74</v>
      </c>
      <c r="BE377" t="s">
        <v>7263</v>
      </c>
      <c r="BF377" t="str">
        <f>HYPERLINK("http://dx.doi.org/10.1017/S0954102012000958","http://dx.doi.org/10.1017/S0954102012000958")</f>
        <v>http://dx.doi.org/10.1017/S0954102012000958</v>
      </c>
      <c r="BG377" t="s">
        <v>74</v>
      </c>
      <c r="BH377" t="s">
        <v>74</v>
      </c>
      <c r="BI377">
        <v>2</v>
      </c>
      <c r="BJ377" t="s">
        <v>811</v>
      </c>
      <c r="BK377" t="s">
        <v>102</v>
      </c>
      <c r="BL377" t="s">
        <v>812</v>
      </c>
      <c r="BM377" t="s">
        <v>6874</v>
      </c>
      <c r="BN377" t="s">
        <v>74</v>
      </c>
      <c r="BO377" t="s">
        <v>74</v>
      </c>
      <c r="BP377" t="s">
        <v>74</v>
      </c>
      <c r="BQ377" t="s">
        <v>74</v>
      </c>
      <c r="BR377" t="s">
        <v>105</v>
      </c>
      <c r="BS377" t="s">
        <v>7264</v>
      </c>
      <c r="BT377" t="str">
        <f>HYPERLINK("https%3A%2F%2Fwww.webofscience.com%2Fwos%2Fwoscc%2Ffull-record%2FWOS:000319216500006","View Full Record in Web of Science")</f>
        <v>View Full Record in Web of Science</v>
      </c>
    </row>
    <row r="378" spans="1:72" x14ac:dyDescent="0.15">
      <c r="A378" t="s">
        <v>72</v>
      </c>
      <c r="B378" t="s">
        <v>7265</v>
      </c>
      <c r="C378" t="s">
        <v>74</v>
      </c>
      <c r="D378" t="s">
        <v>74</v>
      </c>
      <c r="E378" t="s">
        <v>74</v>
      </c>
      <c r="F378" t="s">
        <v>7266</v>
      </c>
      <c r="G378" t="s">
        <v>74</v>
      </c>
      <c r="H378" t="s">
        <v>74</v>
      </c>
      <c r="I378" t="s">
        <v>7267</v>
      </c>
      <c r="J378" t="s">
        <v>797</v>
      </c>
      <c r="K378" t="s">
        <v>74</v>
      </c>
      <c r="L378" t="s">
        <v>74</v>
      </c>
      <c r="M378" t="s">
        <v>78</v>
      </c>
      <c r="N378" t="s">
        <v>79</v>
      </c>
      <c r="O378" t="s">
        <v>74</v>
      </c>
      <c r="P378" t="s">
        <v>74</v>
      </c>
      <c r="Q378" t="s">
        <v>74</v>
      </c>
      <c r="R378" t="s">
        <v>74</v>
      </c>
      <c r="S378" t="s">
        <v>74</v>
      </c>
      <c r="T378" t="s">
        <v>7268</v>
      </c>
      <c r="U378" t="s">
        <v>7269</v>
      </c>
      <c r="V378" t="s">
        <v>7270</v>
      </c>
      <c r="W378" t="s">
        <v>7271</v>
      </c>
      <c r="X378" t="s">
        <v>7272</v>
      </c>
      <c r="Y378" t="s">
        <v>7273</v>
      </c>
      <c r="Z378" t="s">
        <v>7274</v>
      </c>
      <c r="AA378" t="s">
        <v>7275</v>
      </c>
      <c r="AB378" t="s">
        <v>7276</v>
      </c>
      <c r="AC378" t="s">
        <v>7277</v>
      </c>
      <c r="AD378" t="s">
        <v>7278</v>
      </c>
      <c r="AE378" t="s">
        <v>7279</v>
      </c>
      <c r="AF378" t="s">
        <v>74</v>
      </c>
      <c r="AG378">
        <v>38</v>
      </c>
      <c r="AH378">
        <v>15</v>
      </c>
      <c r="AI378">
        <v>15</v>
      </c>
      <c r="AJ378">
        <v>0</v>
      </c>
      <c r="AK378">
        <v>39</v>
      </c>
      <c r="AL378" t="s">
        <v>390</v>
      </c>
      <c r="AM378" t="s">
        <v>391</v>
      </c>
      <c r="AN378" t="s">
        <v>392</v>
      </c>
      <c r="AO378" t="s">
        <v>806</v>
      </c>
      <c r="AP378" t="s">
        <v>807</v>
      </c>
      <c r="AQ378" t="s">
        <v>74</v>
      </c>
      <c r="AR378" t="s">
        <v>808</v>
      </c>
      <c r="AS378" t="s">
        <v>809</v>
      </c>
      <c r="AT378" t="s">
        <v>5642</v>
      </c>
      <c r="AU378">
        <v>2013</v>
      </c>
      <c r="AV378">
        <v>25</v>
      </c>
      <c r="AW378">
        <v>3</v>
      </c>
      <c r="AX378" t="s">
        <v>74</v>
      </c>
      <c r="AY378" t="s">
        <v>74</v>
      </c>
      <c r="AZ378" t="s">
        <v>74</v>
      </c>
      <c r="BA378" t="s">
        <v>74</v>
      </c>
      <c r="BB378">
        <v>389</v>
      </c>
      <c r="BC378">
        <v>396</v>
      </c>
      <c r="BD378" t="s">
        <v>74</v>
      </c>
      <c r="BE378" t="s">
        <v>7280</v>
      </c>
      <c r="BF378" t="str">
        <f>HYPERLINK("http://dx.doi.org/10.1017/S0954102012001071","http://dx.doi.org/10.1017/S0954102012001071")</f>
        <v>http://dx.doi.org/10.1017/S0954102012001071</v>
      </c>
      <c r="BG378" t="s">
        <v>74</v>
      </c>
      <c r="BH378" t="s">
        <v>74</v>
      </c>
      <c r="BI378">
        <v>8</v>
      </c>
      <c r="BJ378" t="s">
        <v>811</v>
      </c>
      <c r="BK378" t="s">
        <v>102</v>
      </c>
      <c r="BL378" t="s">
        <v>812</v>
      </c>
      <c r="BM378" t="s">
        <v>6874</v>
      </c>
      <c r="BN378" t="s">
        <v>74</v>
      </c>
      <c r="BO378" t="s">
        <v>74</v>
      </c>
      <c r="BP378" t="s">
        <v>74</v>
      </c>
      <c r="BQ378" t="s">
        <v>74</v>
      </c>
      <c r="BR378" t="s">
        <v>105</v>
      </c>
      <c r="BS378" t="s">
        <v>7281</v>
      </c>
      <c r="BT378" t="str">
        <f>HYPERLINK("https%3A%2F%2Fwww.webofscience.com%2Fwos%2Fwoscc%2Ffull-record%2FWOS:000319216500008","View Full Record in Web of Science")</f>
        <v>View Full Record in Web of Science</v>
      </c>
    </row>
    <row r="379" spans="1:72" x14ac:dyDescent="0.15">
      <c r="A379" t="s">
        <v>72</v>
      </c>
      <c r="B379" t="s">
        <v>7282</v>
      </c>
      <c r="C379" t="s">
        <v>74</v>
      </c>
      <c r="D379" t="s">
        <v>74</v>
      </c>
      <c r="E379" t="s">
        <v>74</v>
      </c>
      <c r="F379" t="s">
        <v>7283</v>
      </c>
      <c r="G379" t="s">
        <v>74</v>
      </c>
      <c r="H379" t="s">
        <v>74</v>
      </c>
      <c r="I379" t="s">
        <v>7284</v>
      </c>
      <c r="J379" t="s">
        <v>797</v>
      </c>
      <c r="K379" t="s">
        <v>74</v>
      </c>
      <c r="L379" t="s">
        <v>74</v>
      </c>
      <c r="M379" t="s">
        <v>78</v>
      </c>
      <c r="N379" t="s">
        <v>79</v>
      </c>
      <c r="O379" t="s">
        <v>74</v>
      </c>
      <c r="P379" t="s">
        <v>74</v>
      </c>
      <c r="Q379" t="s">
        <v>74</v>
      </c>
      <c r="R379" t="s">
        <v>74</v>
      </c>
      <c r="S379" t="s">
        <v>74</v>
      </c>
      <c r="T379" t="s">
        <v>7285</v>
      </c>
      <c r="U379" t="s">
        <v>7286</v>
      </c>
      <c r="V379" t="s">
        <v>7287</v>
      </c>
      <c r="W379" t="s">
        <v>7288</v>
      </c>
      <c r="X379" t="s">
        <v>7289</v>
      </c>
      <c r="Y379" t="s">
        <v>7290</v>
      </c>
      <c r="Z379" t="s">
        <v>7291</v>
      </c>
      <c r="AA379" t="s">
        <v>7292</v>
      </c>
      <c r="AB379" t="s">
        <v>7293</v>
      </c>
      <c r="AC379" t="s">
        <v>7294</v>
      </c>
      <c r="AD379" t="s">
        <v>7295</v>
      </c>
      <c r="AE379" t="s">
        <v>7296</v>
      </c>
      <c r="AF379" t="s">
        <v>74</v>
      </c>
      <c r="AG379">
        <v>40</v>
      </c>
      <c r="AH379">
        <v>20</v>
      </c>
      <c r="AI379">
        <v>20</v>
      </c>
      <c r="AJ379">
        <v>3</v>
      </c>
      <c r="AK379">
        <v>48</v>
      </c>
      <c r="AL379" t="s">
        <v>390</v>
      </c>
      <c r="AM379" t="s">
        <v>391</v>
      </c>
      <c r="AN379" t="s">
        <v>392</v>
      </c>
      <c r="AO379" t="s">
        <v>806</v>
      </c>
      <c r="AP379" t="s">
        <v>807</v>
      </c>
      <c r="AQ379" t="s">
        <v>74</v>
      </c>
      <c r="AR379" t="s">
        <v>808</v>
      </c>
      <c r="AS379" t="s">
        <v>809</v>
      </c>
      <c r="AT379" t="s">
        <v>5642</v>
      </c>
      <c r="AU379">
        <v>2013</v>
      </c>
      <c r="AV379">
        <v>25</v>
      </c>
      <c r="AW379">
        <v>3</v>
      </c>
      <c r="AX379" t="s">
        <v>74</v>
      </c>
      <c r="AY379" t="s">
        <v>74</v>
      </c>
      <c r="AZ379" t="s">
        <v>74</v>
      </c>
      <c r="BA379" t="s">
        <v>74</v>
      </c>
      <c r="BB379">
        <v>445</v>
      </c>
      <c r="BC379">
        <v>456</v>
      </c>
      <c r="BD379" t="s">
        <v>74</v>
      </c>
      <c r="BE379" t="s">
        <v>7297</v>
      </c>
      <c r="BF379" t="str">
        <f>HYPERLINK("http://dx.doi.org/10.1017/S0954102012000892","http://dx.doi.org/10.1017/S0954102012000892")</f>
        <v>http://dx.doi.org/10.1017/S0954102012000892</v>
      </c>
      <c r="BG379" t="s">
        <v>74</v>
      </c>
      <c r="BH379" t="s">
        <v>74</v>
      </c>
      <c r="BI379">
        <v>12</v>
      </c>
      <c r="BJ379" t="s">
        <v>811</v>
      </c>
      <c r="BK379" t="s">
        <v>102</v>
      </c>
      <c r="BL379" t="s">
        <v>812</v>
      </c>
      <c r="BM379" t="s">
        <v>6874</v>
      </c>
      <c r="BN379" t="s">
        <v>74</v>
      </c>
      <c r="BO379" t="s">
        <v>1202</v>
      </c>
      <c r="BP379" t="s">
        <v>74</v>
      </c>
      <c r="BQ379" t="s">
        <v>74</v>
      </c>
      <c r="BR379" t="s">
        <v>105</v>
      </c>
      <c r="BS379" t="s">
        <v>7298</v>
      </c>
      <c r="BT379" t="str">
        <f>HYPERLINK("https%3A%2F%2Fwww.webofscience.com%2Fwos%2Fwoscc%2Ffull-record%2FWOS:000319216500013","View Full Record in Web of Science")</f>
        <v>View Full Record in Web of Science</v>
      </c>
    </row>
    <row r="380" spans="1:72" x14ac:dyDescent="0.15">
      <c r="A380" t="s">
        <v>72</v>
      </c>
      <c r="B380" t="s">
        <v>7299</v>
      </c>
      <c r="C380" t="s">
        <v>74</v>
      </c>
      <c r="D380" t="s">
        <v>74</v>
      </c>
      <c r="E380" t="s">
        <v>74</v>
      </c>
      <c r="F380" t="s">
        <v>7300</v>
      </c>
      <c r="G380" t="s">
        <v>74</v>
      </c>
      <c r="H380" t="s">
        <v>74</v>
      </c>
      <c r="I380" t="s">
        <v>7301</v>
      </c>
      <c r="J380" t="s">
        <v>7302</v>
      </c>
      <c r="K380" t="s">
        <v>74</v>
      </c>
      <c r="L380" t="s">
        <v>74</v>
      </c>
      <c r="M380" t="s">
        <v>78</v>
      </c>
      <c r="N380" t="s">
        <v>79</v>
      </c>
      <c r="O380" t="s">
        <v>74</v>
      </c>
      <c r="P380" t="s">
        <v>74</v>
      </c>
      <c r="Q380" t="s">
        <v>74</v>
      </c>
      <c r="R380" t="s">
        <v>74</v>
      </c>
      <c r="S380" t="s">
        <v>74</v>
      </c>
      <c r="T380" t="s">
        <v>7303</v>
      </c>
      <c r="U380" t="s">
        <v>7304</v>
      </c>
      <c r="V380" t="s">
        <v>7305</v>
      </c>
      <c r="W380" t="s">
        <v>7306</v>
      </c>
      <c r="X380" t="s">
        <v>7307</v>
      </c>
      <c r="Y380" t="s">
        <v>7308</v>
      </c>
      <c r="Z380" t="s">
        <v>7309</v>
      </c>
      <c r="AA380" t="s">
        <v>74</v>
      </c>
      <c r="AB380" t="s">
        <v>74</v>
      </c>
      <c r="AC380" t="s">
        <v>7310</v>
      </c>
      <c r="AD380" t="s">
        <v>7311</v>
      </c>
      <c r="AE380" t="s">
        <v>7312</v>
      </c>
      <c r="AF380" t="s">
        <v>74</v>
      </c>
      <c r="AG380">
        <v>49</v>
      </c>
      <c r="AH380">
        <v>64</v>
      </c>
      <c r="AI380">
        <v>73</v>
      </c>
      <c r="AJ380">
        <v>1</v>
      </c>
      <c r="AK380">
        <v>54</v>
      </c>
      <c r="AL380" t="s">
        <v>529</v>
      </c>
      <c r="AM380" t="s">
        <v>1151</v>
      </c>
      <c r="AN380" t="s">
        <v>1152</v>
      </c>
      <c r="AO380" t="s">
        <v>7313</v>
      </c>
      <c r="AP380" t="s">
        <v>7314</v>
      </c>
      <c r="AQ380" t="s">
        <v>74</v>
      </c>
      <c r="AR380" t="s">
        <v>7315</v>
      </c>
      <c r="AS380" t="s">
        <v>7316</v>
      </c>
      <c r="AT380" t="s">
        <v>5642</v>
      </c>
      <c r="AU380">
        <v>2013</v>
      </c>
      <c r="AV380">
        <v>103</v>
      </c>
      <c r="AW380">
        <v>6</v>
      </c>
      <c r="AX380" t="s">
        <v>74</v>
      </c>
      <c r="AY380" t="s">
        <v>74</v>
      </c>
      <c r="AZ380" t="s">
        <v>74</v>
      </c>
      <c r="BA380" t="s">
        <v>74</v>
      </c>
      <c r="BB380">
        <v>1309</v>
      </c>
      <c r="BC380">
        <v>1319</v>
      </c>
      <c r="BD380" t="s">
        <v>74</v>
      </c>
      <c r="BE380" t="s">
        <v>7317</v>
      </c>
      <c r="BF380" t="str">
        <f>HYPERLINK("http://dx.doi.org/10.1007/s10482-013-9912-6","http://dx.doi.org/10.1007/s10482-013-9912-6")</f>
        <v>http://dx.doi.org/10.1007/s10482-013-9912-6</v>
      </c>
      <c r="BG380" t="s">
        <v>74</v>
      </c>
      <c r="BH380" t="s">
        <v>74</v>
      </c>
      <c r="BI380">
        <v>11</v>
      </c>
      <c r="BJ380" t="s">
        <v>3107</v>
      </c>
      <c r="BK380" t="s">
        <v>102</v>
      </c>
      <c r="BL380" t="s">
        <v>3107</v>
      </c>
      <c r="BM380" t="s">
        <v>7318</v>
      </c>
      <c r="BN380">
        <v>23539199</v>
      </c>
      <c r="BO380" t="s">
        <v>74</v>
      </c>
      <c r="BP380" t="s">
        <v>74</v>
      </c>
      <c r="BQ380" t="s">
        <v>74</v>
      </c>
      <c r="BR380" t="s">
        <v>105</v>
      </c>
      <c r="BS380" t="s">
        <v>7319</v>
      </c>
      <c r="BT380" t="str">
        <f>HYPERLINK("https%3A%2F%2Fwww.webofscience.com%2Fwos%2Fwoscc%2Ffull-record%2FWOS:000319269200012","View Full Record in Web of Science")</f>
        <v>View Full Record in Web of Science</v>
      </c>
    </row>
    <row r="381" spans="1:72" x14ac:dyDescent="0.15">
      <c r="A381" t="s">
        <v>72</v>
      </c>
      <c r="B381" t="s">
        <v>7320</v>
      </c>
      <c r="C381" t="s">
        <v>74</v>
      </c>
      <c r="D381" t="s">
        <v>74</v>
      </c>
      <c r="E381" t="s">
        <v>74</v>
      </c>
      <c r="F381" t="s">
        <v>7321</v>
      </c>
      <c r="G381" t="s">
        <v>74</v>
      </c>
      <c r="H381" t="s">
        <v>74</v>
      </c>
      <c r="I381" t="s">
        <v>7322</v>
      </c>
      <c r="J381" t="s">
        <v>7323</v>
      </c>
      <c r="K381" t="s">
        <v>74</v>
      </c>
      <c r="L381" t="s">
        <v>74</v>
      </c>
      <c r="M381" t="s">
        <v>78</v>
      </c>
      <c r="N381" t="s">
        <v>79</v>
      </c>
      <c r="O381" t="s">
        <v>74</v>
      </c>
      <c r="P381" t="s">
        <v>74</v>
      </c>
      <c r="Q381" t="s">
        <v>74</v>
      </c>
      <c r="R381" t="s">
        <v>74</v>
      </c>
      <c r="S381" t="s">
        <v>74</v>
      </c>
      <c r="T381" t="s">
        <v>7324</v>
      </c>
      <c r="U381" t="s">
        <v>7325</v>
      </c>
      <c r="V381" t="s">
        <v>7326</v>
      </c>
      <c r="W381" t="s">
        <v>7327</v>
      </c>
      <c r="X381" t="s">
        <v>2480</v>
      </c>
      <c r="Y381" t="s">
        <v>7328</v>
      </c>
      <c r="Z381" t="s">
        <v>7329</v>
      </c>
      <c r="AA381" t="s">
        <v>7330</v>
      </c>
      <c r="AB381" t="s">
        <v>7331</v>
      </c>
      <c r="AC381" t="s">
        <v>7332</v>
      </c>
      <c r="AD381" t="s">
        <v>7333</v>
      </c>
      <c r="AE381" t="s">
        <v>7334</v>
      </c>
      <c r="AF381" t="s">
        <v>74</v>
      </c>
      <c r="AG381">
        <v>67</v>
      </c>
      <c r="AH381">
        <v>44</v>
      </c>
      <c r="AI381">
        <v>47</v>
      </c>
      <c r="AJ381">
        <v>1</v>
      </c>
      <c r="AK381">
        <v>45</v>
      </c>
      <c r="AL381" t="s">
        <v>154</v>
      </c>
      <c r="AM381" t="s">
        <v>155</v>
      </c>
      <c r="AN381" t="s">
        <v>156</v>
      </c>
      <c r="AO381" t="s">
        <v>7335</v>
      </c>
      <c r="AP381" t="s">
        <v>74</v>
      </c>
      <c r="AQ381" t="s">
        <v>74</v>
      </c>
      <c r="AR381" t="s">
        <v>7323</v>
      </c>
      <c r="AS381" t="s">
        <v>7336</v>
      </c>
      <c r="AT381" t="s">
        <v>5999</v>
      </c>
      <c r="AU381">
        <v>2013</v>
      </c>
      <c r="AV381">
        <v>396</v>
      </c>
      <c r="AW381" t="s">
        <v>74</v>
      </c>
      <c r="AX381" t="s">
        <v>74</v>
      </c>
      <c r="AY381" t="s">
        <v>74</v>
      </c>
      <c r="AZ381" t="s">
        <v>74</v>
      </c>
      <c r="BA381" t="s">
        <v>74</v>
      </c>
      <c r="BB381">
        <v>51</v>
      </c>
      <c r="BC381">
        <v>58</v>
      </c>
      <c r="BD381" t="s">
        <v>74</v>
      </c>
      <c r="BE381" t="s">
        <v>7337</v>
      </c>
      <c r="BF381" t="str">
        <f>HYPERLINK("http://dx.doi.org/10.1016/j.aquaculture.2013.02.027","http://dx.doi.org/10.1016/j.aquaculture.2013.02.027")</f>
        <v>http://dx.doi.org/10.1016/j.aquaculture.2013.02.027</v>
      </c>
      <c r="BG381" t="s">
        <v>74</v>
      </c>
      <c r="BH381" t="s">
        <v>74</v>
      </c>
      <c r="BI381">
        <v>8</v>
      </c>
      <c r="BJ381" t="s">
        <v>487</v>
      </c>
      <c r="BK381" t="s">
        <v>102</v>
      </c>
      <c r="BL381" t="s">
        <v>487</v>
      </c>
      <c r="BM381" t="s">
        <v>7338</v>
      </c>
      <c r="BN381" t="s">
        <v>74</v>
      </c>
      <c r="BO381" t="s">
        <v>74</v>
      </c>
      <c r="BP381" t="s">
        <v>74</v>
      </c>
      <c r="BQ381" t="s">
        <v>74</v>
      </c>
      <c r="BR381" t="s">
        <v>105</v>
      </c>
      <c r="BS381" t="s">
        <v>7339</v>
      </c>
      <c r="BT381" t="str">
        <f>HYPERLINK("https%3A%2F%2Fwww.webofscience.com%2Fwos%2Fwoscc%2Ffull-record%2FWOS:000318553500009","View Full Record in Web of Science")</f>
        <v>View Full Record in Web of Science</v>
      </c>
    </row>
    <row r="382" spans="1:72" x14ac:dyDescent="0.15">
      <c r="A382" t="s">
        <v>72</v>
      </c>
      <c r="B382" t="s">
        <v>7340</v>
      </c>
      <c r="C382" t="s">
        <v>74</v>
      </c>
      <c r="D382" t="s">
        <v>74</v>
      </c>
      <c r="E382" t="s">
        <v>74</v>
      </c>
      <c r="F382" t="s">
        <v>7341</v>
      </c>
      <c r="G382" t="s">
        <v>74</v>
      </c>
      <c r="H382" t="s">
        <v>74</v>
      </c>
      <c r="I382" t="s">
        <v>7342</v>
      </c>
      <c r="J382" t="s">
        <v>7343</v>
      </c>
      <c r="K382" t="s">
        <v>74</v>
      </c>
      <c r="L382" t="s">
        <v>74</v>
      </c>
      <c r="M382" t="s">
        <v>78</v>
      </c>
      <c r="N382" t="s">
        <v>79</v>
      </c>
      <c r="O382" t="s">
        <v>74</v>
      </c>
      <c r="P382" t="s">
        <v>74</v>
      </c>
      <c r="Q382" t="s">
        <v>74</v>
      </c>
      <c r="R382" t="s">
        <v>74</v>
      </c>
      <c r="S382" t="s">
        <v>74</v>
      </c>
      <c r="T382" t="s">
        <v>7344</v>
      </c>
      <c r="U382" t="s">
        <v>7345</v>
      </c>
      <c r="V382" t="s">
        <v>7346</v>
      </c>
      <c r="W382" t="s">
        <v>7347</v>
      </c>
      <c r="X382" t="s">
        <v>7348</v>
      </c>
      <c r="Y382" t="s">
        <v>7349</v>
      </c>
      <c r="Z382" t="s">
        <v>7350</v>
      </c>
      <c r="AA382" t="s">
        <v>7351</v>
      </c>
      <c r="AB382" t="s">
        <v>7352</v>
      </c>
      <c r="AC382" t="s">
        <v>7353</v>
      </c>
      <c r="AD382" t="s">
        <v>7354</v>
      </c>
      <c r="AE382" t="s">
        <v>7355</v>
      </c>
      <c r="AF382" t="s">
        <v>74</v>
      </c>
      <c r="AG382">
        <v>19</v>
      </c>
      <c r="AH382">
        <v>49</v>
      </c>
      <c r="AI382">
        <v>52</v>
      </c>
      <c r="AJ382">
        <v>0</v>
      </c>
      <c r="AK382">
        <v>47</v>
      </c>
      <c r="AL382" t="s">
        <v>7356</v>
      </c>
      <c r="AM382" t="s">
        <v>7357</v>
      </c>
      <c r="AN382" t="s">
        <v>7358</v>
      </c>
      <c r="AO382" t="s">
        <v>7359</v>
      </c>
      <c r="AP382" t="s">
        <v>7360</v>
      </c>
      <c r="AQ382" t="s">
        <v>74</v>
      </c>
      <c r="AR382" t="s">
        <v>7343</v>
      </c>
      <c r="AS382" t="s">
        <v>7361</v>
      </c>
      <c r="AT382" t="s">
        <v>5642</v>
      </c>
      <c r="AU382">
        <v>2013</v>
      </c>
      <c r="AV382">
        <v>13</v>
      </c>
      <c r="AW382">
        <v>6</v>
      </c>
      <c r="AX382" t="s">
        <v>74</v>
      </c>
      <c r="AY382" t="s">
        <v>74</v>
      </c>
      <c r="AZ382" t="s">
        <v>74</v>
      </c>
      <c r="BA382" t="s">
        <v>74</v>
      </c>
      <c r="BB382">
        <v>543</v>
      </c>
      <c r="BC382">
        <v>549</v>
      </c>
      <c r="BD382" t="s">
        <v>74</v>
      </c>
      <c r="BE382" t="s">
        <v>7362</v>
      </c>
      <c r="BF382" t="str">
        <f>HYPERLINK("http://dx.doi.org/10.1089/ast.2012.0872","http://dx.doi.org/10.1089/ast.2012.0872")</f>
        <v>http://dx.doi.org/10.1089/ast.2012.0872</v>
      </c>
      <c r="BG382" t="s">
        <v>74</v>
      </c>
      <c r="BH382" t="s">
        <v>74</v>
      </c>
      <c r="BI382">
        <v>7</v>
      </c>
      <c r="BJ382" t="s">
        <v>7363</v>
      </c>
      <c r="BK382" t="s">
        <v>102</v>
      </c>
      <c r="BL382" t="s">
        <v>7364</v>
      </c>
      <c r="BM382" t="s">
        <v>7365</v>
      </c>
      <c r="BN382">
        <v>23758166</v>
      </c>
      <c r="BO382" t="s">
        <v>5030</v>
      </c>
      <c r="BP382" t="s">
        <v>74</v>
      </c>
      <c r="BQ382" t="s">
        <v>74</v>
      </c>
      <c r="BR382" t="s">
        <v>105</v>
      </c>
      <c r="BS382" t="s">
        <v>7366</v>
      </c>
      <c r="BT382" t="str">
        <f>HYPERLINK("https%3A%2F%2Fwww.webofscience.com%2Fwos%2Fwoscc%2Ffull-record%2FWOS:000320707500004","View Full Record in Web of Science")</f>
        <v>View Full Record in Web of Science</v>
      </c>
    </row>
    <row r="383" spans="1:72" x14ac:dyDescent="0.15">
      <c r="A383" t="s">
        <v>72</v>
      </c>
      <c r="B383" t="s">
        <v>7367</v>
      </c>
      <c r="C383" t="s">
        <v>74</v>
      </c>
      <c r="D383" t="s">
        <v>74</v>
      </c>
      <c r="E383" t="s">
        <v>74</v>
      </c>
      <c r="F383" t="s">
        <v>7368</v>
      </c>
      <c r="G383" t="s">
        <v>74</v>
      </c>
      <c r="H383" t="s">
        <v>74</v>
      </c>
      <c r="I383" t="s">
        <v>7369</v>
      </c>
      <c r="J383" t="s">
        <v>5929</v>
      </c>
      <c r="K383" t="s">
        <v>74</v>
      </c>
      <c r="L383" t="s">
        <v>74</v>
      </c>
      <c r="M383" t="s">
        <v>78</v>
      </c>
      <c r="N383" t="s">
        <v>79</v>
      </c>
      <c r="O383" t="s">
        <v>74</v>
      </c>
      <c r="P383" t="s">
        <v>74</v>
      </c>
      <c r="Q383" t="s">
        <v>74</v>
      </c>
      <c r="R383" t="s">
        <v>74</v>
      </c>
      <c r="S383" t="s">
        <v>74</v>
      </c>
      <c r="T383" t="s">
        <v>7370</v>
      </c>
      <c r="U383" t="s">
        <v>7371</v>
      </c>
      <c r="V383" t="s">
        <v>7372</v>
      </c>
      <c r="W383" t="s">
        <v>7373</v>
      </c>
      <c r="X383" t="s">
        <v>7374</v>
      </c>
      <c r="Y383" t="s">
        <v>7375</v>
      </c>
      <c r="Z383" t="s">
        <v>7376</v>
      </c>
      <c r="AA383" t="s">
        <v>7377</v>
      </c>
      <c r="AB383" t="s">
        <v>7378</v>
      </c>
      <c r="AC383" t="s">
        <v>7379</v>
      </c>
      <c r="AD383" t="s">
        <v>7380</v>
      </c>
      <c r="AE383" t="s">
        <v>7381</v>
      </c>
      <c r="AF383" t="s">
        <v>74</v>
      </c>
      <c r="AG383">
        <v>60</v>
      </c>
      <c r="AH383">
        <v>41</v>
      </c>
      <c r="AI383">
        <v>43</v>
      </c>
      <c r="AJ383">
        <v>1</v>
      </c>
      <c r="AK383">
        <v>31</v>
      </c>
      <c r="AL383" t="s">
        <v>529</v>
      </c>
      <c r="AM383" t="s">
        <v>391</v>
      </c>
      <c r="AN383" t="s">
        <v>530</v>
      </c>
      <c r="AO383" t="s">
        <v>5939</v>
      </c>
      <c r="AP383" t="s">
        <v>5940</v>
      </c>
      <c r="AQ383" t="s">
        <v>74</v>
      </c>
      <c r="AR383" t="s">
        <v>5941</v>
      </c>
      <c r="AS383" t="s">
        <v>5942</v>
      </c>
      <c r="AT383" t="s">
        <v>5642</v>
      </c>
      <c r="AU383">
        <v>2013</v>
      </c>
      <c r="AV383">
        <v>75</v>
      </c>
      <c r="AW383">
        <v>6</v>
      </c>
      <c r="AX383" t="s">
        <v>74</v>
      </c>
      <c r="AY383" t="s">
        <v>74</v>
      </c>
      <c r="AZ383" t="s">
        <v>74</v>
      </c>
      <c r="BA383" t="s">
        <v>74</v>
      </c>
      <c r="BB383" t="s">
        <v>74</v>
      </c>
      <c r="BC383" t="s">
        <v>74</v>
      </c>
      <c r="BD383">
        <v>732</v>
      </c>
      <c r="BE383" t="s">
        <v>7382</v>
      </c>
      <c r="BF383" t="str">
        <f>HYPERLINK("http://dx.doi.org/10.1007/s00445-013-0732-3","http://dx.doi.org/10.1007/s00445-013-0732-3")</f>
        <v>http://dx.doi.org/10.1007/s00445-013-0732-3</v>
      </c>
      <c r="BG383" t="s">
        <v>74</v>
      </c>
      <c r="BH383" t="s">
        <v>74</v>
      </c>
      <c r="BI383">
        <v>18</v>
      </c>
      <c r="BJ383" t="s">
        <v>1426</v>
      </c>
      <c r="BK383" t="s">
        <v>102</v>
      </c>
      <c r="BL383" t="s">
        <v>219</v>
      </c>
      <c r="BM383" t="s">
        <v>5944</v>
      </c>
      <c r="BN383" t="s">
        <v>74</v>
      </c>
      <c r="BO383" t="s">
        <v>74</v>
      </c>
      <c r="BP383" t="s">
        <v>74</v>
      </c>
      <c r="BQ383" t="s">
        <v>74</v>
      </c>
      <c r="BR383" t="s">
        <v>105</v>
      </c>
      <c r="BS383" t="s">
        <v>7383</v>
      </c>
      <c r="BT383" t="str">
        <f>HYPERLINK("https%3A%2F%2Fwww.webofscience.com%2Fwos%2Fwoscc%2Ffull-record%2FWOS:000321776100010","View Full Record in Web of Science")</f>
        <v>View Full Record in Web of Science</v>
      </c>
    </row>
    <row r="384" spans="1:72" x14ac:dyDescent="0.15">
      <c r="A384" t="s">
        <v>72</v>
      </c>
      <c r="B384" t="s">
        <v>7384</v>
      </c>
      <c r="C384" t="s">
        <v>74</v>
      </c>
      <c r="D384" t="s">
        <v>74</v>
      </c>
      <c r="E384" t="s">
        <v>74</v>
      </c>
      <c r="F384" t="s">
        <v>7385</v>
      </c>
      <c r="G384" t="s">
        <v>74</v>
      </c>
      <c r="H384" t="s">
        <v>74</v>
      </c>
      <c r="I384" t="s">
        <v>7386</v>
      </c>
      <c r="J384" t="s">
        <v>1207</v>
      </c>
      <c r="K384" t="s">
        <v>74</v>
      </c>
      <c r="L384" t="s">
        <v>74</v>
      </c>
      <c r="M384" t="s">
        <v>78</v>
      </c>
      <c r="N384" t="s">
        <v>79</v>
      </c>
      <c r="O384" t="s">
        <v>74</v>
      </c>
      <c r="P384" t="s">
        <v>74</v>
      </c>
      <c r="Q384" t="s">
        <v>74</v>
      </c>
      <c r="R384" t="s">
        <v>74</v>
      </c>
      <c r="S384" t="s">
        <v>74</v>
      </c>
      <c r="T384" t="s">
        <v>74</v>
      </c>
      <c r="U384" t="s">
        <v>7387</v>
      </c>
      <c r="V384" t="s">
        <v>7388</v>
      </c>
      <c r="W384" t="s">
        <v>7389</v>
      </c>
      <c r="X384" t="s">
        <v>7390</v>
      </c>
      <c r="Y384" t="s">
        <v>7391</v>
      </c>
      <c r="Z384" t="s">
        <v>7392</v>
      </c>
      <c r="AA384" t="s">
        <v>7393</v>
      </c>
      <c r="AB384" t="s">
        <v>7394</v>
      </c>
      <c r="AC384" t="s">
        <v>7395</v>
      </c>
      <c r="AD384" t="s">
        <v>7396</v>
      </c>
      <c r="AE384" t="s">
        <v>7397</v>
      </c>
      <c r="AF384" t="s">
        <v>74</v>
      </c>
      <c r="AG384">
        <v>27</v>
      </c>
      <c r="AH384">
        <v>28</v>
      </c>
      <c r="AI384">
        <v>34</v>
      </c>
      <c r="AJ384">
        <v>1</v>
      </c>
      <c r="AK384">
        <v>33</v>
      </c>
      <c r="AL384" t="s">
        <v>529</v>
      </c>
      <c r="AM384" t="s">
        <v>391</v>
      </c>
      <c r="AN384" t="s">
        <v>1220</v>
      </c>
      <c r="AO384" t="s">
        <v>1221</v>
      </c>
      <c r="AP384" t="s">
        <v>1222</v>
      </c>
      <c r="AQ384" t="s">
        <v>74</v>
      </c>
      <c r="AR384" t="s">
        <v>1223</v>
      </c>
      <c r="AS384" t="s">
        <v>1224</v>
      </c>
      <c r="AT384" t="s">
        <v>5642</v>
      </c>
      <c r="AU384">
        <v>2013</v>
      </c>
      <c r="AV384">
        <v>40</v>
      </c>
      <c r="AW384" t="s">
        <v>6712</v>
      </c>
      <c r="AX384" t="s">
        <v>74</v>
      </c>
      <c r="AY384" t="s">
        <v>74</v>
      </c>
      <c r="AZ384" t="s">
        <v>74</v>
      </c>
      <c r="BA384" t="s">
        <v>74</v>
      </c>
      <c r="BB384">
        <v>2707</v>
      </c>
      <c r="BC384">
        <v>2718</v>
      </c>
      <c r="BD384" t="s">
        <v>74</v>
      </c>
      <c r="BE384" t="s">
        <v>7398</v>
      </c>
      <c r="BF384" t="str">
        <f>HYPERLINK("http://dx.doi.org/10.1007/s00382-012-1507-9","http://dx.doi.org/10.1007/s00382-012-1507-9")</f>
        <v>http://dx.doi.org/10.1007/s00382-012-1507-9</v>
      </c>
      <c r="BG384" t="s">
        <v>74</v>
      </c>
      <c r="BH384" t="s">
        <v>74</v>
      </c>
      <c r="BI384">
        <v>12</v>
      </c>
      <c r="BJ384" t="s">
        <v>305</v>
      </c>
      <c r="BK384" t="s">
        <v>102</v>
      </c>
      <c r="BL384" t="s">
        <v>305</v>
      </c>
      <c r="BM384" t="s">
        <v>6714</v>
      </c>
      <c r="BN384" t="s">
        <v>74</v>
      </c>
      <c r="BO384" t="s">
        <v>1014</v>
      </c>
      <c r="BP384" t="s">
        <v>74</v>
      </c>
      <c r="BQ384" t="s">
        <v>74</v>
      </c>
      <c r="BR384" t="s">
        <v>105</v>
      </c>
      <c r="BS384" t="s">
        <v>7399</v>
      </c>
      <c r="BT384" t="str">
        <f>HYPERLINK("https%3A%2F%2Fwww.webofscience.com%2Fwos%2Fwoscc%2Ffull-record%2FWOS:000319360800009","View Full Record in Web of Science")</f>
        <v>View Full Record in Web of Science</v>
      </c>
    </row>
    <row r="385" spans="1:72" x14ac:dyDescent="0.15">
      <c r="A385" t="s">
        <v>72</v>
      </c>
      <c r="B385" t="s">
        <v>7400</v>
      </c>
      <c r="C385" t="s">
        <v>74</v>
      </c>
      <c r="D385" t="s">
        <v>74</v>
      </c>
      <c r="E385" t="s">
        <v>74</v>
      </c>
      <c r="F385" t="s">
        <v>7401</v>
      </c>
      <c r="G385" t="s">
        <v>74</v>
      </c>
      <c r="H385" t="s">
        <v>74</v>
      </c>
      <c r="I385" t="s">
        <v>7402</v>
      </c>
      <c r="J385" t="s">
        <v>1257</v>
      </c>
      <c r="K385" t="s">
        <v>74</v>
      </c>
      <c r="L385" t="s">
        <v>74</v>
      </c>
      <c r="M385" t="s">
        <v>78</v>
      </c>
      <c r="N385" t="s">
        <v>79</v>
      </c>
      <c r="O385" t="s">
        <v>74</v>
      </c>
      <c r="P385" t="s">
        <v>74</v>
      </c>
      <c r="Q385" t="s">
        <v>74</v>
      </c>
      <c r="R385" t="s">
        <v>74</v>
      </c>
      <c r="S385" t="s">
        <v>74</v>
      </c>
      <c r="T385" t="s">
        <v>7403</v>
      </c>
      <c r="U385" t="s">
        <v>7404</v>
      </c>
      <c r="V385" t="s">
        <v>7405</v>
      </c>
      <c r="W385" t="s">
        <v>7406</v>
      </c>
      <c r="X385" t="s">
        <v>7407</v>
      </c>
      <c r="Y385" t="s">
        <v>7408</v>
      </c>
      <c r="Z385" t="s">
        <v>7409</v>
      </c>
      <c r="AA385" t="s">
        <v>7410</v>
      </c>
      <c r="AB385" t="s">
        <v>7411</v>
      </c>
      <c r="AC385" t="s">
        <v>7412</v>
      </c>
      <c r="AD385" t="s">
        <v>7413</v>
      </c>
      <c r="AE385" t="s">
        <v>7414</v>
      </c>
      <c r="AF385" t="s">
        <v>74</v>
      </c>
      <c r="AG385">
        <v>76</v>
      </c>
      <c r="AH385">
        <v>40</v>
      </c>
      <c r="AI385">
        <v>43</v>
      </c>
      <c r="AJ385">
        <v>0</v>
      </c>
      <c r="AK385">
        <v>47</v>
      </c>
      <c r="AL385" t="s">
        <v>506</v>
      </c>
      <c r="AM385" t="s">
        <v>442</v>
      </c>
      <c r="AN385" t="s">
        <v>507</v>
      </c>
      <c r="AO385" t="s">
        <v>1269</v>
      </c>
      <c r="AP385" t="s">
        <v>74</v>
      </c>
      <c r="AQ385" t="s">
        <v>74</v>
      </c>
      <c r="AR385" t="s">
        <v>1271</v>
      </c>
      <c r="AS385" t="s">
        <v>1272</v>
      </c>
      <c r="AT385" t="s">
        <v>5642</v>
      </c>
      <c r="AU385">
        <v>2013</v>
      </c>
      <c r="AV385">
        <v>76</v>
      </c>
      <c r="AW385" t="s">
        <v>74</v>
      </c>
      <c r="AX385" t="s">
        <v>74</v>
      </c>
      <c r="AY385" t="s">
        <v>74</v>
      </c>
      <c r="AZ385" t="s">
        <v>74</v>
      </c>
      <c r="BA385" t="s">
        <v>74</v>
      </c>
      <c r="BB385">
        <v>66</v>
      </c>
      <c r="BC385">
        <v>84</v>
      </c>
      <c r="BD385" t="s">
        <v>74</v>
      </c>
      <c r="BE385" t="s">
        <v>7415</v>
      </c>
      <c r="BF385" t="str">
        <f>HYPERLINK("http://dx.doi.org/10.1016/j.dsr.2013.01.005","http://dx.doi.org/10.1016/j.dsr.2013.01.005")</f>
        <v>http://dx.doi.org/10.1016/j.dsr.2013.01.005</v>
      </c>
      <c r="BG385" t="s">
        <v>74</v>
      </c>
      <c r="BH385" t="s">
        <v>74</v>
      </c>
      <c r="BI385">
        <v>19</v>
      </c>
      <c r="BJ385" t="s">
        <v>327</v>
      </c>
      <c r="BK385" t="s">
        <v>102</v>
      </c>
      <c r="BL385" t="s">
        <v>327</v>
      </c>
      <c r="BM385" t="s">
        <v>7032</v>
      </c>
      <c r="BN385" t="s">
        <v>74</v>
      </c>
      <c r="BO385" t="s">
        <v>74</v>
      </c>
      <c r="BP385" t="s">
        <v>74</v>
      </c>
      <c r="BQ385" t="s">
        <v>74</v>
      </c>
      <c r="BR385" t="s">
        <v>105</v>
      </c>
      <c r="BS385" t="s">
        <v>7416</v>
      </c>
      <c r="BT385" t="str">
        <f>HYPERLINK("https%3A%2F%2Fwww.webofscience.com%2Fwos%2Fwoscc%2Ffull-record%2FWOS:000319090000006","View Full Record in Web of Science")</f>
        <v>View Full Record in Web of Science</v>
      </c>
    </row>
    <row r="386" spans="1:72" x14ac:dyDescent="0.15">
      <c r="A386" t="s">
        <v>72</v>
      </c>
      <c r="B386" t="s">
        <v>7417</v>
      </c>
      <c r="C386" t="s">
        <v>74</v>
      </c>
      <c r="D386" t="s">
        <v>74</v>
      </c>
      <c r="E386" t="s">
        <v>74</v>
      </c>
      <c r="F386" t="s">
        <v>7418</v>
      </c>
      <c r="G386" t="s">
        <v>74</v>
      </c>
      <c r="H386" t="s">
        <v>74</v>
      </c>
      <c r="I386" t="s">
        <v>7419</v>
      </c>
      <c r="J386" t="s">
        <v>919</v>
      </c>
      <c r="K386" t="s">
        <v>74</v>
      </c>
      <c r="L386" t="s">
        <v>74</v>
      </c>
      <c r="M386" t="s">
        <v>78</v>
      </c>
      <c r="N386" t="s">
        <v>79</v>
      </c>
      <c r="O386" t="s">
        <v>74</v>
      </c>
      <c r="P386" t="s">
        <v>74</v>
      </c>
      <c r="Q386" t="s">
        <v>74</v>
      </c>
      <c r="R386" t="s">
        <v>74</v>
      </c>
      <c r="S386" t="s">
        <v>74</v>
      </c>
      <c r="T386" t="s">
        <v>7420</v>
      </c>
      <c r="U386" t="s">
        <v>7421</v>
      </c>
      <c r="V386" t="s">
        <v>7422</v>
      </c>
      <c r="W386" t="s">
        <v>7423</v>
      </c>
      <c r="X386" t="s">
        <v>7424</v>
      </c>
      <c r="Y386" t="s">
        <v>7425</v>
      </c>
      <c r="Z386" t="s">
        <v>7426</v>
      </c>
      <c r="AA386" t="s">
        <v>7427</v>
      </c>
      <c r="AB386" t="s">
        <v>7428</v>
      </c>
      <c r="AC386" t="s">
        <v>7429</v>
      </c>
      <c r="AD386" t="s">
        <v>7430</v>
      </c>
      <c r="AE386" t="s">
        <v>7431</v>
      </c>
      <c r="AF386" t="s">
        <v>74</v>
      </c>
      <c r="AG386">
        <v>58</v>
      </c>
      <c r="AH386">
        <v>21</v>
      </c>
      <c r="AI386">
        <v>23</v>
      </c>
      <c r="AJ386">
        <v>0</v>
      </c>
      <c r="AK386">
        <v>44</v>
      </c>
      <c r="AL386" t="s">
        <v>506</v>
      </c>
      <c r="AM386" t="s">
        <v>442</v>
      </c>
      <c r="AN386" t="s">
        <v>507</v>
      </c>
      <c r="AO386" t="s">
        <v>931</v>
      </c>
      <c r="AP386" t="s">
        <v>932</v>
      </c>
      <c r="AQ386" t="s">
        <v>74</v>
      </c>
      <c r="AR386" t="s">
        <v>933</v>
      </c>
      <c r="AS386" t="s">
        <v>934</v>
      </c>
      <c r="AT386" t="s">
        <v>5642</v>
      </c>
      <c r="AU386">
        <v>2013</v>
      </c>
      <c r="AV386">
        <v>90</v>
      </c>
      <c r="AW386" t="s">
        <v>74</v>
      </c>
      <c r="AX386" t="s">
        <v>74</v>
      </c>
      <c r="AY386" t="s">
        <v>74</v>
      </c>
      <c r="AZ386" t="s">
        <v>74</v>
      </c>
      <c r="BA386" t="s">
        <v>74</v>
      </c>
      <c r="BB386">
        <v>4</v>
      </c>
      <c r="BC386">
        <v>14</v>
      </c>
      <c r="BD386" t="s">
        <v>74</v>
      </c>
      <c r="BE386" t="s">
        <v>7432</v>
      </c>
      <c r="BF386" t="str">
        <f>HYPERLINK("http://dx.doi.org/10.1016/j.dsr2.2013.03.041","http://dx.doi.org/10.1016/j.dsr2.2013.03.041")</f>
        <v>http://dx.doi.org/10.1016/j.dsr2.2013.03.041</v>
      </c>
      <c r="BG386" t="s">
        <v>74</v>
      </c>
      <c r="BH386" t="s">
        <v>74</v>
      </c>
      <c r="BI386">
        <v>11</v>
      </c>
      <c r="BJ386" t="s">
        <v>327</v>
      </c>
      <c r="BK386" t="s">
        <v>102</v>
      </c>
      <c r="BL386" t="s">
        <v>327</v>
      </c>
      <c r="BM386" t="s">
        <v>6259</v>
      </c>
      <c r="BN386" t="s">
        <v>74</v>
      </c>
      <c r="BO386" t="s">
        <v>1014</v>
      </c>
      <c r="BP386" t="s">
        <v>74</v>
      </c>
      <c r="BQ386" t="s">
        <v>74</v>
      </c>
      <c r="BR386" t="s">
        <v>105</v>
      </c>
      <c r="BS386" t="s">
        <v>7433</v>
      </c>
      <c r="BT386" t="str">
        <f>HYPERLINK("https%3A%2F%2Fwww.webofscience.com%2Fwos%2Fwoscc%2Ffull-record%2FWOS:000320142000002","View Full Record in Web of Science")</f>
        <v>View Full Record in Web of Science</v>
      </c>
    </row>
    <row r="387" spans="1:72" x14ac:dyDescent="0.15">
      <c r="A387" t="s">
        <v>72</v>
      </c>
      <c r="B387" t="s">
        <v>7434</v>
      </c>
      <c r="C387" t="s">
        <v>74</v>
      </c>
      <c r="D387" t="s">
        <v>74</v>
      </c>
      <c r="E387" t="s">
        <v>74</v>
      </c>
      <c r="F387" t="s">
        <v>7435</v>
      </c>
      <c r="G387" t="s">
        <v>74</v>
      </c>
      <c r="H387" t="s">
        <v>74</v>
      </c>
      <c r="I387" t="s">
        <v>7436</v>
      </c>
      <c r="J387" t="s">
        <v>919</v>
      </c>
      <c r="K387" t="s">
        <v>74</v>
      </c>
      <c r="L387" t="s">
        <v>74</v>
      </c>
      <c r="M387" t="s">
        <v>78</v>
      </c>
      <c r="N387" t="s">
        <v>79</v>
      </c>
      <c r="O387" t="s">
        <v>74</v>
      </c>
      <c r="P387" t="s">
        <v>74</v>
      </c>
      <c r="Q387" t="s">
        <v>74</v>
      </c>
      <c r="R387" t="s">
        <v>74</v>
      </c>
      <c r="S387" t="s">
        <v>74</v>
      </c>
      <c r="T387" t="s">
        <v>7437</v>
      </c>
      <c r="U387" t="s">
        <v>7438</v>
      </c>
      <c r="V387" t="s">
        <v>7439</v>
      </c>
      <c r="W387" t="s">
        <v>7440</v>
      </c>
      <c r="X387" t="s">
        <v>7441</v>
      </c>
      <c r="Y387" t="s">
        <v>7442</v>
      </c>
      <c r="Z387" t="s">
        <v>7443</v>
      </c>
      <c r="AA387" t="s">
        <v>7444</v>
      </c>
      <c r="AB387" t="s">
        <v>7445</v>
      </c>
      <c r="AC387" t="s">
        <v>7446</v>
      </c>
      <c r="AD387" t="s">
        <v>7447</v>
      </c>
      <c r="AE387" t="s">
        <v>7448</v>
      </c>
      <c r="AF387" t="s">
        <v>74</v>
      </c>
      <c r="AG387">
        <v>51</v>
      </c>
      <c r="AH387">
        <v>17</v>
      </c>
      <c r="AI387">
        <v>17</v>
      </c>
      <c r="AJ387">
        <v>0</v>
      </c>
      <c r="AK387">
        <v>36</v>
      </c>
      <c r="AL387" t="s">
        <v>506</v>
      </c>
      <c r="AM387" t="s">
        <v>442</v>
      </c>
      <c r="AN387" t="s">
        <v>507</v>
      </c>
      <c r="AO387" t="s">
        <v>931</v>
      </c>
      <c r="AP387" t="s">
        <v>932</v>
      </c>
      <c r="AQ387" t="s">
        <v>74</v>
      </c>
      <c r="AR387" t="s">
        <v>933</v>
      </c>
      <c r="AS387" t="s">
        <v>934</v>
      </c>
      <c r="AT387" t="s">
        <v>5642</v>
      </c>
      <c r="AU387">
        <v>2013</v>
      </c>
      <c r="AV387">
        <v>90</v>
      </c>
      <c r="AW387" t="s">
        <v>74</v>
      </c>
      <c r="AX387" t="s">
        <v>74</v>
      </c>
      <c r="AY387" t="s">
        <v>74</v>
      </c>
      <c r="AZ387" t="s">
        <v>74</v>
      </c>
      <c r="BA387" t="s">
        <v>74</v>
      </c>
      <c r="BB387">
        <v>31</v>
      </c>
      <c r="BC387">
        <v>42</v>
      </c>
      <c r="BD387" t="s">
        <v>74</v>
      </c>
      <c r="BE387" t="s">
        <v>7449</v>
      </c>
      <c r="BF387" t="str">
        <f>HYPERLINK("http://dx.doi.org/10.1016/j.dsr2.2012.06.002","http://dx.doi.org/10.1016/j.dsr2.2012.06.002")</f>
        <v>http://dx.doi.org/10.1016/j.dsr2.2012.06.002</v>
      </c>
      <c r="BG387" t="s">
        <v>74</v>
      </c>
      <c r="BH387" t="s">
        <v>74</v>
      </c>
      <c r="BI387">
        <v>12</v>
      </c>
      <c r="BJ387" t="s">
        <v>327</v>
      </c>
      <c r="BK387" t="s">
        <v>102</v>
      </c>
      <c r="BL387" t="s">
        <v>327</v>
      </c>
      <c r="BM387" t="s">
        <v>6259</v>
      </c>
      <c r="BN387" t="s">
        <v>74</v>
      </c>
      <c r="BO387" t="s">
        <v>74</v>
      </c>
      <c r="BP387" t="s">
        <v>74</v>
      </c>
      <c r="BQ387" t="s">
        <v>74</v>
      </c>
      <c r="BR387" t="s">
        <v>105</v>
      </c>
      <c r="BS387" t="s">
        <v>7450</v>
      </c>
      <c r="BT387" t="str">
        <f>HYPERLINK("https%3A%2F%2Fwww.webofscience.com%2Fwos%2Fwoscc%2Ffull-record%2FWOS:000320142000004","View Full Record in Web of Science")</f>
        <v>View Full Record in Web of Science</v>
      </c>
    </row>
    <row r="388" spans="1:72" x14ac:dyDescent="0.15">
      <c r="A388" t="s">
        <v>72</v>
      </c>
      <c r="B388" t="s">
        <v>7451</v>
      </c>
      <c r="C388" t="s">
        <v>74</v>
      </c>
      <c r="D388" t="s">
        <v>74</v>
      </c>
      <c r="E388" t="s">
        <v>74</v>
      </c>
      <c r="F388" t="s">
        <v>7452</v>
      </c>
      <c r="G388" t="s">
        <v>74</v>
      </c>
      <c r="H388" t="s">
        <v>74</v>
      </c>
      <c r="I388" t="s">
        <v>7453</v>
      </c>
      <c r="J388" t="s">
        <v>919</v>
      </c>
      <c r="K388" t="s">
        <v>74</v>
      </c>
      <c r="L388" t="s">
        <v>74</v>
      </c>
      <c r="M388" t="s">
        <v>78</v>
      </c>
      <c r="N388" t="s">
        <v>79</v>
      </c>
      <c r="O388" t="s">
        <v>74</v>
      </c>
      <c r="P388" t="s">
        <v>74</v>
      </c>
      <c r="Q388" t="s">
        <v>74</v>
      </c>
      <c r="R388" t="s">
        <v>74</v>
      </c>
      <c r="S388" t="s">
        <v>74</v>
      </c>
      <c r="T388" t="s">
        <v>7454</v>
      </c>
      <c r="U388" t="s">
        <v>7455</v>
      </c>
      <c r="V388" t="s">
        <v>7456</v>
      </c>
      <c r="W388" t="s">
        <v>7457</v>
      </c>
      <c r="X388" t="s">
        <v>7458</v>
      </c>
      <c r="Y388" t="s">
        <v>7442</v>
      </c>
      <c r="Z388" t="s">
        <v>7443</v>
      </c>
      <c r="AA388" t="s">
        <v>7444</v>
      </c>
      <c r="AB388" t="s">
        <v>7428</v>
      </c>
      <c r="AC388" t="s">
        <v>7459</v>
      </c>
      <c r="AD388" t="s">
        <v>7460</v>
      </c>
      <c r="AE388" t="s">
        <v>7461</v>
      </c>
      <c r="AF388" t="s">
        <v>74</v>
      </c>
      <c r="AG388">
        <v>53</v>
      </c>
      <c r="AH388">
        <v>32</v>
      </c>
      <c r="AI388">
        <v>37</v>
      </c>
      <c r="AJ388">
        <v>0</v>
      </c>
      <c r="AK388">
        <v>32</v>
      </c>
      <c r="AL388" t="s">
        <v>506</v>
      </c>
      <c r="AM388" t="s">
        <v>442</v>
      </c>
      <c r="AN388" t="s">
        <v>507</v>
      </c>
      <c r="AO388" t="s">
        <v>931</v>
      </c>
      <c r="AP388" t="s">
        <v>932</v>
      </c>
      <c r="AQ388" t="s">
        <v>74</v>
      </c>
      <c r="AR388" t="s">
        <v>933</v>
      </c>
      <c r="AS388" t="s">
        <v>934</v>
      </c>
      <c r="AT388" t="s">
        <v>5642</v>
      </c>
      <c r="AU388">
        <v>2013</v>
      </c>
      <c r="AV388">
        <v>90</v>
      </c>
      <c r="AW388" t="s">
        <v>74</v>
      </c>
      <c r="AX388" t="s">
        <v>74</v>
      </c>
      <c r="AY388" t="s">
        <v>74</v>
      </c>
      <c r="AZ388" t="s">
        <v>74</v>
      </c>
      <c r="BA388" t="s">
        <v>74</v>
      </c>
      <c r="BB388">
        <v>68</v>
      </c>
      <c r="BC388">
        <v>76</v>
      </c>
      <c r="BD388" t="s">
        <v>74</v>
      </c>
      <c r="BE388" t="s">
        <v>7462</v>
      </c>
      <c r="BF388" t="str">
        <f>HYPERLINK("http://dx.doi.org/10.1016/j.dsr2.2012.06.001","http://dx.doi.org/10.1016/j.dsr2.2012.06.001")</f>
        <v>http://dx.doi.org/10.1016/j.dsr2.2012.06.001</v>
      </c>
      <c r="BG388" t="s">
        <v>74</v>
      </c>
      <c r="BH388" t="s">
        <v>74</v>
      </c>
      <c r="BI388">
        <v>9</v>
      </c>
      <c r="BJ388" t="s">
        <v>327</v>
      </c>
      <c r="BK388" t="s">
        <v>102</v>
      </c>
      <c r="BL388" t="s">
        <v>327</v>
      </c>
      <c r="BM388" t="s">
        <v>6259</v>
      </c>
      <c r="BN388" t="s">
        <v>74</v>
      </c>
      <c r="BO388" t="s">
        <v>74</v>
      </c>
      <c r="BP388" t="s">
        <v>74</v>
      </c>
      <c r="BQ388" t="s">
        <v>74</v>
      </c>
      <c r="BR388" t="s">
        <v>105</v>
      </c>
      <c r="BS388" t="s">
        <v>7463</v>
      </c>
      <c r="BT388" t="str">
        <f>HYPERLINK("https%3A%2F%2Fwww.webofscience.com%2Fwos%2Fwoscc%2Ffull-record%2FWOS:000320142000007","View Full Record in Web of Science")</f>
        <v>View Full Record in Web of Science</v>
      </c>
    </row>
    <row r="389" spans="1:72" x14ac:dyDescent="0.15">
      <c r="A389" t="s">
        <v>72</v>
      </c>
      <c r="B389" t="s">
        <v>7464</v>
      </c>
      <c r="C389" t="s">
        <v>74</v>
      </c>
      <c r="D389" t="s">
        <v>74</v>
      </c>
      <c r="E389" t="s">
        <v>74</v>
      </c>
      <c r="F389" t="s">
        <v>7465</v>
      </c>
      <c r="G389" t="s">
        <v>74</v>
      </c>
      <c r="H389" t="s">
        <v>74</v>
      </c>
      <c r="I389" t="s">
        <v>7466</v>
      </c>
      <c r="J389" t="s">
        <v>919</v>
      </c>
      <c r="K389" t="s">
        <v>74</v>
      </c>
      <c r="L389" t="s">
        <v>74</v>
      </c>
      <c r="M389" t="s">
        <v>78</v>
      </c>
      <c r="N389" t="s">
        <v>79</v>
      </c>
      <c r="O389" t="s">
        <v>74</v>
      </c>
      <c r="P389" t="s">
        <v>74</v>
      </c>
      <c r="Q389" t="s">
        <v>74</v>
      </c>
      <c r="R389" t="s">
        <v>74</v>
      </c>
      <c r="S389" t="s">
        <v>74</v>
      </c>
      <c r="T389" t="s">
        <v>7467</v>
      </c>
      <c r="U389" t="s">
        <v>7468</v>
      </c>
      <c r="V389" t="s">
        <v>7469</v>
      </c>
      <c r="W389" t="s">
        <v>7470</v>
      </c>
      <c r="X389" t="s">
        <v>7471</v>
      </c>
      <c r="Y389" t="s">
        <v>7472</v>
      </c>
      <c r="Z389" t="s">
        <v>7473</v>
      </c>
      <c r="AA389" t="s">
        <v>74</v>
      </c>
      <c r="AB389" t="s">
        <v>7474</v>
      </c>
      <c r="AC389" t="s">
        <v>7475</v>
      </c>
      <c r="AD389" t="s">
        <v>7476</v>
      </c>
      <c r="AE389" t="s">
        <v>7477</v>
      </c>
      <c r="AF389" t="s">
        <v>74</v>
      </c>
      <c r="AG389">
        <v>47</v>
      </c>
      <c r="AH389">
        <v>14</v>
      </c>
      <c r="AI389">
        <v>15</v>
      </c>
      <c r="AJ389">
        <v>0</v>
      </c>
      <c r="AK389">
        <v>26</v>
      </c>
      <c r="AL389" t="s">
        <v>506</v>
      </c>
      <c r="AM389" t="s">
        <v>442</v>
      </c>
      <c r="AN389" t="s">
        <v>507</v>
      </c>
      <c r="AO389" t="s">
        <v>931</v>
      </c>
      <c r="AP389" t="s">
        <v>932</v>
      </c>
      <c r="AQ389" t="s">
        <v>74</v>
      </c>
      <c r="AR389" t="s">
        <v>933</v>
      </c>
      <c r="AS389" t="s">
        <v>934</v>
      </c>
      <c r="AT389" t="s">
        <v>5642</v>
      </c>
      <c r="AU389">
        <v>2013</v>
      </c>
      <c r="AV389">
        <v>90</v>
      </c>
      <c r="AW389" t="s">
        <v>74</v>
      </c>
      <c r="AX389" t="s">
        <v>74</v>
      </c>
      <c r="AY389" t="s">
        <v>74</v>
      </c>
      <c r="AZ389" t="s">
        <v>74</v>
      </c>
      <c r="BA389" t="s">
        <v>74</v>
      </c>
      <c r="BB389">
        <v>102</v>
      </c>
      <c r="BC389">
        <v>111</v>
      </c>
      <c r="BD389" t="s">
        <v>74</v>
      </c>
      <c r="BE389" t="s">
        <v>7478</v>
      </c>
      <c r="BF389" t="str">
        <f>HYPERLINK("http://dx.doi.org/10.1016/j.dsr2.2012.09.001","http://dx.doi.org/10.1016/j.dsr2.2012.09.001")</f>
        <v>http://dx.doi.org/10.1016/j.dsr2.2012.09.001</v>
      </c>
      <c r="BG389" t="s">
        <v>74</v>
      </c>
      <c r="BH389" t="s">
        <v>74</v>
      </c>
      <c r="BI389">
        <v>10</v>
      </c>
      <c r="BJ389" t="s">
        <v>327</v>
      </c>
      <c r="BK389" t="s">
        <v>102</v>
      </c>
      <c r="BL389" t="s">
        <v>327</v>
      </c>
      <c r="BM389" t="s">
        <v>6259</v>
      </c>
      <c r="BN389" t="s">
        <v>74</v>
      </c>
      <c r="BO389" t="s">
        <v>74</v>
      </c>
      <c r="BP389" t="s">
        <v>74</v>
      </c>
      <c r="BQ389" t="s">
        <v>74</v>
      </c>
      <c r="BR389" t="s">
        <v>105</v>
      </c>
      <c r="BS389" t="s">
        <v>7479</v>
      </c>
      <c r="BT389" t="str">
        <f>HYPERLINK("https%3A%2F%2Fwww.webofscience.com%2Fwos%2Fwoscc%2Ffull-record%2FWOS:000320142000010","View Full Record in Web of Science")</f>
        <v>View Full Record in Web of Science</v>
      </c>
    </row>
    <row r="390" spans="1:72" x14ac:dyDescent="0.15">
      <c r="A390" t="s">
        <v>72</v>
      </c>
      <c r="B390" t="s">
        <v>7480</v>
      </c>
      <c r="C390" t="s">
        <v>74</v>
      </c>
      <c r="D390" t="s">
        <v>74</v>
      </c>
      <c r="E390" t="s">
        <v>74</v>
      </c>
      <c r="F390" t="s">
        <v>7481</v>
      </c>
      <c r="G390" t="s">
        <v>74</v>
      </c>
      <c r="H390" t="s">
        <v>74</v>
      </c>
      <c r="I390" t="s">
        <v>7482</v>
      </c>
      <c r="J390" t="s">
        <v>919</v>
      </c>
      <c r="K390" t="s">
        <v>74</v>
      </c>
      <c r="L390" t="s">
        <v>74</v>
      </c>
      <c r="M390" t="s">
        <v>78</v>
      </c>
      <c r="N390" t="s">
        <v>79</v>
      </c>
      <c r="O390" t="s">
        <v>74</v>
      </c>
      <c r="P390" t="s">
        <v>74</v>
      </c>
      <c r="Q390" t="s">
        <v>74</v>
      </c>
      <c r="R390" t="s">
        <v>74</v>
      </c>
      <c r="S390" t="s">
        <v>74</v>
      </c>
      <c r="T390" t="s">
        <v>7483</v>
      </c>
      <c r="U390" t="s">
        <v>7484</v>
      </c>
      <c r="V390" t="s">
        <v>7485</v>
      </c>
      <c r="W390" t="s">
        <v>7486</v>
      </c>
      <c r="X390" t="s">
        <v>7487</v>
      </c>
      <c r="Y390" t="s">
        <v>7488</v>
      </c>
      <c r="Z390" t="s">
        <v>6253</v>
      </c>
      <c r="AA390" t="s">
        <v>7489</v>
      </c>
      <c r="AB390" t="s">
        <v>7490</v>
      </c>
      <c r="AC390" t="s">
        <v>7491</v>
      </c>
      <c r="AD390" t="s">
        <v>7492</v>
      </c>
      <c r="AE390" t="s">
        <v>7493</v>
      </c>
      <c r="AF390" t="s">
        <v>74</v>
      </c>
      <c r="AG390">
        <v>95</v>
      </c>
      <c r="AH390">
        <v>17</v>
      </c>
      <c r="AI390">
        <v>22</v>
      </c>
      <c r="AJ390">
        <v>4</v>
      </c>
      <c r="AK390">
        <v>78</v>
      </c>
      <c r="AL390" t="s">
        <v>506</v>
      </c>
      <c r="AM390" t="s">
        <v>442</v>
      </c>
      <c r="AN390" t="s">
        <v>507</v>
      </c>
      <c r="AO390" t="s">
        <v>931</v>
      </c>
      <c r="AP390" t="s">
        <v>932</v>
      </c>
      <c r="AQ390" t="s">
        <v>74</v>
      </c>
      <c r="AR390" t="s">
        <v>933</v>
      </c>
      <c r="AS390" t="s">
        <v>934</v>
      </c>
      <c r="AT390" t="s">
        <v>5642</v>
      </c>
      <c r="AU390">
        <v>2013</v>
      </c>
      <c r="AV390">
        <v>90</v>
      </c>
      <c r="AW390" t="s">
        <v>74</v>
      </c>
      <c r="AX390" t="s">
        <v>74</v>
      </c>
      <c r="AY390" t="s">
        <v>74</v>
      </c>
      <c r="AZ390" t="s">
        <v>74</v>
      </c>
      <c r="BA390" t="s">
        <v>74</v>
      </c>
      <c r="BB390">
        <v>112</v>
      </c>
      <c r="BC390">
        <v>133</v>
      </c>
      <c r="BD390" t="s">
        <v>74</v>
      </c>
      <c r="BE390" t="s">
        <v>7494</v>
      </c>
      <c r="BF390" t="str">
        <f>HYPERLINK("http://dx.doi.org/10.1016/j.dsr2.2013.01.029","http://dx.doi.org/10.1016/j.dsr2.2013.01.029")</f>
        <v>http://dx.doi.org/10.1016/j.dsr2.2013.01.029</v>
      </c>
      <c r="BG390" t="s">
        <v>74</v>
      </c>
      <c r="BH390" t="s">
        <v>74</v>
      </c>
      <c r="BI390">
        <v>22</v>
      </c>
      <c r="BJ390" t="s">
        <v>327</v>
      </c>
      <c r="BK390" t="s">
        <v>102</v>
      </c>
      <c r="BL390" t="s">
        <v>327</v>
      </c>
      <c r="BM390" t="s">
        <v>6259</v>
      </c>
      <c r="BN390" t="s">
        <v>74</v>
      </c>
      <c r="BO390" t="s">
        <v>74</v>
      </c>
      <c r="BP390" t="s">
        <v>74</v>
      </c>
      <c r="BQ390" t="s">
        <v>74</v>
      </c>
      <c r="BR390" t="s">
        <v>105</v>
      </c>
      <c r="BS390" t="s">
        <v>7495</v>
      </c>
      <c r="BT390" t="str">
        <f>HYPERLINK("https%3A%2F%2Fwww.webofscience.com%2Fwos%2Fwoscc%2Ffull-record%2FWOS:000320142000011","View Full Record in Web of Science")</f>
        <v>View Full Record in Web of Science</v>
      </c>
    </row>
    <row r="391" spans="1:72" x14ac:dyDescent="0.15">
      <c r="A391" t="s">
        <v>72</v>
      </c>
      <c r="B391" t="s">
        <v>7496</v>
      </c>
      <c r="C391" t="s">
        <v>74</v>
      </c>
      <c r="D391" t="s">
        <v>74</v>
      </c>
      <c r="E391" t="s">
        <v>74</v>
      </c>
      <c r="F391" t="s">
        <v>7497</v>
      </c>
      <c r="G391" t="s">
        <v>74</v>
      </c>
      <c r="H391" t="s">
        <v>74</v>
      </c>
      <c r="I391" t="s">
        <v>7498</v>
      </c>
      <c r="J391" t="s">
        <v>7499</v>
      </c>
      <c r="K391" t="s">
        <v>74</v>
      </c>
      <c r="L391" t="s">
        <v>74</v>
      </c>
      <c r="M391" t="s">
        <v>78</v>
      </c>
      <c r="N391" t="s">
        <v>79</v>
      </c>
      <c r="O391" t="s">
        <v>74</v>
      </c>
      <c r="P391" t="s">
        <v>74</v>
      </c>
      <c r="Q391" t="s">
        <v>74</v>
      </c>
      <c r="R391" t="s">
        <v>74</v>
      </c>
      <c r="S391" t="s">
        <v>74</v>
      </c>
      <c r="T391" t="s">
        <v>7500</v>
      </c>
      <c r="U391" t="s">
        <v>7501</v>
      </c>
      <c r="V391" t="s">
        <v>7502</v>
      </c>
      <c r="W391" t="s">
        <v>7503</v>
      </c>
      <c r="X391" t="s">
        <v>7504</v>
      </c>
      <c r="Y391" t="s">
        <v>7505</v>
      </c>
      <c r="Z391" t="s">
        <v>7506</v>
      </c>
      <c r="AA391" t="s">
        <v>74</v>
      </c>
      <c r="AB391" t="s">
        <v>7507</v>
      </c>
      <c r="AC391" t="s">
        <v>74</v>
      </c>
      <c r="AD391" t="s">
        <v>74</v>
      </c>
      <c r="AE391" t="s">
        <v>74</v>
      </c>
      <c r="AF391" t="s">
        <v>74</v>
      </c>
      <c r="AG391">
        <v>47</v>
      </c>
      <c r="AH391">
        <v>2</v>
      </c>
      <c r="AI391">
        <v>4</v>
      </c>
      <c r="AJ391">
        <v>0</v>
      </c>
      <c r="AK391">
        <v>1</v>
      </c>
      <c r="AL391" t="s">
        <v>7508</v>
      </c>
      <c r="AM391" t="s">
        <v>7509</v>
      </c>
      <c r="AN391" t="s">
        <v>7510</v>
      </c>
      <c r="AO391" t="s">
        <v>7511</v>
      </c>
      <c r="AP391" t="s">
        <v>7512</v>
      </c>
      <c r="AQ391" t="s">
        <v>74</v>
      </c>
      <c r="AR391" t="s">
        <v>7513</v>
      </c>
      <c r="AS391" t="s">
        <v>7514</v>
      </c>
      <c r="AT391" t="s">
        <v>5642</v>
      </c>
      <c r="AU391">
        <v>2013</v>
      </c>
      <c r="AV391">
        <v>7</v>
      </c>
      <c r="AW391">
        <v>2</v>
      </c>
      <c r="AX391" t="s">
        <v>74</v>
      </c>
      <c r="AY391" t="s">
        <v>74</v>
      </c>
      <c r="AZ391" t="s">
        <v>935</v>
      </c>
      <c r="BA391" t="s">
        <v>74</v>
      </c>
      <c r="BB391">
        <v>185</v>
      </c>
      <c r="BC391">
        <v>204</v>
      </c>
      <c r="BD391" t="s">
        <v>74</v>
      </c>
      <c r="BE391" t="s">
        <v>7515</v>
      </c>
      <c r="BF391" t="str">
        <f>HYPERLINK("http://dx.doi.org/10.1215/18752160-2145260","http://dx.doi.org/10.1215/18752160-2145260")</f>
        <v>http://dx.doi.org/10.1215/18752160-2145260</v>
      </c>
      <c r="BG391" t="s">
        <v>74</v>
      </c>
      <c r="BH391" t="s">
        <v>74</v>
      </c>
      <c r="BI391">
        <v>20</v>
      </c>
      <c r="BJ391" t="s">
        <v>7516</v>
      </c>
      <c r="BK391" t="s">
        <v>1452</v>
      </c>
      <c r="BL391" t="s">
        <v>7517</v>
      </c>
      <c r="BM391" t="s">
        <v>7518</v>
      </c>
      <c r="BN391" t="s">
        <v>74</v>
      </c>
      <c r="BO391" t="s">
        <v>74</v>
      </c>
      <c r="BP391" t="s">
        <v>74</v>
      </c>
      <c r="BQ391" t="s">
        <v>74</v>
      </c>
      <c r="BR391" t="s">
        <v>105</v>
      </c>
      <c r="BS391" t="s">
        <v>7519</v>
      </c>
      <c r="BT391" t="str">
        <f>HYPERLINK("https%3A%2F%2Fwww.webofscience.com%2Fwos%2Fwoscc%2Ffull-record%2FWOS:000215007800002","View Full Record in Web of Science")</f>
        <v>View Full Record in Web of Science</v>
      </c>
    </row>
    <row r="392" spans="1:72" x14ac:dyDescent="0.15">
      <c r="A392" t="s">
        <v>72</v>
      </c>
      <c r="B392" t="s">
        <v>7520</v>
      </c>
      <c r="C392" t="s">
        <v>74</v>
      </c>
      <c r="D392" t="s">
        <v>74</v>
      </c>
      <c r="E392" t="s">
        <v>74</v>
      </c>
      <c r="F392" t="s">
        <v>7521</v>
      </c>
      <c r="G392" t="s">
        <v>74</v>
      </c>
      <c r="H392" t="s">
        <v>74</v>
      </c>
      <c r="I392" t="s">
        <v>7522</v>
      </c>
      <c r="J392" t="s">
        <v>7523</v>
      </c>
      <c r="K392" t="s">
        <v>74</v>
      </c>
      <c r="L392" t="s">
        <v>74</v>
      </c>
      <c r="M392" t="s">
        <v>78</v>
      </c>
      <c r="N392" t="s">
        <v>79</v>
      </c>
      <c r="O392" t="s">
        <v>74</v>
      </c>
      <c r="P392" t="s">
        <v>74</v>
      </c>
      <c r="Q392" t="s">
        <v>74</v>
      </c>
      <c r="R392" t="s">
        <v>74</v>
      </c>
      <c r="S392" t="s">
        <v>74</v>
      </c>
      <c r="T392" t="s">
        <v>7524</v>
      </c>
      <c r="U392" t="s">
        <v>7525</v>
      </c>
      <c r="V392" t="s">
        <v>7526</v>
      </c>
      <c r="W392" t="s">
        <v>7527</v>
      </c>
      <c r="X392" t="s">
        <v>7528</v>
      </c>
      <c r="Y392" t="s">
        <v>7529</v>
      </c>
      <c r="Z392" t="s">
        <v>7530</v>
      </c>
      <c r="AA392" t="s">
        <v>7531</v>
      </c>
      <c r="AB392" t="s">
        <v>7532</v>
      </c>
      <c r="AC392" t="s">
        <v>7533</v>
      </c>
      <c r="AD392" t="s">
        <v>7534</v>
      </c>
      <c r="AE392" t="s">
        <v>7535</v>
      </c>
      <c r="AF392" t="s">
        <v>74</v>
      </c>
      <c r="AG392">
        <v>21</v>
      </c>
      <c r="AH392">
        <v>90</v>
      </c>
      <c r="AI392">
        <v>111</v>
      </c>
      <c r="AJ392">
        <v>1</v>
      </c>
      <c r="AK392">
        <v>85</v>
      </c>
      <c r="AL392" t="s">
        <v>368</v>
      </c>
      <c r="AM392" t="s">
        <v>369</v>
      </c>
      <c r="AN392" t="s">
        <v>370</v>
      </c>
      <c r="AO392" t="s">
        <v>7536</v>
      </c>
      <c r="AP392" t="s">
        <v>7537</v>
      </c>
      <c r="AQ392" t="s">
        <v>74</v>
      </c>
      <c r="AR392" t="s">
        <v>7523</v>
      </c>
      <c r="AS392" t="s">
        <v>5449</v>
      </c>
      <c r="AT392" t="s">
        <v>5642</v>
      </c>
      <c r="AU392">
        <v>2013</v>
      </c>
      <c r="AV392">
        <v>94</v>
      </c>
      <c r="AW392">
        <v>6</v>
      </c>
      <c r="AX392" t="s">
        <v>74</v>
      </c>
      <c r="AY392" t="s">
        <v>74</v>
      </c>
      <c r="AZ392" t="s">
        <v>74</v>
      </c>
      <c r="BA392" t="s">
        <v>74</v>
      </c>
      <c r="BB392">
        <v>1230</v>
      </c>
      <c r="BC392">
        <v>1235</v>
      </c>
      <c r="BD392" t="s">
        <v>74</v>
      </c>
      <c r="BE392" t="s">
        <v>7538</v>
      </c>
      <c r="BF392" t="str">
        <f>HYPERLINK("http://dx.doi.org/10.1890/12-2177.1","http://dx.doi.org/10.1890/12-2177.1")</f>
        <v>http://dx.doi.org/10.1890/12-2177.1</v>
      </c>
      <c r="BG392" t="s">
        <v>74</v>
      </c>
      <c r="BH392" t="s">
        <v>74</v>
      </c>
      <c r="BI392">
        <v>6</v>
      </c>
      <c r="BJ392" t="s">
        <v>5449</v>
      </c>
      <c r="BK392" t="s">
        <v>102</v>
      </c>
      <c r="BL392" t="s">
        <v>262</v>
      </c>
      <c r="BM392" t="s">
        <v>7539</v>
      </c>
      <c r="BN392">
        <v>23923482</v>
      </c>
      <c r="BO392" t="s">
        <v>4146</v>
      </c>
      <c r="BP392" t="s">
        <v>74</v>
      </c>
      <c r="BQ392" t="s">
        <v>74</v>
      </c>
      <c r="BR392" t="s">
        <v>105</v>
      </c>
      <c r="BS392" t="s">
        <v>7540</v>
      </c>
      <c r="BT392" t="str">
        <f>HYPERLINK("https%3A%2F%2Fwww.webofscience.com%2Fwos%2Fwoscc%2Ffull-record%2FWOS:000320714800004","View Full Record in Web of Science")</f>
        <v>View Full Record in Web of Science</v>
      </c>
    </row>
    <row r="393" spans="1:72" x14ac:dyDescent="0.15">
      <c r="A393" t="s">
        <v>72</v>
      </c>
      <c r="B393" t="s">
        <v>7541</v>
      </c>
      <c r="C393" t="s">
        <v>74</v>
      </c>
      <c r="D393" t="s">
        <v>74</v>
      </c>
      <c r="E393" t="s">
        <v>74</v>
      </c>
      <c r="F393" t="s">
        <v>7542</v>
      </c>
      <c r="G393" t="s">
        <v>74</v>
      </c>
      <c r="H393" t="s">
        <v>74</v>
      </c>
      <c r="I393" t="s">
        <v>7543</v>
      </c>
      <c r="J393" t="s">
        <v>7544</v>
      </c>
      <c r="K393" t="s">
        <v>74</v>
      </c>
      <c r="L393" t="s">
        <v>74</v>
      </c>
      <c r="M393" t="s">
        <v>78</v>
      </c>
      <c r="N393" t="s">
        <v>79</v>
      </c>
      <c r="O393" t="s">
        <v>74</v>
      </c>
      <c r="P393" t="s">
        <v>74</v>
      </c>
      <c r="Q393" t="s">
        <v>74</v>
      </c>
      <c r="R393" t="s">
        <v>74</v>
      </c>
      <c r="S393" t="s">
        <v>74</v>
      </c>
      <c r="T393" t="s">
        <v>7545</v>
      </c>
      <c r="U393" t="s">
        <v>7546</v>
      </c>
      <c r="V393" t="s">
        <v>7547</v>
      </c>
      <c r="W393" t="s">
        <v>7548</v>
      </c>
      <c r="X393" t="s">
        <v>7549</v>
      </c>
      <c r="Y393" t="s">
        <v>7550</v>
      </c>
      <c r="Z393" t="s">
        <v>7551</v>
      </c>
      <c r="AA393" t="s">
        <v>7552</v>
      </c>
      <c r="AB393" t="s">
        <v>7553</v>
      </c>
      <c r="AC393" t="s">
        <v>7554</v>
      </c>
      <c r="AD393" t="s">
        <v>7555</v>
      </c>
      <c r="AE393" t="s">
        <v>7556</v>
      </c>
      <c r="AF393" t="s">
        <v>74</v>
      </c>
      <c r="AG393">
        <v>34</v>
      </c>
      <c r="AH393">
        <v>16</v>
      </c>
      <c r="AI393">
        <v>17</v>
      </c>
      <c r="AJ393">
        <v>0</v>
      </c>
      <c r="AK393">
        <v>33</v>
      </c>
      <c r="AL393" t="s">
        <v>529</v>
      </c>
      <c r="AM393" t="s">
        <v>1151</v>
      </c>
      <c r="AN393" t="s">
        <v>1152</v>
      </c>
      <c r="AO393" t="s">
        <v>7557</v>
      </c>
      <c r="AP393" t="s">
        <v>74</v>
      </c>
      <c r="AQ393" t="s">
        <v>74</v>
      </c>
      <c r="AR393" t="s">
        <v>7558</v>
      </c>
      <c r="AS393" t="s">
        <v>7559</v>
      </c>
      <c r="AT393" t="s">
        <v>5642</v>
      </c>
      <c r="AU393">
        <v>2013</v>
      </c>
      <c r="AV393">
        <v>185</v>
      </c>
      <c r="AW393">
        <v>6</v>
      </c>
      <c r="AX393" t="s">
        <v>74</v>
      </c>
      <c r="AY393" t="s">
        <v>74</v>
      </c>
      <c r="AZ393" t="s">
        <v>74</v>
      </c>
      <c r="BA393" t="s">
        <v>74</v>
      </c>
      <c r="BB393">
        <v>5243</v>
      </c>
      <c r="BC393">
        <v>5249</v>
      </c>
      <c r="BD393" t="s">
        <v>74</v>
      </c>
      <c r="BE393" t="s">
        <v>7560</v>
      </c>
      <c r="BF393" t="str">
        <f>HYPERLINK("http://dx.doi.org/10.1007/s10661-012-2940-2","http://dx.doi.org/10.1007/s10661-012-2940-2")</f>
        <v>http://dx.doi.org/10.1007/s10661-012-2940-2</v>
      </c>
      <c r="BG393" t="s">
        <v>74</v>
      </c>
      <c r="BH393" t="s">
        <v>74</v>
      </c>
      <c r="BI393">
        <v>7</v>
      </c>
      <c r="BJ393" t="s">
        <v>512</v>
      </c>
      <c r="BK393" t="s">
        <v>102</v>
      </c>
      <c r="BL393" t="s">
        <v>262</v>
      </c>
      <c r="BM393" t="s">
        <v>7561</v>
      </c>
      <c r="BN393">
        <v>23132753</v>
      </c>
      <c r="BO393" t="s">
        <v>74</v>
      </c>
      <c r="BP393" t="s">
        <v>74</v>
      </c>
      <c r="BQ393" t="s">
        <v>74</v>
      </c>
      <c r="BR393" t="s">
        <v>105</v>
      </c>
      <c r="BS393" t="s">
        <v>7562</v>
      </c>
      <c r="BT393" t="str">
        <f>HYPERLINK("https%3A%2F%2Fwww.webofscience.com%2Fwos%2Fwoscc%2Ffull-record%2FWOS:000318503100058","View Full Record in Web of Science")</f>
        <v>View Full Record in Web of Science</v>
      </c>
    </row>
    <row r="394" spans="1:72" x14ac:dyDescent="0.15">
      <c r="A394" t="s">
        <v>72</v>
      </c>
      <c r="B394" t="s">
        <v>7563</v>
      </c>
      <c r="C394" t="s">
        <v>74</v>
      </c>
      <c r="D394" t="s">
        <v>74</v>
      </c>
      <c r="E394" t="s">
        <v>74</v>
      </c>
      <c r="F394" t="s">
        <v>7564</v>
      </c>
      <c r="G394" t="s">
        <v>74</v>
      </c>
      <c r="H394" t="s">
        <v>74</v>
      </c>
      <c r="I394" t="s">
        <v>7565</v>
      </c>
      <c r="J394" t="s">
        <v>7566</v>
      </c>
      <c r="K394" t="s">
        <v>74</v>
      </c>
      <c r="L394" t="s">
        <v>74</v>
      </c>
      <c r="M394" t="s">
        <v>78</v>
      </c>
      <c r="N394" t="s">
        <v>79</v>
      </c>
      <c r="O394" t="s">
        <v>74</v>
      </c>
      <c r="P394" t="s">
        <v>74</v>
      </c>
      <c r="Q394" t="s">
        <v>74</v>
      </c>
      <c r="R394" t="s">
        <v>74</v>
      </c>
      <c r="S394" t="s">
        <v>74</v>
      </c>
      <c r="T394" t="s">
        <v>7567</v>
      </c>
      <c r="U394" t="s">
        <v>7568</v>
      </c>
      <c r="V394" t="s">
        <v>7569</v>
      </c>
      <c r="W394" t="s">
        <v>7570</v>
      </c>
      <c r="X394" t="s">
        <v>7571</v>
      </c>
      <c r="Y394" t="s">
        <v>7572</v>
      </c>
      <c r="Z394" t="s">
        <v>7573</v>
      </c>
      <c r="AA394" t="s">
        <v>7574</v>
      </c>
      <c r="AB394" t="s">
        <v>7575</v>
      </c>
      <c r="AC394" t="s">
        <v>7576</v>
      </c>
      <c r="AD394" t="s">
        <v>7577</v>
      </c>
      <c r="AE394" t="s">
        <v>7578</v>
      </c>
      <c r="AF394" t="s">
        <v>74</v>
      </c>
      <c r="AG394">
        <v>70</v>
      </c>
      <c r="AH394">
        <v>34</v>
      </c>
      <c r="AI394">
        <v>40</v>
      </c>
      <c r="AJ394">
        <v>2</v>
      </c>
      <c r="AK394">
        <v>94</v>
      </c>
      <c r="AL394" t="s">
        <v>1515</v>
      </c>
      <c r="AM394" t="s">
        <v>442</v>
      </c>
      <c r="AN394" t="s">
        <v>1516</v>
      </c>
      <c r="AO394" t="s">
        <v>7579</v>
      </c>
      <c r="AP394" t="s">
        <v>74</v>
      </c>
      <c r="AQ394" t="s">
        <v>74</v>
      </c>
      <c r="AR394" t="s">
        <v>7580</v>
      </c>
      <c r="AS394" t="s">
        <v>7581</v>
      </c>
      <c r="AT394" t="s">
        <v>5642</v>
      </c>
      <c r="AU394">
        <v>2013</v>
      </c>
      <c r="AV394">
        <v>117</v>
      </c>
      <c r="AW394">
        <v>6</v>
      </c>
      <c r="AX394" t="s">
        <v>74</v>
      </c>
      <c r="AY394" t="s">
        <v>74</v>
      </c>
      <c r="AZ394" t="s">
        <v>74</v>
      </c>
      <c r="BA394" t="s">
        <v>74</v>
      </c>
      <c r="BB394">
        <v>431</v>
      </c>
      <c r="BC394">
        <v>438</v>
      </c>
      <c r="BD394" t="s">
        <v>74</v>
      </c>
      <c r="BE394" t="s">
        <v>7582</v>
      </c>
      <c r="BF394" t="str">
        <f>HYPERLINK("http://dx.doi.org/10.1016/j.funbio.2013.04.007","http://dx.doi.org/10.1016/j.funbio.2013.04.007")</f>
        <v>http://dx.doi.org/10.1016/j.funbio.2013.04.007</v>
      </c>
      <c r="BG394" t="s">
        <v>74</v>
      </c>
      <c r="BH394" t="s">
        <v>74</v>
      </c>
      <c r="BI394">
        <v>8</v>
      </c>
      <c r="BJ394" t="s">
        <v>7583</v>
      </c>
      <c r="BK394" t="s">
        <v>102</v>
      </c>
      <c r="BL394" t="s">
        <v>7583</v>
      </c>
      <c r="BM394" t="s">
        <v>7584</v>
      </c>
      <c r="BN394">
        <v>23809653</v>
      </c>
      <c r="BO394" t="s">
        <v>74</v>
      </c>
      <c r="BP394" t="s">
        <v>74</v>
      </c>
      <c r="BQ394" t="s">
        <v>74</v>
      </c>
      <c r="BR394" t="s">
        <v>105</v>
      </c>
      <c r="BS394" t="s">
        <v>7585</v>
      </c>
      <c r="BT394" t="str">
        <f>HYPERLINK("https%3A%2F%2Fwww.webofscience.com%2Fwos%2Fwoscc%2Ffull-record%2FWOS:000321939400005","View Full Record in Web of Science")</f>
        <v>View Full Record in Web of Science</v>
      </c>
    </row>
    <row r="395" spans="1:72" x14ac:dyDescent="0.15">
      <c r="A395" t="s">
        <v>72</v>
      </c>
      <c r="B395" t="s">
        <v>7586</v>
      </c>
      <c r="C395" t="s">
        <v>74</v>
      </c>
      <c r="D395" t="s">
        <v>74</v>
      </c>
      <c r="E395" t="s">
        <v>74</v>
      </c>
      <c r="F395" t="s">
        <v>7587</v>
      </c>
      <c r="G395" t="s">
        <v>74</v>
      </c>
      <c r="H395" t="s">
        <v>74</v>
      </c>
      <c r="I395" t="s">
        <v>7588</v>
      </c>
      <c r="J395" t="s">
        <v>1571</v>
      </c>
      <c r="K395" t="s">
        <v>74</v>
      </c>
      <c r="L395" t="s">
        <v>74</v>
      </c>
      <c r="M395" t="s">
        <v>78</v>
      </c>
      <c r="N395" t="s">
        <v>79</v>
      </c>
      <c r="O395" t="s">
        <v>74</v>
      </c>
      <c r="P395" t="s">
        <v>74</v>
      </c>
      <c r="Q395" t="s">
        <v>74</v>
      </c>
      <c r="R395" t="s">
        <v>74</v>
      </c>
      <c r="S395" t="s">
        <v>74</v>
      </c>
      <c r="T395" t="s">
        <v>7589</v>
      </c>
      <c r="U395" t="s">
        <v>7590</v>
      </c>
      <c r="V395" t="s">
        <v>7591</v>
      </c>
      <c r="W395" t="s">
        <v>7592</v>
      </c>
      <c r="X395" t="s">
        <v>7593</v>
      </c>
      <c r="Y395" t="s">
        <v>7594</v>
      </c>
      <c r="Z395" t="s">
        <v>7595</v>
      </c>
      <c r="AA395" t="s">
        <v>74</v>
      </c>
      <c r="AB395" t="s">
        <v>74</v>
      </c>
      <c r="AC395" t="s">
        <v>7596</v>
      </c>
      <c r="AD395" t="s">
        <v>7597</v>
      </c>
      <c r="AE395" t="s">
        <v>7598</v>
      </c>
      <c r="AF395" t="s">
        <v>74</v>
      </c>
      <c r="AG395">
        <v>64</v>
      </c>
      <c r="AH395">
        <v>41</v>
      </c>
      <c r="AI395">
        <v>50</v>
      </c>
      <c r="AJ395">
        <v>3</v>
      </c>
      <c r="AK395">
        <v>58</v>
      </c>
      <c r="AL395" t="s">
        <v>92</v>
      </c>
      <c r="AM395" t="s">
        <v>93</v>
      </c>
      <c r="AN395" t="s">
        <v>94</v>
      </c>
      <c r="AO395" t="s">
        <v>1584</v>
      </c>
      <c r="AP395" t="s">
        <v>74</v>
      </c>
      <c r="AQ395" t="s">
        <v>74</v>
      </c>
      <c r="AR395" t="s">
        <v>1585</v>
      </c>
      <c r="AS395" t="s">
        <v>1586</v>
      </c>
      <c r="AT395" t="s">
        <v>5642</v>
      </c>
      <c r="AU395">
        <v>2013</v>
      </c>
      <c r="AV395">
        <v>14</v>
      </c>
      <c r="AW395">
        <v>6</v>
      </c>
      <c r="AX395" t="s">
        <v>74</v>
      </c>
      <c r="AY395" t="s">
        <v>74</v>
      </c>
      <c r="AZ395" t="s">
        <v>74</v>
      </c>
      <c r="BA395" t="s">
        <v>74</v>
      </c>
      <c r="BB395">
        <v>1740</v>
      </c>
      <c r="BC395">
        <v>1755</v>
      </c>
      <c r="BD395" t="s">
        <v>74</v>
      </c>
      <c r="BE395" t="s">
        <v>7599</v>
      </c>
      <c r="BF395" t="str">
        <f>HYPERLINK("http://dx.doi.org/10.1002/ggge.20108","http://dx.doi.org/10.1002/ggge.20108")</f>
        <v>http://dx.doi.org/10.1002/ggge.20108</v>
      </c>
      <c r="BG395" t="s">
        <v>74</v>
      </c>
      <c r="BH395" t="s">
        <v>74</v>
      </c>
      <c r="BI395">
        <v>16</v>
      </c>
      <c r="BJ395" t="s">
        <v>766</v>
      </c>
      <c r="BK395" t="s">
        <v>102</v>
      </c>
      <c r="BL395" t="s">
        <v>766</v>
      </c>
      <c r="BM395" t="s">
        <v>5832</v>
      </c>
      <c r="BN395" t="s">
        <v>74</v>
      </c>
      <c r="BO395" t="s">
        <v>104</v>
      </c>
      <c r="BP395" t="s">
        <v>74</v>
      </c>
      <c r="BQ395" t="s">
        <v>74</v>
      </c>
      <c r="BR395" t="s">
        <v>105</v>
      </c>
      <c r="BS395" t="s">
        <v>7600</v>
      </c>
      <c r="BT395" t="str">
        <f>HYPERLINK("https%3A%2F%2Fwww.webofscience.com%2Fwos%2Fwoscc%2Ffull-record%2FWOS:000321960000005","View Full Record in Web of Science")</f>
        <v>View Full Record in Web of Science</v>
      </c>
    </row>
    <row r="396" spans="1:72" x14ac:dyDescent="0.15">
      <c r="A396" t="s">
        <v>72</v>
      </c>
      <c r="B396" t="s">
        <v>7601</v>
      </c>
      <c r="C396" t="s">
        <v>74</v>
      </c>
      <c r="D396" t="s">
        <v>74</v>
      </c>
      <c r="E396" t="s">
        <v>74</v>
      </c>
      <c r="F396" t="s">
        <v>7602</v>
      </c>
      <c r="G396" t="s">
        <v>74</v>
      </c>
      <c r="H396" t="s">
        <v>74</v>
      </c>
      <c r="I396" t="s">
        <v>7603</v>
      </c>
      <c r="J396" t="s">
        <v>268</v>
      </c>
      <c r="K396" t="s">
        <v>74</v>
      </c>
      <c r="L396" t="s">
        <v>74</v>
      </c>
      <c r="M396" t="s">
        <v>78</v>
      </c>
      <c r="N396" t="s">
        <v>79</v>
      </c>
      <c r="O396" t="s">
        <v>74</v>
      </c>
      <c r="P396" t="s">
        <v>74</v>
      </c>
      <c r="Q396" t="s">
        <v>74</v>
      </c>
      <c r="R396" t="s">
        <v>74</v>
      </c>
      <c r="S396" t="s">
        <v>74</v>
      </c>
      <c r="T396" t="s">
        <v>74</v>
      </c>
      <c r="U396" t="s">
        <v>7604</v>
      </c>
      <c r="V396" t="s">
        <v>7605</v>
      </c>
      <c r="W396" t="s">
        <v>7606</v>
      </c>
      <c r="X396" t="s">
        <v>7607</v>
      </c>
      <c r="Y396" t="s">
        <v>7608</v>
      </c>
      <c r="Z396" t="s">
        <v>74</v>
      </c>
      <c r="AA396" t="s">
        <v>7609</v>
      </c>
      <c r="AB396" t="s">
        <v>7610</v>
      </c>
      <c r="AC396" t="s">
        <v>7611</v>
      </c>
      <c r="AD396" t="s">
        <v>7612</v>
      </c>
      <c r="AE396" t="s">
        <v>7613</v>
      </c>
      <c r="AF396" t="s">
        <v>74</v>
      </c>
      <c r="AG396">
        <v>26</v>
      </c>
      <c r="AH396">
        <v>61</v>
      </c>
      <c r="AI396">
        <v>64</v>
      </c>
      <c r="AJ396">
        <v>2</v>
      </c>
      <c r="AK396">
        <v>66</v>
      </c>
      <c r="AL396" t="s">
        <v>279</v>
      </c>
      <c r="AM396" t="s">
        <v>280</v>
      </c>
      <c r="AN396" t="s">
        <v>281</v>
      </c>
      <c r="AO396" t="s">
        <v>282</v>
      </c>
      <c r="AP396" t="s">
        <v>283</v>
      </c>
      <c r="AQ396" t="s">
        <v>74</v>
      </c>
      <c r="AR396" t="s">
        <v>268</v>
      </c>
      <c r="AS396" t="s">
        <v>219</v>
      </c>
      <c r="AT396" t="s">
        <v>5642</v>
      </c>
      <c r="AU396">
        <v>2013</v>
      </c>
      <c r="AV396">
        <v>41</v>
      </c>
      <c r="AW396">
        <v>6</v>
      </c>
      <c r="AX396" t="s">
        <v>74</v>
      </c>
      <c r="AY396" t="s">
        <v>74</v>
      </c>
      <c r="AZ396" t="s">
        <v>74</v>
      </c>
      <c r="BA396" t="s">
        <v>74</v>
      </c>
      <c r="BB396">
        <v>667</v>
      </c>
      <c r="BC396">
        <v>670</v>
      </c>
      <c r="BD396" t="s">
        <v>74</v>
      </c>
      <c r="BE396" t="s">
        <v>7614</v>
      </c>
      <c r="BF396" t="str">
        <f>HYPERLINK("http://dx.doi.org/10.1130/G34133.1","http://dx.doi.org/10.1130/G34133.1")</f>
        <v>http://dx.doi.org/10.1130/G34133.1</v>
      </c>
      <c r="BG396" t="s">
        <v>74</v>
      </c>
      <c r="BH396" t="s">
        <v>74</v>
      </c>
      <c r="BI396">
        <v>4</v>
      </c>
      <c r="BJ396" t="s">
        <v>219</v>
      </c>
      <c r="BK396" t="s">
        <v>102</v>
      </c>
      <c r="BL396" t="s">
        <v>219</v>
      </c>
      <c r="BM396" t="s">
        <v>7615</v>
      </c>
      <c r="BN396" t="s">
        <v>74</v>
      </c>
      <c r="BO396" t="s">
        <v>74</v>
      </c>
      <c r="BP396" t="s">
        <v>74</v>
      </c>
      <c r="BQ396" t="s">
        <v>74</v>
      </c>
      <c r="BR396" t="s">
        <v>105</v>
      </c>
      <c r="BS396" t="s">
        <v>7616</v>
      </c>
      <c r="BT396" t="str">
        <f>HYPERLINK("https%3A%2F%2Fwww.webofscience.com%2Fwos%2Fwoscc%2Ffull-record%2FWOS:000323269800011","View Full Record in Web of Science")</f>
        <v>View Full Record in Web of Science</v>
      </c>
    </row>
    <row r="397" spans="1:72" x14ac:dyDescent="0.15">
      <c r="A397" t="s">
        <v>72</v>
      </c>
      <c r="B397" t="s">
        <v>7617</v>
      </c>
      <c r="C397" t="s">
        <v>74</v>
      </c>
      <c r="D397" t="s">
        <v>74</v>
      </c>
      <c r="E397" t="s">
        <v>74</v>
      </c>
      <c r="F397" t="s">
        <v>7618</v>
      </c>
      <c r="G397" t="s">
        <v>74</v>
      </c>
      <c r="H397" t="s">
        <v>74</v>
      </c>
      <c r="I397" t="s">
        <v>7619</v>
      </c>
      <c r="J397" t="s">
        <v>7620</v>
      </c>
      <c r="K397" t="s">
        <v>74</v>
      </c>
      <c r="L397" t="s">
        <v>74</v>
      </c>
      <c r="M397" t="s">
        <v>78</v>
      </c>
      <c r="N397" t="s">
        <v>79</v>
      </c>
      <c r="O397" t="s">
        <v>74</v>
      </c>
      <c r="P397" t="s">
        <v>74</v>
      </c>
      <c r="Q397" t="s">
        <v>74</v>
      </c>
      <c r="R397" t="s">
        <v>74</v>
      </c>
      <c r="S397" t="s">
        <v>74</v>
      </c>
      <c r="T397" t="s">
        <v>7621</v>
      </c>
      <c r="U397" t="s">
        <v>74</v>
      </c>
      <c r="V397" t="s">
        <v>7622</v>
      </c>
      <c r="W397" t="s">
        <v>7623</v>
      </c>
      <c r="X397" t="s">
        <v>7624</v>
      </c>
      <c r="Y397" t="s">
        <v>7625</v>
      </c>
      <c r="Z397" t="s">
        <v>7626</v>
      </c>
      <c r="AA397" t="s">
        <v>74</v>
      </c>
      <c r="AB397" t="s">
        <v>74</v>
      </c>
      <c r="AC397" t="s">
        <v>7627</v>
      </c>
      <c r="AD397" t="s">
        <v>7628</v>
      </c>
      <c r="AE397" t="s">
        <v>7629</v>
      </c>
      <c r="AF397" t="s">
        <v>74</v>
      </c>
      <c r="AG397">
        <v>104</v>
      </c>
      <c r="AH397">
        <v>9</v>
      </c>
      <c r="AI397">
        <v>10</v>
      </c>
      <c r="AJ397">
        <v>0</v>
      </c>
      <c r="AK397">
        <v>1</v>
      </c>
      <c r="AL397" t="s">
        <v>7630</v>
      </c>
      <c r="AM397" t="s">
        <v>7631</v>
      </c>
      <c r="AN397" t="s">
        <v>7632</v>
      </c>
      <c r="AO397" t="s">
        <v>7633</v>
      </c>
      <c r="AP397" t="s">
        <v>74</v>
      </c>
      <c r="AQ397" t="s">
        <v>74</v>
      </c>
      <c r="AR397" t="s">
        <v>7620</v>
      </c>
      <c r="AS397" t="s">
        <v>7634</v>
      </c>
      <c r="AT397" t="s">
        <v>5642</v>
      </c>
      <c r="AU397">
        <v>2013</v>
      </c>
      <c r="AV397">
        <v>3</v>
      </c>
      <c r="AW397">
        <v>2</v>
      </c>
      <c r="AX397" t="s">
        <v>74</v>
      </c>
      <c r="AY397" t="s">
        <v>74</v>
      </c>
      <c r="AZ397" t="s">
        <v>74</v>
      </c>
      <c r="BA397" t="s">
        <v>74</v>
      </c>
      <c r="BB397">
        <v>331</v>
      </c>
      <c r="BC397">
        <v>353</v>
      </c>
      <c r="BD397" t="s">
        <v>74</v>
      </c>
      <c r="BE397" t="s">
        <v>7635</v>
      </c>
      <c r="BF397" t="str">
        <f>HYPERLINK("http://dx.doi.org/10.3390/geosciences3020331","http://dx.doi.org/10.3390/geosciences3020331")</f>
        <v>http://dx.doi.org/10.3390/geosciences3020331</v>
      </c>
      <c r="BG397" t="s">
        <v>74</v>
      </c>
      <c r="BH397" t="s">
        <v>74</v>
      </c>
      <c r="BI397">
        <v>23</v>
      </c>
      <c r="BJ397" t="s">
        <v>1426</v>
      </c>
      <c r="BK397" t="s">
        <v>1452</v>
      </c>
      <c r="BL397" t="s">
        <v>219</v>
      </c>
      <c r="BM397" t="s">
        <v>7636</v>
      </c>
      <c r="BN397" t="s">
        <v>74</v>
      </c>
      <c r="BO397" t="s">
        <v>2917</v>
      </c>
      <c r="BP397" t="s">
        <v>74</v>
      </c>
      <c r="BQ397" t="s">
        <v>74</v>
      </c>
      <c r="BR397" t="s">
        <v>105</v>
      </c>
      <c r="BS397" t="s">
        <v>7637</v>
      </c>
      <c r="BT397" t="str">
        <f>HYPERLINK("https%3A%2F%2Fwww.webofscience.com%2Fwos%2Fwoscc%2Ffull-record%2FWOS:000409631500008","View Full Record in Web of Science")</f>
        <v>View Full Record in Web of Science</v>
      </c>
    </row>
    <row r="398" spans="1:72" x14ac:dyDescent="0.15">
      <c r="A398" t="s">
        <v>72</v>
      </c>
      <c r="B398" t="s">
        <v>7638</v>
      </c>
      <c r="C398" t="s">
        <v>74</v>
      </c>
      <c r="D398" t="s">
        <v>74</v>
      </c>
      <c r="E398" t="s">
        <v>74</v>
      </c>
      <c r="F398" t="s">
        <v>7639</v>
      </c>
      <c r="G398" t="s">
        <v>74</v>
      </c>
      <c r="H398" t="s">
        <v>74</v>
      </c>
      <c r="I398" t="s">
        <v>7640</v>
      </c>
      <c r="J398" t="s">
        <v>6762</v>
      </c>
      <c r="K398" t="s">
        <v>74</v>
      </c>
      <c r="L398" t="s">
        <v>74</v>
      </c>
      <c r="M398" t="s">
        <v>78</v>
      </c>
      <c r="N398" t="s">
        <v>79</v>
      </c>
      <c r="O398" t="s">
        <v>74</v>
      </c>
      <c r="P398" t="s">
        <v>74</v>
      </c>
      <c r="Q398" t="s">
        <v>74</v>
      </c>
      <c r="R398" t="s">
        <v>74</v>
      </c>
      <c r="S398" t="s">
        <v>74</v>
      </c>
      <c r="T398" t="s">
        <v>7641</v>
      </c>
      <c r="U398" t="s">
        <v>7642</v>
      </c>
      <c r="V398" t="s">
        <v>7643</v>
      </c>
      <c r="W398" t="s">
        <v>7644</v>
      </c>
      <c r="X398" t="s">
        <v>3470</v>
      </c>
      <c r="Y398" t="s">
        <v>7645</v>
      </c>
      <c r="Z398" t="s">
        <v>3472</v>
      </c>
      <c r="AA398" t="s">
        <v>3473</v>
      </c>
      <c r="AB398" t="s">
        <v>3474</v>
      </c>
      <c r="AC398" t="s">
        <v>7646</v>
      </c>
      <c r="AD398" t="s">
        <v>7647</v>
      </c>
      <c r="AE398" t="s">
        <v>7648</v>
      </c>
      <c r="AF398" t="s">
        <v>74</v>
      </c>
      <c r="AG398">
        <v>14</v>
      </c>
      <c r="AH398">
        <v>5</v>
      </c>
      <c r="AI398">
        <v>6</v>
      </c>
      <c r="AJ398">
        <v>0</v>
      </c>
      <c r="AK398">
        <v>9</v>
      </c>
      <c r="AL398" t="s">
        <v>7649</v>
      </c>
      <c r="AM398" t="s">
        <v>643</v>
      </c>
      <c r="AN398" t="s">
        <v>7650</v>
      </c>
      <c r="AO398" t="s">
        <v>6775</v>
      </c>
      <c r="AP398" t="s">
        <v>7651</v>
      </c>
      <c r="AQ398" t="s">
        <v>74</v>
      </c>
      <c r="AR398" t="s">
        <v>6776</v>
      </c>
      <c r="AS398" t="s">
        <v>6777</v>
      </c>
      <c r="AT398" t="s">
        <v>5642</v>
      </c>
      <c r="AU398">
        <v>2013</v>
      </c>
      <c r="AV398">
        <v>67</v>
      </c>
      <c r="AW398">
        <v>2</v>
      </c>
      <c r="AX398" t="s">
        <v>74</v>
      </c>
      <c r="AY398" t="s">
        <v>74</v>
      </c>
      <c r="AZ398" t="s">
        <v>74</v>
      </c>
      <c r="BA398" t="s">
        <v>74</v>
      </c>
      <c r="BB398">
        <v>337</v>
      </c>
      <c r="BC398">
        <v>347</v>
      </c>
      <c r="BD398" t="s">
        <v>74</v>
      </c>
      <c r="BE398" t="s">
        <v>7652</v>
      </c>
      <c r="BF398" t="str">
        <f>HYPERLINK("http://dx.doi.org/10.1007/s10152-012-0325-0","http://dx.doi.org/10.1007/s10152-012-0325-0")</f>
        <v>http://dx.doi.org/10.1007/s10152-012-0325-0</v>
      </c>
      <c r="BG398" t="s">
        <v>74</v>
      </c>
      <c r="BH398" t="s">
        <v>74</v>
      </c>
      <c r="BI398">
        <v>11</v>
      </c>
      <c r="BJ398" t="s">
        <v>3206</v>
      </c>
      <c r="BK398" t="s">
        <v>102</v>
      </c>
      <c r="BL398" t="s">
        <v>3206</v>
      </c>
      <c r="BM398" t="s">
        <v>6779</v>
      </c>
      <c r="BN398" t="s">
        <v>74</v>
      </c>
      <c r="BO398" t="s">
        <v>1589</v>
      </c>
      <c r="BP398" t="s">
        <v>74</v>
      </c>
      <c r="BQ398" t="s">
        <v>74</v>
      </c>
      <c r="BR398" t="s">
        <v>105</v>
      </c>
      <c r="BS398" t="s">
        <v>7653</v>
      </c>
      <c r="BT398" t="str">
        <f>HYPERLINK("https%3A%2F%2Fwww.webofscience.com%2Fwos%2Fwoscc%2Ffull-record%2FWOS:000319350200010","View Full Record in Web of Science")</f>
        <v>View Full Record in Web of Science</v>
      </c>
    </row>
    <row r="399" spans="1:72" x14ac:dyDescent="0.15">
      <c r="A399" t="s">
        <v>72</v>
      </c>
      <c r="B399" t="s">
        <v>7654</v>
      </c>
      <c r="C399" t="s">
        <v>74</v>
      </c>
      <c r="D399" t="s">
        <v>74</v>
      </c>
      <c r="E399" t="s">
        <v>74</v>
      </c>
      <c r="F399" t="s">
        <v>7655</v>
      </c>
      <c r="G399" t="s">
        <v>74</v>
      </c>
      <c r="H399" t="s">
        <v>74</v>
      </c>
      <c r="I399" t="s">
        <v>7656</v>
      </c>
      <c r="J399" t="s">
        <v>7657</v>
      </c>
      <c r="K399" t="s">
        <v>74</v>
      </c>
      <c r="L399" t="s">
        <v>74</v>
      </c>
      <c r="M399" t="s">
        <v>78</v>
      </c>
      <c r="N399" t="s">
        <v>79</v>
      </c>
      <c r="O399" t="s">
        <v>74</v>
      </c>
      <c r="P399" t="s">
        <v>74</v>
      </c>
      <c r="Q399" t="s">
        <v>74</v>
      </c>
      <c r="R399" t="s">
        <v>74</v>
      </c>
      <c r="S399" t="s">
        <v>74</v>
      </c>
      <c r="T399" t="s">
        <v>7658</v>
      </c>
      <c r="U399" t="s">
        <v>7659</v>
      </c>
      <c r="V399" t="s">
        <v>7660</v>
      </c>
      <c r="W399" t="s">
        <v>7661</v>
      </c>
      <c r="X399" t="s">
        <v>7662</v>
      </c>
      <c r="Y399" t="s">
        <v>7663</v>
      </c>
      <c r="Z399" t="s">
        <v>7664</v>
      </c>
      <c r="AA399" t="s">
        <v>7665</v>
      </c>
      <c r="AB399" t="s">
        <v>7666</v>
      </c>
      <c r="AC399" t="s">
        <v>7667</v>
      </c>
      <c r="AD399" t="s">
        <v>7668</v>
      </c>
      <c r="AE399" t="s">
        <v>7669</v>
      </c>
      <c r="AF399" t="s">
        <v>74</v>
      </c>
      <c r="AG399">
        <v>65</v>
      </c>
      <c r="AH399">
        <v>23</v>
      </c>
      <c r="AI399">
        <v>25</v>
      </c>
      <c r="AJ399">
        <v>0</v>
      </c>
      <c r="AK399">
        <v>40</v>
      </c>
      <c r="AL399" t="s">
        <v>642</v>
      </c>
      <c r="AM399" t="s">
        <v>643</v>
      </c>
      <c r="AN399" t="s">
        <v>644</v>
      </c>
      <c r="AO399" t="s">
        <v>7670</v>
      </c>
      <c r="AP399" t="s">
        <v>7671</v>
      </c>
      <c r="AQ399" t="s">
        <v>74</v>
      </c>
      <c r="AR399" t="s">
        <v>7657</v>
      </c>
      <c r="AS399" t="s">
        <v>7672</v>
      </c>
      <c r="AT399" t="s">
        <v>5642</v>
      </c>
      <c r="AU399">
        <v>2013</v>
      </c>
      <c r="AV399">
        <v>23</v>
      </c>
      <c r="AW399">
        <v>6</v>
      </c>
      <c r="AX399" t="s">
        <v>74</v>
      </c>
      <c r="AY399" t="s">
        <v>74</v>
      </c>
      <c r="AZ399" t="s">
        <v>74</v>
      </c>
      <c r="BA399" t="s">
        <v>74</v>
      </c>
      <c r="BB399">
        <v>771</v>
      </c>
      <c r="BC399">
        <v>783</v>
      </c>
      <c r="BD399" t="s">
        <v>74</v>
      </c>
      <c r="BE399" t="s">
        <v>7673</v>
      </c>
      <c r="BF399" t="str">
        <f>HYPERLINK("http://dx.doi.org/10.1177/0959683612470176","http://dx.doi.org/10.1177/0959683612470176")</f>
        <v>http://dx.doi.org/10.1177/0959683612470176</v>
      </c>
      <c r="BG399" t="s">
        <v>74</v>
      </c>
      <c r="BH399" t="s">
        <v>74</v>
      </c>
      <c r="BI399">
        <v>13</v>
      </c>
      <c r="BJ399" t="s">
        <v>650</v>
      </c>
      <c r="BK399" t="s">
        <v>102</v>
      </c>
      <c r="BL399" t="s">
        <v>651</v>
      </c>
      <c r="BM399" t="s">
        <v>7674</v>
      </c>
      <c r="BN399" t="s">
        <v>74</v>
      </c>
      <c r="BO399" t="s">
        <v>74</v>
      </c>
      <c r="BP399" t="s">
        <v>74</v>
      </c>
      <c r="BQ399" t="s">
        <v>74</v>
      </c>
      <c r="BR399" t="s">
        <v>105</v>
      </c>
      <c r="BS399" t="s">
        <v>7675</v>
      </c>
      <c r="BT399" t="str">
        <f>HYPERLINK("https%3A%2F%2Fwww.webofscience.com%2Fwos%2Fwoscc%2Ffull-record%2FWOS:000319228000001","View Full Record in Web of Science")</f>
        <v>View Full Record in Web of Science</v>
      </c>
    </row>
    <row r="400" spans="1:72" x14ac:dyDescent="0.15">
      <c r="A400" t="s">
        <v>72</v>
      </c>
      <c r="B400" t="s">
        <v>7676</v>
      </c>
      <c r="C400" t="s">
        <v>74</v>
      </c>
      <c r="D400" t="s">
        <v>74</v>
      </c>
      <c r="E400" t="s">
        <v>74</v>
      </c>
      <c r="F400" t="s">
        <v>7677</v>
      </c>
      <c r="G400" t="s">
        <v>74</v>
      </c>
      <c r="H400" t="s">
        <v>74</v>
      </c>
      <c r="I400" t="s">
        <v>7678</v>
      </c>
      <c r="J400" t="s">
        <v>7657</v>
      </c>
      <c r="K400" t="s">
        <v>74</v>
      </c>
      <c r="L400" t="s">
        <v>74</v>
      </c>
      <c r="M400" t="s">
        <v>78</v>
      </c>
      <c r="N400" t="s">
        <v>79</v>
      </c>
      <c r="O400" t="s">
        <v>74</v>
      </c>
      <c r="P400" t="s">
        <v>74</v>
      </c>
      <c r="Q400" t="s">
        <v>74</v>
      </c>
      <c r="R400" t="s">
        <v>74</v>
      </c>
      <c r="S400" t="s">
        <v>74</v>
      </c>
      <c r="T400" t="s">
        <v>7679</v>
      </c>
      <c r="U400" t="s">
        <v>7680</v>
      </c>
      <c r="V400" t="s">
        <v>7681</v>
      </c>
      <c r="W400" t="s">
        <v>7682</v>
      </c>
      <c r="X400" t="s">
        <v>7683</v>
      </c>
      <c r="Y400" t="s">
        <v>7684</v>
      </c>
      <c r="Z400" t="s">
        <v>7685</v>
      </c>
      <c r="AA400" t="s">
        <v>7686</v>
      </c>
      <c r="AB400" t="s">
        <v>7687</v>
      </c>
      <c r="AC400" t="s">
        <v>7688</v>
      </c>
      <c r="AD400" t="s">
        <v>7689</v>
      </c>
      <c r="AE400" t="s">
        <v>7690</v>
      </c>
      <c r="AF400" t="s">
        <v>74</v>
      </c>
      <c r="AG400">
        <v>53</v>
      </c>
      <c r="AH400">
        <v>56</v>
      </c>
      <c r="AI400">
        <v>59</v>
      </c>
      <c r="AJ400">
        <v>1</v>
      </c>
      <c r="AK400">
        <v>41</v>
      </c>
      <c r="AL400" t="s">
        <v>642</v>
      </c>
      <c r="AM400" t="s">
        <v>643</v>
      </c>
      <c r="AN400" t="s">
        <v>644</v>
      </c>
      <c r="AO400" t="s">
        <v>7670</v>
      </c>
      <c r="AP400" t="s">
        <v>74</v>
      </c>
      <c r="AQ400" t="s">
        <v>74</v>
      </c>
      <c r="AR400" t="s">
        <v>7657</v>
      </c>
      <c r="AS400" t="s">
        <v>7672</v>
      </c>
      <c r="AT400" t="s">
        <v>5642</v>
      </c>
      <c r="AU400">
        <v>2013</v>
      </c>
      <c r="AV400">
        <v>23</v>
      </c>
      <c r="AW400">
        <v>6</v>
      </c>
      <c r="AX400" t="s">
        <v>74</v>
      </c>
      <c r="AY400" t="s">
        <v>74</v>
      </c>
      <c r="AZ400" t="s">
        <v>74</v>
      </c>
      <c r="BA400" t="s">
        <v>74</v>
      </c>
      <c r="BB400">
        <v>784</v>
      </c>
      <c r="BC400">
        <v>795</v>
      </c>
      <c r="BD400" t="s">
        <v>74</v>
      </c>
      <c r="BE400" t="s">
        <v>7691</v>
      </c>
      <c r="BF400" t="str">
        <f>HYPERLINK("http://dx.doi.org/10.1177/0959683612471983","http://dx.doi.org/10.1177/0959683612471983")</f>
        <v>http://dx.doi.org/10.1177/0959683612471983</v>
      </c>
      <c r="BG400" t="s">
        <v>74</v>
      </c>
      <c r="BH400" t="s">
        <v>74</v>
      </c>
      <c r="BI400">
        <v>12</v>
      </c>
      <c r="BJ400" t="s">
        <v>650</v>
      </c>
      <c r="BK400" t="s">
        <v>102</v>
      </c>
      <c r="BL400" t="s">
        <v>651</v>
      </c>
      <c r="BM400" t="s">
        <v>7674</v>
      </c>
      <c r="BN400" t="s">
        <v>74</v>
      </c>
      <c r="BO400" t="s">
        <v>74</v>
      </c>
      <c r="BP400" t="s">
        <v>74</v>
      </c>
      <c r="BQ400" t="s">
        <v>74</v>
      </c>
      <c r="BR400" t="s">
        <v>105</v>
      </c>
      <c r="BS400" t="s">
        <v>7692</v>
      </c>
      <c r="BT400" t="str">
        <f>HYPERLINK("https%3A%2F%2Fwww.webofscience.com%2Fwos%2Fwoscc%2Ffull-record%2FWOS:000319228000002","View Full Record in Web of Science")</f>
        <v>View Full Record in Web of Science</v>
      </c>
    </row>
    <row r="401" spans="1:72" x14ac:dyDescent="0.15">
      <c r="A401" t="s">
        <v>72</v>
      </c>
      <c r="B401" t="s">
        <v>7693</v>
      </c>
      <c r="C401" t="s">
        <v>74</v>
      </c>
      <c r="D401" t="s">
        <v>74</v>
      </c>
      <c r="E401" t="s">
        <v>74</v>
      </c>
      <c r="F401" t="s">
        <v>7694</v>
      </c>
      <c r="G401" t="s">
        <v>74</v>
      </c>
      <c r="H401" t="s">
        <v>74</v>
      </c>
      <c r="I401" t="s">
        <v>7695</v>
      </c>
      <c r="J401" t="s">
        <v>6175</v>
      </c>
      <c r="K401" t="s">
        <v>74</v>
      </c>
      <c r="L401" t="s">
        <v>74</v>
      </c>
      <c r="M401" t="s">
        <v>78</v>
      </c>
      <c r="N401" t="s">
        <v>79</v>
      </c>
      <c r="O401" t="s">
        <v>74</v>
      </c>
      <c r="P401" t="s">
        <v>74</v>
      </c>
      <c r="Q401" t="s">
        <v>74</v>
      </c>
      <c r="R401" t="s">
        <v>74</v>
      </c>
      <c r="S401" t="s">
        <v>74</v>
      </c>
      <c r="T401" t="s">
        <v>7696</v>
      </c>
      <c r="U401" t="s">
        <v>7697</v>
      </c>
      <c r="V401" t="s">
        <v>7698</v>
      </c>
      <c r="W401" t="s">
        <v>7699</v>
      </c>
      <c r="X401" t="s">
        <v>1300</v>
      </c>
      <c r="Y401" t="s">
        <v>7700</v>
      </c>
      <c r="Z401" t="s">
        <v>7701</v>
      </c>
      <c r="AA401" t="s">
        <v>7702</v>
      </c>
      <c r="AB401" t="s">
        <v>7703</v>
      </c>
      <c r="AC401" t="s">
        <v>7704</v>
      </c>
      <c r="AD401" t="s">
        <v>995</v>
      </c>
      <c r="AE401" t="s">
        <v>74</v>
      </c>
      <c r="AF401" t="s">
        <v>74</v>
      </c>
      <c r="AG401">
        <v>41</v>
      </c>
      <c r="AH401">
        <v>195</v>
      </c>
      <c r="AI401">
        <v>215</v>
      </c>
      <c r="AJ401">
        <v>2</v>
      </c>
      <c r="AK401">
        <v>69</v>
      </c>
      <c r="AL401" t="s">
        <v>368</v>
      </c>
      <c r="AM401" t="s">
        <v>369</v>
      </c>
      <c r="AN401" t="s">
        <v>370</v>
      </c>
      <c r="AO401" t="s">
        <v>6188</v>
      </c>
      <c r="AP401" t="s">
        <v>6513</v>
      </c>
      <c r="AQ401" t="s">
        <v>74</v>
      </c>
      <c r="AR401" t="s">
        <v>6189</v>
      </c>
      <c r="AS401" t="s">
        <v>6190</v>
      </c>
      <c r="AT401" t="s">
        <v>5642</v>
      </c>
      <c r="AU401">
        <v>2013</v>
      </c>
      <c r="AV401">
        <v>33</v>
      </c>
      <c r="AW401">
        <v>7</v>
      </c>
      <c r="AX401" t="s">
        <v>74</v>
      </c>
      <c r="AY401" t="s">
        <v>74</v>
      </c>
      <c r="AZ401" t="s">
        <v>74</v>
      </c>
      <c r="BA401" t="s">
        <v>74</v>
      </c>
      <c r="BB401">
        <v>1818</v>
      </c>
      <c r="BC401">
        <v>1829</v>
      </c>
      <c r="BD401" t="s">
        <v>74</v>
      </c>
      <c r="BE401" t="s">
        <v>7705</v>
      </c>
      <c r="BF401" t="str">
        <f>HYPERLINK("http://dx.doi.org/10.1002/joc.3558","http://dx.doi.org/10.1002/joc.3558")</f>
        <v>http://dx.doi.org/10.1002/joc.3558</v>
      </c>
      <c r="BG401" t="s">
        <v>74</v>
      </c>
      <c r="BH401" t="s">
        <v>74</v>
      </c>
      <c r="BI401">
        <v>12</v>
      </c>
      <c r="BJ401" t="s">
        <v>305</v>
      </c>
      <c r="BK401" t="s">
        <v>102</v>
      </c>
      <c r="BL401" t="s">
        <v>305</v>
      </c>
      <c r="BM401" t="s">
        <v>6515</v>
      </c>
      <c r="BN401" t="s">
        <v>74</v>
      </c>
      <c r="BO401" t="s">
        <v>1063</v>
      </c>
      <c r="BP401" t="s">
        <v>74</v>
      </c>
      <c r="BQ401" t="s">
        <v>74</v>
      </c>
      <c r="BR401" t="s">
        <v>105</v>
      </c>
      <c r="BS401" t="s">
        <v>7706</v>
      </c>
      <c r="BT401" t="str">
        <f>HYPERLINK("https%3A%2F%2Fwww.webofscience.com%2Fwos%2Fwoscc%2Ffull-record%2FWOS:000319902800018","View Full Record in Web of Science")</f>
        <v>View Full Record in Web of Science</v>
      </c>
    </row>
    <row r="402" spans="1:72" x14ac:dyDescent="0.15">
      <c r="A402" t="s">
        <v>72</v>
      </c>
      <c r="B402" t="s">
        <v>7707</v>
      </c>
      <c r="C402" t="s">
        <v>74</v>
      </c>
      <c r="D402" t="s">
        <v>74</v>
      </c>
      <c r="E402" t="s">
        <v>74</v>
      </c>
      <c r="F402" t="s">
        <v>7708</v>
      </c>
      <c r="G402" t="s">
        <v>74</v>
      </c>
      <c r="H402" t="s">
        <v>74</v>
      </c>
      <c r="I402" t="s">
        <v>7709</v>
      </c>
      <c r="J402" t="s">
        <v>7710</v>
      </c>
      <c r="K402" t="s">
        <v>74</v>
      </c>
      <c r="L402" t="s">
        <v>74</v>
      </c>
      <c r="M402" t="s">
        <v>78</v>
      </c>
      <c r="N402" t="s">
        <v>7183</v>
      </c>
      <c r="O402" t="s">
        <v>74</v>
      </c>
      <c r="P402" t="s">
        <v>74</v>
      </c>
      <c r="Q402" t="s">
        <v>74</v>
      </c>
      <c r="R402" t="s">
        <v>74</v>
      </c>
      <c r="S402" t="s">
        <v>74</v>
      </c>
      <c r="T402" t="s">
        <v>74</v>
      </c>
      <c r="U402" t="s">
        <v>74</v>
      </c>
      <c r="V402" t="s">
        <v>74</v>
      </c>
      <c r="W402" t="s">
        <v>74</v>
      </c>
      <c r="X402" t="s">
        <v>74</v>
      </c>
      <c r="Y402" t="s">
        <v>74</v>
      </c>
      <c r="Z402" t="s">
        <v>74</v>
      </c>
      <c r="AA402" t="s">
        <v>74</v>
      </c>
      <c r="AB402" t="s">
        <v>74</v>
      </c>
      <c r="AC402" t="s">
        <v>74</v>
      </c>
      <c r="AD402" t="s">
        <v>74</v>
      </c>
      <c r="AE402" t="s">
        <v>74</v>
      </c>
      <c r="AF402" t="s">
        <v>74</v>
      </c>
      <c r="AG402">
        <v>1</v>
      </c>
      <c r="AH402">
        <v>0</v>
      </c>
      <c r="AI402">
        <v>0</v>
      </c>
      <c r="AJ402">
        <v>0</v>
      </c>
      <c r="AK402">
        <v>0</v>
      </c>
      <c r="AL402" t="s">
        <v>642</v>
      </c>
      <c r="AM402" t="s">
        <v>643</v>
      </c>
      <c r="AN402" t="s">
        <v>644</v>
      </c>
      <c r="AO402" t="s">
        <v>7711</v>
      </c>
      <c r="AP402" t="s">
        <v>7712</v>
      </c>
      <c r="AQ402" t="s">
        <v>74</v>
      </c>
      <c r="AR402" t="s">
        <v>7713</v>
      </c>
      <c r="AS402" t="s">
        <v>7714</v>
      </c>
      <c r="AT402" t="s">
        <v>5642</v>
      </c>
      <c r="AU402">
        <v>2013</v>
      </c>
      <c r="AV402">
        <v>25</v>
      </c>
      <c r="AW402">
        <v>1</v>
      </c>
      <c r="AX402" t="s">
        <v>74</v>
      </c>
      <c r="AY402" t="s">
        <v>74</v>
      </c>
      <c r="AZ402" t="s">
        <v>74</v>
      </c>
      <c r="BA402" t="s">
        <v>74</v>
      </c>
      <c r="BB402">
        <v>364</v>
      </c>
      <c r="BC402" t="s">
        <v>7715</v>
      </c>
      <c r="BD402" t="s">
        <v>74</v>
      </c>
      <c r="BE402" t="s">
        <v>7716</v>
      </c>
      <c r="BF402" t="str">
        <f>HYPERLINK("http://dx.doi.org/10.1177/084387141302500140","http://dx.doi.org/10.1177/084387141302500140")</f>
        <v>http://dx.doi.org/10.1177/084387141302500140</v>
      </c>
      <c r="BG402" t="s">
        <v>74</v>
      </c>
      <c r="BH402" t="s">
        <v>74</v>
      </c>
      <c r="BI402">
        <v>4</v>
      </c>
      <c r="BJ402" t="s">
        <v>7717</v>
      </c>
      <c r="BK402" t="s">
        <v>1452</v>
      </c>
      <c r="BL402" t="s">
        <v>7717</v>
      </c>
      <c r="BM402" t="s">
        <v>7718</v>
      </c>
      <c r="BN402" t="s">
        <v>74</v>
      </c>
      <c r="BO402" t="s">
        <v>74</v>
      </c>
      <c r="BP402" t="s">
        <v>74</v>
      </c>
      <c r="BQ402" t="s">
        <v>74</v>
      </c>
      <c r="BR402" t="s">
        <v>105</v>
      </c>
      <c r="BS402" t="s">
        <v>7719</v>
      </c>
      <c r="BT402" t="str">
        <f>HYPERLINK("https%3A%2F%2Fwww.webofscience.com%2Fwos%2Fwoscc%2Ffull-record%2FWOS:000215483900040","View Full Record in Web of Science")</f>
        <v>View Full Record in Web of Science</v>
      </c>
    </row>
    <row r="403" spans="1:72" x14ac:dyDescent="0.15">
      <c r="A403" t="s">
        <v>72</v>
      </c>
      <c r="B403" t="s">
        <v>7720</v>
      </c>
      <c r="C403" t="s">
        <v>74</v>
      </c>
      <c r="D403" t="s">
        <v>74</v>
      </c>
      <c r="E403" t="s">
        <v>74</v>
      </c>
      <c r="F403" t="s">
        <v>7721</v>
      </c>
      <c r="G403" t="s">
        <v>74</v>
      </c>
      <c r="H403" t="s">
        <v>74</v>
      </c>
      <c r="I403" t="s">
        <v>7722</v>
      </c>
      <c r="J403" t="s">
        <v>7710</v>
      </c>
      <c r="K403" t="s">
        <v>74</v>
      </c>
      <c r="L403" t="s">
        <v>74</v>
      </c>
      <c r="M403" t="s">
        <v>78</v>
      </c>
      <c r="N403" t="s">
        <v>7183</v>
      </c>
      <c r="O403" t="s">
        <v>74</v>
      </c>
      <c r="P403" t="s">
        <v>74</v>
      </c>
      <c r="Q403" t="s">
        <v>74</v>
      </c>
      <c r="R403" t="s">
        <v>74</v>
      </c>
      <c r="S403" t="s">
        <v>74</v>
      </c>
      <c r="T403" t="s">
        <v>74</v>
      </c>
      <c r="U403" t="s">
        <v>74</v>
      </c>
      <c r="V403" t="s">
        <v>74</v>
      </c>
      <c r="W403" t="s">
        <v>7723</v>
      </c>
      <c r="X403" t="s">
        <v>7724</v>
      </c>
      <c r="Y403" t="s">
        <v>7725</v>
      </c>
      <c r="Z403" t="s">
        <v>74</v>
      </c>
      <c r="AA403" t="s">
        <v>7726</v>
      </c>
      <c r="AB403" t="s">
        <v>7727</v>
      </c>
      <c r="AC403" t="s">
        <v>74</v>
      </c>
      <c r="AD403" t="s">
        <v>74</v>
      </c>
      <c r="AE403" t="s">
        <v>74</v>
      </c>
      <c r="AF403" t="s">
        <v>74</v>
      </c>
      <c r="AG403">
        <v>1</v>
      </c>
      <c r="AH403">
        <v>0</v>
      </c>
      <c r="AI403">
        <v>0</v>
      </c>
      <c r="AJ403">
        <v>0</v>
      </c>
      <c r="AK403">
        <v>0</v>
      </c>
      <c r="AL403" t="s">
        <v>642</v>
      </c>
      <c r="AM403" t="s">
        <v>643</v>
      </c>
      <c r="AN403" t="s">
        <v>644</v>
      </c>
      <c r="AO403" t="s">
        <v>7711</v>
      </c>
      <c r="AP403" t="s">
        <v>7712</v>
      </c>
      <c r="AQ403" t="s">
        <v>74</v>
      </c>
      <c r="AR403" t="s">
        <v>7713</v>
      </c>
      <c r="AS403" t="s">
        <v>7714</v>
      </c>
      <c r="AT403" t="s">
        <v>5642</v>
      </c>
      <c r="AU403">
        <v>2013</v>
      </c>
      <c r="AV403">
        <v>25</v>
      </c>
      <c r="AW403">
        <v>1</v>
      </c>
      <c r="AX403" t="s">
        <v>74</v>
      </c>
      <c r="AY403" t="s">
        <v>74</v>
      </c>
      <c r="AZ403" t="s">
        <v>74</v>
      </c>
      <c r="BA403" t="s">
        <v>74</v>
      </c>
      <c r="BB403">
        <v>366</v>
      </c>
      <c r="BC403">
        <v>367</v>
      </c>
      <c r="BD403" t="s">
        <v>74</v>
      </c>
      <c r="BE403" t="s">
        <v>7728</v>
      </c>
      <c r="BF403" t="str">
        <f>HYPERLINK("http://dx.doi.org/10.1177/084387141302500141","http://dx.doi.org/10.1177/084387141302500141")</f>
        <v>http://dx.doi.org/10.1177/084387141302500141</v>
      </c>
      <c r="BG403" t="s">
        <v>74</v>
      </c>
      <c r="BH403" t="s">
        <v>74</v>
      </c>
      <c r="BI403">
        <v>3</v>
      </c>
      <c r="BJ403" t="s">
        <v>7717</v>
      </c>
      <c r="BK403" t="s">
        <v>1452</v>
      </c>
      <c r="BL403" t="s">
        <v>7717</v>
      </c>
      <c r="BM403" t="s">
        <v>7718</v>
      </c>
      <c r="BN403" t="s">
        <v>74</v>
      </c>
      <c r="BO403" t="s">
        <v>74</v>
      </c>
      <c r="BP403" t="s">
        <v>74</v>
      </c>
      <c r="BQ403" t="s">
        <v>74</v>
      </c>
      <c r="BR403" t="s">
        <v>105</v>
      </c>
      <c r="BS403" t="s">
        <v>7729</v>
      </c>
      <c r="BT403" t="str">
        <f>HYPERLINK("https%3A%2F%2Fwww.webofscience.com%2Fwos%2Fwoscc%2Ffull-record%2FWOS:000215483900041","View Full Record in Web of Science")</f>
        <v>View Full Record in Web of Science</v>
      </c>
    </row>
    <row r="404" spans="1:72" x14ac:dyDescent="0.15">
      <c r="A404" t="s">
        <v>72</v>
      </c>
      <c r="B404" t="s">
        <v>7730</v>
      </c>
      <c r="C404" t="s">
        <v>74</v>
      </c>
      <c r="D404" t="s">
        <v>74</v>
      </c>
      <c r="E404" t="s">
        <v>74</v>
      </c>
      <c r="F404" t="s">
        <v>7731</v>
      </c>
      <c r="G404" t="s">
        <v>74</v>
      </c>
      <c r="H404" t="s">
        <v>74</v>
      </c>
      <c r="I404" t="s">
        <v>7732</v>
      </c>
      <c r="J404" t="s">
        <v>4172</v>
      </c>
      <c r="K404" t="s">
        <v>74</v>
      </c>
      <c r="L404" t="s">
        <v>74</v>
      </c>
      <c r="M404" t="s">
        <v>78</v>
      </c>
      <c r="N404" t="s">
        <v>1459</v>
      </c>
      <c r="O404" t="s">
        <v>74</v>
      </c>
      <c r="P404" t="s">
        <v>74</v>
      </c>
      <c r="Q404" t="s">
        <v>74</v>
      </c>
      <c r="R404" t="s">
        <v>74</v>
      </c>
      <c r="S404" t="s">
        <v>74</v>
      </c>
      <c r="T404" t="s">
        <v>7733</v>
      </c>
      <c r="U404" t="s">
        <v>7734</v>
      </c>
      <c r="V404" t="s">
        <v>7735</v>
      </c>
      <c r="W404" t="s">
        <v>7736</v>
      </c>
      <c r="X404" t="s">
        <v>7737</v>
      </c>
      <c r="Y404" t="s">
        <v>7738</v>
      </c>
      <c r="Z404" t="s">
        <v>7739</v>
      </c>
      <c r="AA404" t="s">
        <v>7740</v>
      </c>
      <c r="AB404" t="s">
        <v>7741</v>
      </c>
      <c r="AC404" t="s">
        <v>7742</v>
      </c>
      <c r="AD404" t="s">
        <v>7743</v>
      </c>
      <c r="AE404" t="s">
        <v>7744</v>
      </c>
      <c r="AF404" t="s">
        <v>74</v>
      </c>
      <c r="AG404">
        <v>108</v>
      </c>
      <c r="AH404">
        <v>526</v>
      </c>
      <c r="AI404">
        <v>544</v>
      </c>
      <c r="AJ404">
        <v>7</v>
      </c>
      <c r="AK404">
        <v>94</v>
      </c>
      <c r="AL404" t="s">
        <v>92</v>
      </c>
      <c r="AM404" t="s">
        <v>93</v>
      </c>
      <c r="AN404" t="s">
        <v>94</v>
      </c>
      <c r="AO404" t="s">
        <v>4184</v>
      </c>
      <c r="AP404" t="s">
        <v>74</v>
      </c>
      <c r="AQ404" t="s">
        <v>74</v>
      </c>
      <c r="AR404" t="s">
        <v>4185</v>
      </c>
      <c r="AS404" t="s">
        <v>4186</v>
      </c>
      <c r="AT404" t="s">
        <v>5642</v>
      </c>
      <c r="AU404">
        <v>2013</v>
      </c>
      <c r="AV404">
        <v>5</v>
      </c>
      <c r="AW404">
        <v>2</v>
      </c>
      <c r="AX404" t="s">
        <v>74</v>
      </c>
      <c r="AY404" t="s">
        <v>74</v>
      </c>
      <c r="AZ404" t="s">
        <v>74</v>
      </c>
      <c r="BA404" t="s">
        <v>74</v>
      </c>
      <c r="BB404">
        <v>422</v>
      </c>
      <c r="BC404">
        <v>446</v>
      </c>
      <c r="BD404" t="s">
        <v>74</v>
      </c>
      <c r="BE404" t="s">
        <v>7745</v>
      </c>
      <c r="BF404" t="str">
        <f>HYPERLINK("http://dx.doi.org/10.1002/jame.20023","http://dx.doi.org/10.1002/jame.20023")</f>
        <v>http://dx.doi.org/10.1002/jame.20023</v>
      </c>
      <c r="BG404" t="s">
        <v>74</v>
      </c>
      <c r="BH404" t="s">
        <v>74</v>
      </c>
      <c r="BI404">
        <v>25</v>
      </c>
      <c r="BJ404" t="s">
        <v>305</v>
      </c>
      <c r="BK404" t="s">
        <v>102</v>
      </c>
      <c r="BL404" t="s">
        <v>305</v>
      </c>
      <c r="BM404" t="s">
        <v>7746</v>
      </c>
      <c r="BN404" t="s">
        <v>74</v>
      </c>
      <c r="BO404" t="s">
        <v>1477</v>
      </c>
      <c r="BP404" t="s">
        <v>2451</v>
      </c>
      <c r="BQ404" t="s">
        <v>2452</v>
      </c>
      <c r="BR404" t="s">
        <v>105</v>
      </c>
      <c r="BS404" t="s">
        <v>7747</v>
      </c>
      <c r="BT404" t="str">
        <f>HYPERLINK("https%3A%2F%2Fwww.webofscience.com%2Fwos%2Fwoscc%2Ffull-record%2FWOS:000325277300033","View Full Record in Web of Science")</f>
        <v>View Full Record in Web of Science</v>
      </c>
    </row>
    <row r="405" spans="1:72" x14ac:dyDescent="0.15">
      <c r="A405" t="s">
        <v>72</v>
      </c>
      <c r="B405" t="s">
        <v>7748</v>
      </c>
      <c r="C405" t="s">
        <v>74</v>
      </c>
      <c r="D405" t="s">
        <v>74</v>
      </c>
      <c r="E405" t="s">
        <v>74</v>
      </c>
      <c r="F405" t="s">
        <v>7749</v>
      </c>
      <c r="G405" t="s">
        <v>74</v>
      </c>
      <c r="H405" t="s">
        <v>74</v>
      </c>
      <c r="I405" t="s">
        <v>7750</v>
      </c>
      <c r="J405" t="s">
        <v>7751</v>
      </c>
      <c r="K405" t="s">
        <v>74</v>
      </c>
      <c r="L405" t="s">
        <v>74</v>
      </c>
      <c r="M405" t="s">
        <v>78</v>
      </c>
      <c r="N405" t="s">
        <v>79</v>
      </c>
      <c r="O405" t="s">
        <v>74</v>
      </c>
      <c r="P405" t="s">
        <v>74</v>
      </c>
      <c r="Q405" t="s">
        <v>74</v>
      </c>
      <c r="R405" t="s">
        <v>74</v>
      </c>
      <c r="S405" t="s">
        <v>74</v>
      </c>
      <c r="T405" t="s">
        <v>7752</v>
      </c>
      <c r="U405" t="s">
        <v>7753</v>
      </c>
      <c r="V405" t="s">
        <v>7754</v>
      </c>
      <c r="W405" t="s">
        <v>7755</v>
      </c>
      <c r="X405" t="s">
        <v>7756</v>
      </c>
      <c r="Y405" t="s">
        <v>7757</v>
      </c>
      <c r="Z405" t="s">
        <v>7758</v>
      </c>
      <c r="AA405" t="s">
        <v>7759</v>
      </c>
      <c r="AB405" t="s">
        <v>7760</v>
      </c>
      <c r="AC405" t="s">
        <v>7761</v>
      </c>
      <c r="AD405" t="s">
        <v>7762</v>
      </c>
      <c r="AE405" t="s">
        <v>7763</v>
      </c>
      <c r="AF405" t="s">
        <v>74</v>
      </c>
      <c r="AG405">
        <v>51</v>
      </c>
      <c r="AH405">
        <v>90</v>
      </c>
      <c r="AI405">
        <v>97</v>
      </c>
      <c r="AJ405">
        <v>4</v>
      </c>
      <c r="AK405">
        <v>115</v>
      </c>
      <c r="AL405" t="s">
        <v>368</v>
      </c>
      <c r="AM405" t="s">
        <v>369</v>
      </c>
      <c r="AN405" t="s">
        <v>370</v>
      </c>
      <c r="AO405" t="s">
        <v>7764</v>
      </c>
      <c r="AP405" t="s">
        <v>7765</v>
      </c>
      <c r="AQ405" t="s">
        <v>74</v>
      </c>
      <c r="AR405" t="s">
        <v>7766</v>
      </c>
      <c r="AS405" t="s">
        <v>7767</v>
      </c>
      <c r="AT405" t="s">
        <v>5642</v>
      </c>
      <c r="AU405">
        <v>2013</v>
      </c>
      <c r="AV405">
        <v>50</v>
      </c>
      <c r="AW405">
        <v>3</v>
      </c>
      <c r="AX405" t="s">
        <v>74</v>
      </c>
      <c r="AY405" t="s">
        <v>74</v>
      </c>
      <c r="AZ405" t="s">
        <v>74</v>
      </c>
      <c r="BA405" t="s">
        <v>74</v>
      </c>
      <c r="BB405">
        <v>671</v>
      </c>
      <c r="BC405">
        <v>679</v>
      </c>
      <c r="BD405" t="s">
        <v>74</v>
      </c>
      <c r="BE405" t="s">
        <v>7768</v>
      </c>
      <c r="BF405" t="str">
        <f>HYPERLINK("http://dx.doi.org/10.1111/1365-2664.12069","http://dx.doi.org/10.1111/1365-2664.12069")</f>
        <v>http://dx.doi.org/10.1111/1365-2664.12069</v>
      </c>
      <c r="BG405" t="s">
        <v>74</v>
      </c>
      <c r="BH405" t="s">
        <v>74</v>
      </c>
      <c r="BI405">
        <v>9</v>
      </c>
      <c r="BJ405" t="s">
        <v>1158</v>
      </c>
      <c r="BK405" t="s">
        <v>102</v>
      </c>
      <c r="BL405" t="s">
        <v>1159</v>
      </c>
      <c r="BM405" t="s">
        <v>7769</v>
      </c>
      <c r="BN405" t="s">
        <v>74</v>
      </c>
      <c r="BO405" t="s">
        <v>2011</v>
      </c>
      <c r="BP405" t="s">
        <v>74</v>
      </c>
      <c r="BQ405" t="s">
        <v>74</v>
      </c>
      <c r="BR405" t="s">
        <v>105</v>
      </c>
      <c r="BS405" t="s">
        <v>7770</v>
      </c>
      <c r="BT405" t="str">
        <f>HYPERLINK("https%3A%2F%2Fwww.webofscience.com%2Fwos%2Fwoscc%2Ffull-record%2FWOS:000319350800014","View Full Record in Web of Science")</f>
        <v>View Full Record in Web of Science</v>
      </c>
    </row>
    <row r="406" spans="1:72" x14ac:dyDescent="0.15">
      <c r="A406" t="s">
        <v>72</v>
      </c>
      <c r="B406" t="s">
        <v>7771</v>
      </c>
      <c r="C406" t="s">
        <v>74</v>
      </c>
      <c r="D406" t="s">
        <v>74</v>
      </c>
      <c r="E406" t="s">
        <v>74</v>
      </c>
      <c r="F406" t="s">
        <v>7772</v>
      </c>
      <c r="G406" t="s">
        <v>74</v>
      </c>
      <c r="H406" t="s">
        <v>74</v>
      </c>
      <c r="I406" t="s">
        <v>7773</v>
      </c>
      <c r="J406" t="s">
        <v>7774</v>
      </c>
      <c r="K406" t="s">
        <v>74</v>
      </c>
      <c r="L406" t="s">
        <v>74</v>
      </c>
      <c r="M406" t="s">
        <v>78</v>
      </c>
      <c r="N406" t="s">
        <v>1459</v>
      </c>
      <c r="O406" t="s">
        <v>74</v>
      </c>
      <c r="P406" t="s">
        <v>74</v>
      </c>
      <c r="Q406" t="s">
        <v>74</v>
      </c>
      <c r="R406" t="s">
        <v>74</v>
      </c>
      <c r="S406" t="s">
        <v>74</v>
      </c>
      <c r="T406" t="s">
        <v>7775</v>
      </c>
      <c r="U406" t="s">
        <v>7776</v>
      </c>
      <c r="V406" t="s">
        <v>7777</v>
      </c>
      <c r="W406" t="s">
        <v>7778</v>
      </c>
      <c r="X406" t="s">
        <v>7779</v>
      </c>
      <c r="Y406" t="s">
        <v>7780</v>
      </c>
      <c r="Z406" t="s">
        <v>7781</v>
      </c>
      <c r="AA406" t="s">
        <v>7782</v>
      </c>
      <c r="AB406" t="s">
        <v>7783</v>
      </c>
      <c r="AC406" t="s">
        <v>7784</v>
      </c>
      <c r="AD406" t="s">
        <v>7785</v>
      </c>
      <c r="AE406" t="s">
        <v>7786</v>
      </c>
      <c r="AF406" t="s">
        <v>74</v>
      </c>
      <c r="AG406">
        <v>47</v>
      </c>
      <c r="AH406">
        <v>129</v>
      </c>
      <c r="AI406">
        <v>156</v>
      </c>
      <c r="AJ406">
        <v>4</v>
      </c>
      <c r="AK406">
        <v>170</v>
      </c>
      <c r="AL406" t="s">
        <v>368</v>
      </c>
      <c r="AM406" t="s">
        <v>369</v>
      </c>
      <c r="AN406" t="s">
        <v>370</v>
      </c>
      <c r="AO406" t="s">
        <v>7787</v>
      </c>
      <c r="AP406" t="s">
        <v>7788</v>
      </c>
      <c r="AQ406" t="s">
        <v>74</v>
      </c>
      <c r="AR406" t="s">
        <v>7789</v>
      </c>
      <c r="AS406" t="s">
        <v>7790</v>
      </c>
      <c r="AT406" t="s">
        <v>5642</v>
      </c>
      <c r="AU406">
        <v>2013</v>
      </c>
      <c r="AV406">
        <v>84</v>
      </c>
      <c r="AW406">
        <v>2</v>
      </c>
      <c r="AX406" t="s">
        <v>74</v>
      </c>
      <c r="AY406" t="s">
        <v>74</v>
      </c>
      <c r="AZ406" t="s">
        <v>74</v>
      </c>
      <c r="BA406" t="s">
        <v>74</v>
      </c>
      <c r="BB406">
        <v>121</v>
      </c>
      <c r="BC406">
        <v>137</v>
      </c>
      <c r="BD406" t="s">
        <v>74</v>
      </c>
      <c r="BE406" t="s">
        <v>7791</v>
      </c>
      <c r="BF406" t="str">
        <f>HYPERLINK("http://dx.doi.org/10.1111/jofo.12011","http://dx.doi.org/10.1111/jofo.12011")</f>
        <v>http://dx.doi.org/10.1111/jofo.12011</v>
      </c>
      <c r="BG406" t="s">
        <v>74</v>
      </c>
      <c r="BH406" t="s">
        <v>74</v>
      </c>
      <c r="BI406">
        <v>17</v>
      </c>
      <c r="BJ406" t="s">
        <v>7792</v>
      </c>
      <c r="BK406" t="s">
        <v>102</v>
      </c>
      <c r="BL406" t="s">
        <v>2120</v>
      </c>
      <c r="BM406" t="s">
        <v>7793</v>
      </c>
      <c r="BN406" t="s">
        <v>74</v>
      </c>
      <c r="BO406" t="s">
        <v>74</v>
      </c>
      <c r="BP406" t="s">
        <v>74</v>
      </c>
      <c r="BQ406" t="s">
        <v>74</v>
      </c>
      <c r="BR406" t="s">
        <v>105</v>
      </c>
      <c r="BS406" t="s">
        <v>7794</v>
      </c>
      <c r="BT406" t="str">
        <f>HYPERLINK("https%3A%2F%2Fwww.webofscience.com%2Fwos%2Fwoscc%2Ffull-record%2FWOS:000319476100001","View Full Record in Web of Science")</f>
        <v>View Full Record in Web of Science</v>
      </c>
    </row>
    <row r="407" spans="1:72" x14ac:dyDescent="0.15">
      <c r="A407" t="s">
        <v>72</v>
      </c>
      <c r="B407" t="s">
        <v>7795</v>
      </c>
      <c r="C407" t="s">
        <v>74</v>
      </c>
      <c r="D407" t="s">
        <v>74</v>
      </c>
      <c r="E407" t="s">
        <v>74</v>
      </c>
      <c r="F407" t="s">
        <v>7796</v>
      </c>
      <c r="G407" t="s">
        <v>74</v>
      </c>
      <c r="H407" t="s">
        <v>74</v>
      </c>
      <c r="I407" t="s">
        <v>7797</v>
      </c>
      <c r="J407" t="s">
        <v>5688</v>
      </c>
      <c r="K407" t="s">
        <v>74</v>
      </c>
      <c r="L407" t="s">
        <v>74</v>
      </c>
      <c r="M407" t="s">
        <v>78</v>
      </c>
      <c r="N407" t="s">
        <v>79</v>
      </c>
      <c r="O407" t="s">
        <v>74</v>
      </c>
      <c r="P407" t="s">
        <v>74</v>
      </c>
      <c r="Q407" t="s">
        <v>74</v>
      </c>
      <c r="R407" t="s">
        <v>74</v>
      </c>
      <c r="S407" t="s">
        <v>74</v>
      </c>
      <c r="T407" t="s">
        <v>7798</v>
      </c>
      <c r="U407" t="s">
        <v>7799</v>
      </c>
      <c r="V407" t="s">
        <v>7800</v>
      </c>
      <c r="W407" t="s">
        <v>7801</v>
      </c>
      <c r="X407" t="s">
        <v>7802</v>
      </c>
      <c r="Y407" t="s">
        <v>7803</v>
      </c>
      <c r="Z407" t="s">
        <v>7804</v>
      </c>
      <c r="AA407" t="s">
        <v>7805</v>
      </c>
      <c r="AB407" t="s">
        <v>7806</v>
      </c>
      <c r="AC407" t="s">
        <v>7807</v>
      </c>
      <c r="AD407" t="s">
        <v>7808</v>
      </c>
      <c r="AE407" t="s">
        <v>7809</v>
      </c>
      <c r="AF407" t="s">
        <v>74</v>
      </c>
      <c r="AG407">
        <v>119</v>
      </c>
      <c r="AH407">
        <v>54</v>
      </c>
      <c r="AI407">
        <v>54</v>
      </c>
      <c r="AJ407">
        <v>0</v>
      </c>
      <c r="AK407">
        <v>65</v>
      </c>
      <c r="AL407" t="s">
        <v>92</v>
      </c>
      <c r="AM407" t="s">
        <v>93</v>
      </c>
      <c r="AN407" t="s">
        <v>94</v>
      </c>
      <c r="AO407" t="s">
        <v>5699</v>
      </c>
      <c r="AP407" t="s">
        <v>5700</v>
      </c>
      <c r="AQ407" t="s">
        <v>74</v>
      </c>
      <c r="AR407" t="s">
        <v>5701</v>
      </c>
      <c r="AS407" t="s">
        <v>5702</v>
      </c>
      <c r="AT407" t="s">
        <v>5642</v>
      </c>
      <c r="AU407">
        <v>2013</v>
      </c>
      <c r="AV407">
        <v>118</v>
      </c>
      <c r="AW407">
        <v>2</v>
      </c>
      <c r="AX407" t="s">
        <v>74</v>
      </c>
      <c r="AY407" t="s">
        <v>74</v>
      </c>
      <c r="AZ407" t="s">
        <v>74</v>
      </c>
      <c r="BA407" t="s">
        <v>74</v>
      </c>
      <c r="BB407">
        <v>1002</v>
      </c>
      <c r="BC407">
        <v>1024</v>
      </c>
      <c r="BD407" t="s">
        <v>74</v>
      </c>
      <c r="BE407" t="s">
        <v>7810</v>
      </c>
      <c r="BF407" t="str">
        <f>HYPERLINK("http://dx.doi.org/10.1002/jgrf.20081","http://dx.doi.org/10.1002/jgrf.20081")</f>
        <v>http://dx.doi.org/10.1002/jgrf.20081</v>
      </c>
      <c r="BG407" t="s">
        <v>74</v>
      </c>
      <c r="BH407" t="s">
        <v>74</v>
      </c>
      <c r="BI407">
        <v>23</v>
      </c>
      <c r="BJ407" t="s">
        <v>1426</v>
      </c>
      <c r="BK407" t="s">
        <v>102</v>
      </c>
      <c r="BL407" t="s">
        <v>219</v>
      </c>
      <c r="BM407" t="s">
        <v>5704</v>
      </c>
      <c r="BN407" t="s">
        <v>74</v>
      </c>
      <c r="BO407" t="s">
        <v>6780</v>
      </c>
      <c r="BP407" t="s">
        <v>74</v>
      </c>
      <c r="BQ407" t="s">
        <v>74</v>
      </c>
      <c r="BR407" t="s">
        <v>105</v>
      </c>
      <c r="BS407" t="s">
        <v>7811</v>
      </c>
      <c r="BT407" t="str">
        <f>HYPERLINK("https%3A%2F%2Fwww.webofscience.com%2Fwos%2Fwoscc%2Ffull-record%2FWOS:000324993900042","View Full Record in Web of Science")</f>
        <v>View Full Record in Web of Science</v>
      </c>
    </row>
    <row r="408" spans="1:72" x14ac:dyDescent="0.15">
      <c r="A408" t="s">
        <v>72</v>
      </c>
      <c r="B408" t="s">
        <v>7795</v>
      </c>
      <c r="C408" t="s">
        <v>74</v>
      </c>
      <c r="D408" t="s">
        <v>74</v>
      </c>
      <c r="E408" t="s">
        <v>74</v>
      </c>
      <c r="F408" t="s">
        <v>7796</v>
      </c>
      <c r="G408" t="s">
        <v>74</v>
      </c>
      <c r="H408" t="s">
        <v>74</v>
      </c>
      <c r="I408" t="s">
        <v>7812</v>
      </c>
      <c r="J408" t="s">
        <v>5688</v>
      </c>
      <c r="K408" t="s">
        <v>74</v>
      </c>
      <c r="L408" t="s">
        <v>74</v>
      </c>
      <c r="M408" t="s">
        <v>78</v>
      </c>
      <c r="N408" t="s">
        <v>79</v>
      </c>
      <c r="O408" t="s">
        <v>74</v>
      </c>
      <c r="P408" t="s">
        <v>74</v>
      </c>
      <c r="Q408" t="s">
        <v>74</v>
      </c>
      <c r="R408" t="s">
        <v>74</v>
      </c>
      <c r="S408" t="s">
        <v>74</v>
      </c>
      <c r="T408" t="s">
        <v>7813</v>
      </c>
      <c r="U408" t="s">
        <v>7814</v>
      </c>
      <c r="V408" t="s">
        <v>7815</v>
      </c>
      <c r="W408" t="s">
        <v>7816</v>
      </c>
      <c r="X408" t="s">
        <v>7817</v>
      </c>
      <c r="Y408" t="s">
        <v>7803</v>
      </c>
      <c r="Z408" t="s">
        <v>7804</v>
      </c>
      <c r="AA408" t="s">
        <v>7818</v>
      </c>
      <c r="AB408" t="s">
        <v>7819</v>
      </c>
      <c r="AC408" t="s">
        <v>7820</v>
      </c>
      <c r="AD408" t="s">
        <v>7821</v>
      </c>
      <c r="AE408" t="s">
        <v>7822</v>
      </c>
      <c r="AF408" t="s">
        <v>74</v>
      </c>
      <c r="AG408">
        <v>84</v>
      </c>
      <c r="AH408">
        <v>67</v>
      </c>
      <c r="AI408">
        <v>71</v>
      </c>
      <c r="AJ408">
        <v>0</v>
      </c>
      <c r="AK408">
        <v>52</v>
      </c>
      <c r="AL408" t="s">
        <v>92</v>
      </c>
      <c r="AM408" t="s">
        <v>93</v>
      </c>
      <c r="AN408" t="s">
        <v>94</v>
      </c>
      <c r="AO408" t="s">
        <v>5699</v>
      </c>
      <c r="AP408" t="s">
        <v>5700</v>
      </c>
      <c r="AQ408" t="s">
        <v>74</v>
      </c>
      <c r="AR408" t="s">
        <v>5701</v>
      </c>
      <c r="AS408" t="s">
        <v>5702</v>
      </c>
      <c r="AT408" t="s">
        <v>5642</v>
      </c>
      <c r="AU408">
        <v>2013</v>
      </c>
      <c r="AV408">
        <v>118</v>
      </c>
      <c r="AW408">
        <v>2</v>
      </c>
      <c r="AX408" t="s">
        <v>74</v>
      </c>
      <c r="AY408" t="s">
        <v>74</v>
      </c>
      <c r="AZ408" t="s">
        <v>74</v>
      </c>
      <c r="BA408" t="s">
        <v>74</v>
      </c>
      <c r="BB408">
        <v>1025</v>
      </c>
      <c r="BC408">
        <v>1044</v>
      </c>
      <c r="BD408" t="s">
        <v>74</v>
      </c>
      <c r="BE408" t="s">
        <v>7823</v>
      </c>
      <c r="BF408" t="str">
        <f>HYPERLINK("http://dx.doi.org/10.1002/jgrf.20076","http://dx.doi.org/10.1002/jgrf.20076")</f>
        <v>http://dx.doi.org/10.1002/jgrf.20076</v>
      </c>
      <c r="BG408" t="s">
        <v>74</v>
      </c>
      <c r="BH408" t="s">
        <v>74</v>
      </c>
      <c r="BI408">
        <v>20</v>
      </c>
      <c r="BJ408" t="s">
        <v>1426</v>
      </c>
      <c r="BK408" t="s">
        <v>102</v>
      </c>
      <c r="BL408" t="s">
        <v>219</v>
      </c>
      <c r="BM408" t="s">
        <v>5704</v>
      </c>
      <c r="BN408" t="s">
        <v>74</v>
      </c>
      <c r="BO408" t="s">
        <v>7824</v>
      </c>
      <c r="BP408" t="s">
        <v>74</v>
      </c>
      <c r="BQ408" t="s">
        <v>74</v>
      </c>
      <c r="BR408" t="s">
        <v>105</v>
      </c>
      <c r="BS408" t="s">
        <v>7825</v>
      </c>
      <c r="BT408" t="str">
        <f>HYPERLINK("https%3A%2F%2Fwww.webofscience.com%2Fwos%2Fwoscc%2Ffull-record%2FWOS:000324993900043","View Full Record in Web of Science")</f>
        <v>View Full Record in Web of Science</v>
      </c>
    </row>
    <row r="409" spans="1:72" x14ac:dyDescent="0.15">
      <c r="A409" t="s">
        <v>72</v>
      </c>
      <c r="B409" t="s">
        <v>7826</v>
      </c>
      <c r="C409" t="s">
        <v>74</v>
      </c>
      <c r="D409" t="s">
        <v>74</v>
      </c>
      <c r="E409" t="s">
        <v>74</v>
      </c>
      <c r="F409" t="s">
        <v>7827</v>
      </c>
      <c r="G409" t="s">
        <v>74</v>
      </c>
      <c r="H409" t="s">
        <v>74</v>
      </c>
      <c r="I409" t="s">
        <v>7828</v>
      </c>
      <c r="J409" t="s">
        <v>5688</v>
      </c>
      <c r="K409" t="s">
        <v>74</v>
      </c>
      <c r="L409" t="s">
        <v>74</v>
      </c>
      <c r="M409" t="s">
        <v>78</v>
      </c>
      <c r="N409" t="s">
        <v>79</v>
      </c>
      <c r="O409" t="s">
        <v>74</v>
      </c>
      <c r="P409" t="s">
        <v>74</v>
      </c>
      <c r="Q409" t="s">
        <v>74</v>
      </c>
      <c r="R409" t="s">
        <v>74</v>
      </c>
      <c r="S409" t="s">
        <v>74</v>
      </c>
      <c r="T409" t="s">
        <v>7829</v>
      </c>
      <c r="U409" t="s">
        <v>7830</v>
      </c>
      <c r="V409" t="s">
        <v>7831</v>
      </c>
      <c r="W409" t="s">
        <v>7832</v>
      </c>
      <c r="X409" t="s">
        <v>7833</v>
      </c>
      <c r="Y409" t="s">
        <v>7834</v>
      </c>
      <c r="Z409" t="s">
        <v>7835</v>
      </c>
      <c r="AA409" t="s">
        <v>7836</v>
      </c>
      <c r="AB409" t="s">
        <v>7837</v>
      </c>
      <c r="AC409" t="s">
        <v>7838</v>
      </c>
      <c r="AD409" t="s">
        <v>7839</v>
      </c>
      <c r="AE409" t="s">
        <v>7840</v>
      </c>
      <c r="AF409" t="s">
        <v>74</v>
      </c>
      <c r="AG409">
        <v>47</v>
      </c>
      <c r="AH409">
        <v>6</v>
      </c>
      <c r="AI409">
        <v>6</v>
      </c>
      <c r="AJ409">
        <v>0</v>
      </c>
      <c r="AK409">
        <v>9</v>
      </c>
      <c r="AL409" t="s">
        <v>92</v>
      </c>
      <c r="AM409" t="s">
        <v>93</v>
      </c>
      <c r="AN409" t="s">
        <v>94</v>
      </c>
      <c r="AO409" t="s">
        <v>5699</v>
      </c>
      <c r="AP409" t="s">
        <v>5700</v>
      </c>
      <c r="AQ409" t="s">
        <v>74</v>
      </c>
      <c r="AR409" t="s">
        <v>5701</v>
      </c>
      <c r="AS409" t="s">
        <v>5702</v>
      </c>
      <c r="AT409" t="s">
        <v>5642</v>
      </c>
      <c r="AU409">
        <v>2013</v>
      </c>
      <c r="AV409">
        <v>118</v>
      </c>
      <c r="AW409">
        <v>2</v>
      </c>
      <c r="AX409" t="s">
        <v>74</v>
      </c>
      <c r="AY409" t="s">
        <v>74</v>
      </c>
      <c r="AZ409" t="s">
        <v>74</v>
      </c>
      <c r="BA409" t="s">
        <v>74</v>
      </c>
      <c r="BB409">
        <v>1105</v>
      </c>
      <c r="BC409">
        <v>1117</v>
      </c>
      <c r="BD409" t="s">
        <v>74</v>
      </c>
      <c r="BE409" t="s">
        <v>7841</v>
      </c>
      <c r="BF409" t="str">
        <f>HYPERLINK("http://dx.doi.org/10.1002/jgrf.20077","http://dx.doi.org/10.1002/jgrf.20077")</f>
        <v>http://dx.doi.org/10.1002/jgrf.20077</v>
      </c>
      <c r="BG409" t="s">
        <v>74</v>
      </c>
      <c r="BH409" t="s">
        <v>74</v>
      </c>
      <c r="BI409">
        <v>13</v>
      </c>
      <c r="BJ409" t="s">
        <v>1426</v>
      </c>
      <c r="BK409" t="s">
        <v>102</v>
      </c>
      <c r="BL409" t="s">
        <v>219</v>
      </c>
      <c r="BM409" t="s">
        <v>5704</v>
      </c>
      <c r="BN409" t="s">
        <v>74</v>
      </c>
      <c r="BO409" t="s">
        <v>1063</v>
      </c>
      <c r="BP409" t="s">
        <v>74</v>
      </c>
      <c r="BQ409" t="s">
        <v>74</v>
      </c>
      <c r="BR409" t="s">
        <v>105</v>
      </c>
      <c r="BS409" t="s">
        <v>7842</v>
      </c>
      <c r="BT409" t="str">
        <f>HYPERLINK("https%3A%2F%2Fwww.webofscience.com%2Fwos%2Fwoscc%2Ffull-record%2FWOS:000324993900047","View Full Record in Web of Science")</f>
        <v>View Full Record in Web of Science</v>
      </c>
    </row>
    <row r="410" spans="1:72" x14ac:dyDescent="0.15">
      <c r="A410" t="s">
        <v>72</v>
      </c>
      <c r="B410" t="s">
        <v>7843</v>
      </c>
      <c r="C410" t="s">
        <v>74</v>
      </c>
      <c r="D410" t="s">
        <v>74</v>
      </c>
      <c r="E410" t="s">
        <v>74</v>
      </c>
      <c r="F410" t="s">
        <v>7844</v>
      </c>
      <c r="G410" t="s">
        <v>74</v>
      </c>
      <c r="H410" t="s">
        <v>74</v>
      </c>
      <c r="I410" t="s">
        <v>7845</v>
      </c>
      <c r="J410" t="s">
        <v>1710</v>
      </c>
      <c r="K410" t="s">
        <v>74</v>
      </c>
      <c r="L410" t="s">
        <v>74</v>
      </c>
      <c r="M410" t="s">
        <v>78</v>
      </c>
      <c r="N410" t="s">
        <v>79</v>
      </c>
      <c r="O410" t="s">
        <v>74</v>
      </c>
      <c r="P410" t="s">
        <v>74</v>
      </c>
      <c r="Q410" t="s">
        <v>74</v>
      </c>
      <c r="R410" t="s">
        <v>74</v>
      </c>
      <c r="S410" t="s">
        <v>74</v>
      </c>
      <c r="T410" t="s">
        <v>7846</v>
      </c>
      <c r="U410" t="s">
        <v>7847</v>
      </c>
      <c r="V410" t="s">
        <v>7848</v>
      </c>
      <c r="W410" t="s">
        <v>7849</v>
      </c>
      <c r="X410" t="s">
        <v>7850</v>
      </c>
      <c r="Y410" t="s">
        <v>7851</v>
      </c>
      <c r="Z410" t="s">
        <v>7852</v>
      </c>
      <c r="AA410" t="s">
        <v>7853</v>
      </c>
      <c r="AB410" t="s">
        <v>7854</v>
      </c>
      <c r="AC410" t="s">
        <v>7855</v>
      </c>
      <c r="AD410" t="s">
        <v>7856</v>
      </c>
      <c r="AE410" t="s">
        <v>7857</v>
      </c>
      <c r="AF410" t="s">
        <v>74</v>
      </c>
      <c r="AG410">
        <v>42</v>
      </c>
      <c r="AH410">
        <v>110</v>
      </c>
      <c r="AI410">
        <v>121</v>
      </c>
      <c r="AJ410">
        <v>0</v>
      </c>
      <c r="AK410">
        <v>26</v>
      </c>
      <c r="AL410" t="s">
        <v>92</v>
      </c>
      <c r="AM410" t="s">
        <v>93</v>
      </c>
      <c r="AN410" t="s">
        <v>94</v>
      </c>
      <c r="AO410" t="s">
        <v>1723</v>
      </c>
      <c r="AP410" t="s">
        <v>1724</v>
      </c>
      <c r="AQ410" t="s">
        <v>74</v>
      </c>
      <c r="AR410" t="s">
        <v>1725</v>
      </c>
      <c r="AS410" t="s">
        <v>1726</v>
      </c>
      <c r="AT410" t="s">
        <v>5642</v>
      </c>
      <c r="AU410">
        <v>2013</v>
      </c>
      <c r="AV410">
        <v>118</v>
      </c>
      <c r="AW410">
        <v>6</v>
      </c>
      <c r="AX410" t="s">
        <v>74</v>
      </c>
      <c r="AY410" t="s">
        <v>74</v>
      </c>
      <c r="AZ410" t="s">
        <v>74</v>
      </c>
      <c r="BA410" t="s">
        <v>74</v>
      </c>
      <c r="BB410">
        <v>2774</v>
      </c>
      <c r="BC410">
        <v>2792</v>
      </c>
      <c r="BD410" t="s">
        <v>74</v>
      </c>
      <c r="BE410" t="s">
        <v>7858</v>
      </c>
      <c r="BF410" t="str">
        <f>HYPERLINK("http://dx.doi.org/10.1002/jgrc.20217","http://dx.doi.org/10.1002/jgrc.20217")</f>
        <v>http://dx.doi.org/10.1002/jgrc.20217</v>
      </c>
      <c r="BG410" t="s">
        <v>74</v>
      </c>
      <c r="BH410" t="s">
        <v>74</v>
      </c>
      <c r="BI410">
        <v>19</v>
      </c>
      <c r="BJ410" t="s">
        <v>327</v>
      </c>
      <c r="BK410" t="s">
        <v>102</v>
      </c>
      <c r="BL410" t="s">
        <v>327</v>
      </c>
      <c r="BM410" t="s">
        <v>5722</v>
      </c>
      <c r="BN410" t="s">
        <v>74</v>
      </c>
      <c r="BO410" t="s">
        <v>4257</v>
      </c>
      <c r="BP410" t="s">
        <v>74</v>
      </c>
      <c r="BQ410" t="s">
        <v>74</v>
      </c>
      <c r="BR410" t="s">
        <v>105</v>
      </c>
      <c r="BS410" t="s">
        <v>7859</v>
      </c>
      <c r="BT410" t="str">
        <f>HYPERLINK("https%3A%2F%2Fwww.webofscience.com%2Fwos%2Fwoscc%2Ffull-record%2FWOS:000324885500002","View Full Record in Web of Science")</f>
        <v>View Full Record in Web of Science</v>
      </c>
    </row>
    <row r="411" spans="1:72" x14ac:dyDescent="0.15">
      <c r="A411" t="s">
        <v>72</v>
      </c>
      <c r="B411" t="s">
        <v>7860</v>
      </c>
      <c r="C411" t="s">
        <v>74</v>
      </c>
      <c r="D411" t="s">
        <v>74</v>
      </c>
      <c r="E411" t="s">
        <v>74</v>
      </c>
      <c r="F411" t="s">
        <v>7861</v>
      </c>
      <c r="G411" t="s">
        <v>74</v>
      </c>
      <c r="H411" t="s">
        <v>74</v>
      </c>
      <c r="I411" t="s">
        <v>7862</v>
      </c>
      <c r="J411" t="s">
        <v>1710</v>
      </c>
      <c r="K411" t="s">
        <v>74</v>
      </c>
      <c r="L411" t="s">
        <v>74</v>
      </c>
      <c r="M411" t="s">
        <v>78</v>
      </c>
      <c r="N411" t="s">
        <v>79</v>
      </c>
      <c r="O411" t="s">
        <v>74</v>
      </c>
      <c r="P411" t="s">
        <v>74</v>
      </c>
      <c r="Q411" t="s">
        <v>74</v>
      </c>
      <c r="R411" t="s">
        <v>74</v>
      </c>
      <c r="S411" t="s">
        <v>74</v>
      </c>
      <c r="T411" t="s">
        <v>7863</v>
      </c>
      <c r="U411" t="s">
        <v>7864</v>
      </c>
      <c r="V411" t="s">
        <v>7865</v>
      </c>
      <c r="W411" t="s">
        <v>7866</v>
      </c>
      <c r="X411" t="s">
        <v>7867</v>
      </c>
      <c r="Y411" t="s">
        <v>7868</v>
      </c>
      <c r="Z411" t="s">
        <v>7869</v>
      </c>
      <c r="AA411" t="s">
        <v>7870</v>
      </c>
      <c r="AB411" t="s">
        <v>7871</v>
      </c>
      <c r="AC411" t="s">
        <v>7872</v>
      </c>
      <c r="AD411" t="s">
        <v>7873</v>
      </c>
      <c r="AE411" t="s">
        <v>7874</v>
      </c>
      <c r="AF411" t="s">
        <v>74</v>
      </c>
      <c r="AG411">
        <v>39</v>
      </c>
      <c r="AH411">
        <v>75</v>
      </c>
      <c r="AI411">
        <v>87</v>
      </c>
      <c r="AJ411">
        <v>1</v>
      </c>
      <c r="AK411">
        <v>34</v>
      </c>
      <c r="AL411" t="s">
        <v>92</v>
      </c>
      <c r="AM411" t="s">
        <v>93</v>
      </c>
      <c r="AN411" t="s">
        <v>94</v>
      </c>
      <c r="AO411" t="s">
        <v>1723</v>
      </c>
      <c r="AP411" t="s">
        <v>1724</v>
      </c>
      <c r="AQ411" t="s">
        <v>74</v>
      </c>
      <c r="AR411" t="s">
        <v>1725</v>
      </c>
      <c r="AS411" t="s">
        <v>1726</v>
      </c>
      <c r="AT411" t="s">
        <v>5642</v>
      </c>
      <c r="AU411">
        <v>2013</v>
      </c>
      <c r="AV411">
        <v>118</v>
      </c>
      <c r="AW411">
        <v>6</v>
      </c>
      <c r="AX411" t="s">
        <v>74</v>
      </c>
      <c r="AY411" t="s">
        <v>74</v>
      </c>
      <c r="AZ411" t="s">
        <v>74</v>
      </c>
      <c r="BA411" t="s">
        <v>74</v>
      </c>
      <c r="BB411">
        <v>2906</v>
      </c>
      <c r="BC411">
        <v>2918</v>
      </c>
      <c r="BD411" t="s">
        <v>74</v>
      </c>
      <c r="BE411" t="s">
        <v>7875</v>
      </c>
      <c r="BF411" t="str">
        <f>HYPERLINK("http://dx.doi.org/10.1002/jgrc.20212","http://dx.doi.org/10.1002/jgrc.20212")</f>
        <v>http://dx.doi.org/10.1002/jgrc.20212</v>
      </c>
      <c r="BG411" t="s">
        <v>74</v>
      </c>
      <c r="BH411" t="s">
        <v>74</v>
      </c>
      <c r="BI411">
        <v>13</v>
      </c>
      <c r="BJ411" t="s">
        <v>327</v>
      </c>
      <c r="BK411" t="s">
        <v>102</v>
      </c>
      <c r="BL411" t="s">
        <v>327</v>
      </c>
      <c r="BM411" t="s">
        <v>5722</v>
      </c>
      <c r="BN411" t="s">
        <v>74</v>
      </c>
      <c r="BO411" t="s">
        <v>6546</v>
      </c>
      <c r="BP411" t="s">
        <v>74</v>
      </c>
      <c r="BQ411" t="s">
        <v>74</v>
      </c>
      <c r="BR411" t="s">
        <v>105</v>
      </c>
      <c r="BS411" t="s">
        <v>7876</v>
      </c>
      <c r="BT411" t="str">
        <f>HYPERLINK("https%3A%2F%2Fwww.webofscience.com%2Fwos%2Fwoscc%2Ffull-record%2FWOS:000324885500011","View Full Record in Web of Science")</f>
        <v>View Full Record in Web of Science</v>
      </c>
    </row>
    <row r="412" spans="1:72" x14ac:dyDescent="0.15">
      <c r="A412" t="s">
        <v>72</v>
      </c>
      <c r="B412" t="s">
        <v>7877</v>
      </c>
      <c r="C412" t="s">
        <v>74</v>
      </c>
      <c r="D412" t="s">
        <v>74</v>
      </c>
      <c r="E412" t="s">
        <v>74</v>
      </c>
      <c r="F412" t="s">
        <v>7878</v>
      </c>
      <c r="G412" t="s">
        <v>74</v>
      </c>
      <c r="H412" t="s">
        <v>74</v>
      </c>
      <c r="I412" t="s">
        <v>7879</v>
      </c>
      <c r="J412" t="s">
        <v>7880</v>
      </c>
      <c r="K412" t="s">
        <v>74</v>
      </c>
      <c r="L412" t="s">
        <v>74</v>
      </c>
      <c r="M412" t="s">
        <v>78</v>
      </c>
      <c r="N412" t="s">
        <v>79</v>
      </c>
      <c r="O412" t="s">
        <v>74</v>
      </c>
      <c r="P412" t="s">
        <v>74</v>
      </c>
      <c r="Q412" t="s">
        <v>74</v>
      </c>
      <c r="R412" t="s">
        <v>74</v>
      </c>
      <c r="S412" t="s">
        <v>74</v>
      </c>
      <c r="T412" t="s">
        <v>7881</v>
      </c>
      <c r="U412" t="s">
        <v>7882</v>
      </c>
      <c r="V412" t="s">
        <v>7883</v>
      </c>
      <c r="W412" t="s">
        <v>7884</v>
      </c>
      <c r="X412" t="s">
        <v>7885</v>
      </c>
      <c r="Y412" t="s">
        <v>7886</v>
      </c>
      <c r="Z412" t="s">
        <v>7887</v>
      </c>
      <c r="AA412" t="s">
        <v>7888</v>
      </c>
      <c r="AB412" t="s">
        <v>7889</v>
      </c>
      <c r="AC412" t="s">
        <v>7890</v>
      </c>
      <c r="AD412" t="s">
        <v>7891</v>
      </c>
      <c r="AE412" t="s">
        <v>7892</v>
      </c>
      <c r="AF412" t="s">
        <v>74</v>
      </c>
      <c r="AG412">
        <v>95</v>
      </c>
      <c r="AH412">
        <v>172</v>
      </c>
      <c r="AI412">
        <v>193</v>
      </c>
      <c r="AJ412">
        <v>3</v>
      </c>
      <c r="AK412">
        <v>53</v>
      </c>
      <c r="AL412" t="s">
        <v>92</v>
      </c>
      <c r="AM412" t="s">
        <v>93</v>
      </c>
      <c r="AN412" t="s">
        <v>94</v>
      </c>
      <c r="AO412" t="s">
        <v>7893</v>
      </c>
      <c r="AP412" t="s">
        <v>7894</v>
      </c>
      <c r="AQ412" t="s">
        <v>74</v>
      </c>
      <c r="AR412" t="s">
        <v>7895</v>
      </c>
      <c r="AS412" t="s">
        <v>7896</v>
      </c>
      <c r="AT412" t="s">
        <v>5642</v>
      </c>
      <c r="AU412">
        <v>2013</v>
      </c>
      <c r="AV412">
        <v>118</v>
      </c>
      <c r="AW412">
        <v>6</v>
      </c>
      <c r="AX412" t="s">
        <v>74</v>
      </c>
      <c r="AY412" t="s">
        <v>74</v>
      </c>
      <c r="AZ412" t="s">
        <v>74</v>
      </c>
      <c r="BA412" t="s">
        <v>74</v>
      </c>
      <c r="BB412">
        <v>3126</v>
      </c>
      <c r="BC412">
        <v>3141</v>
      </c>
      <c r="BD412" t="s">
        <v>74</v>
      </c>
      <c r="BE412" t="s">
        <v>7897</v>
      </c>
      <c r="BF412" t="str">
        <f>HYPERLINK("http://dx.doi.org/10.1002/jgrb.50208","http://dx.doi.org/10.1002/jgrb.50208")</f>
        <v>http://dx.doi.org/10.1002/jgrb.50208</v>
      </c>
      <c r="BG412" t="s">
        <v>74</v>
      </c>
      <c r="BH412" t="s">
        <v>74</v>
      </c>
      <c r="BI412">
        <v>16</v>
      </c>
      <c r="BJ412" t="s">
        <v>766</v>
      </c>
      <c r="BK412" t="s">
        <v>102</v>
      </c>
      <c r="BL412" t="s">
        <v>766</v>
      </c>
      <c r="BM412" t="s">
        <v>7898</v>
      </c>
      <c r="BN412" t="s">
        <v>74</v>
      </c>
      <c r="BO412" t="s">
        <v>1589</v>
      </c>
      <c r="BP412" t="s">
        <v>74</v>
      </c>
      <c r="BQ412" t="s">
        <v>74</v>
      </c>
      <c r="BR412" t="s">
        <v>105</v>
      </c>
      <c r="BS412" t="s">
        <v>7899</v>
      </c>
      <c r="BT412" t="str">
        <f>HYPERLINK("https%3A%2F%2Fwww.webofscience.com%2Fwos%2Fwoscc%2Ffull-record%2FWOS:000330118600031","View Full Record in Web of Science")</f>
        <v>View Full Record in Web of Science</v>
      </c>
    </row>
    <row r="413" spans="1:72" x14ac:dyDescent="0.15">
      <c r="A413" t="s">
        <v>72</v>
      </c>
      <c r="B413" t="s">
        <v>7900</v>
      </c>
      <c r="C413" t="s">
        <v>74</v>
      </c>
      <c r="D413" t="s">
        <v>74</v>
      </c>
      <c r="E413" t="s">
        <v>74</v>
      </c>
      <c r="F413" t="s">
        <v>7901</v>
      </c>
      <c r="G413" t="s">
        <v>74</v>
      </c>
      <c r="H413" t="s">
        <v>74</v>
      </c>
      <c r="I413" t="s">
        <v>7902</v>
      </c>
      <c r="J413" t="s">
        <v>77</v>
      </c>
      <c r="K413" t="s">
        <v>74</v>
      </c>
      <c r="L413" t="s">
        <v>74</v>
      </c>
      <c r="M413" t="s">
        <v>78</v>
      </c>
      <c r="N413" t="s">
        <v>79</v>
      </c>
      <c r="O413" t="s">
        <v>74</v>
      </c>
      <c r="P413" t="s">
        <v>74</v>
      </c>
      <c r="Q413" t="s">
        <v>74</v>
      </c>
      <c r="R413" t="s">
        <v>74</v>
      </c>
      <c r="S413" t="s">
        <v>74</v>
      </c>
      <c r="T413" t="s">
        <v>7903</v>
      </c>
      <c r="U413" t="s">
        <v>7904</v>
      </c>
      <c r="V413" t="s">
        <v>7905</v>
      </c>
      <c r="W413" t="s">
        <v>7906</v>
      </c>
      <c r="X413" t="s">
        <v>7907</v>
      </c>
      <c r="Y413" t="s">
        <v>7908</v>
      </c>
      <c r="Z413" t="s">
        <v>7909</v>
      </c>
      <c r="AA413" t="s">
        <v>7910</v>
      </c>
      <c r="AB413" t="s">
        <v>7911</v>
      </c>
      <c r="AC413" t="s">
        <v>7912</v>
      </c>
      <c r="AD413" t="s">
        <v>7913</v>
      </c>
      <c r="AE413" t="s">
        <v>7914</v>
      </c>
      <c r="AF413" t="s">
        <v>74</v>
      </c>
      <c r="AG413">
        <v>29</v>
      </c>
      <c r="AH413">
        <v>20</v>
      </c>
      <c r="AI413">
        <v>22</v>
      </c>
      <c r="AJ413">
        <v>0</v>
      </c>
      <c r="AK413">
        <v>5</v>
      </c>
      <c r="AL413" t="s">
        <v>92</v>
      </c>
      <c r="AM413" t="s">
        <v>93</v>
      </c>
      <c r="AN413" t="s">
        <v>94</v>
      </c>
      <c r="AO413" t="s">
        <v>95</v>
      </c>
      <c r="AP413" t="s">
        <v>96</v>
      </c>
      <c r="AQ413" t="s">
        <v>74</v>
      </c>
      <c r="AR413" t="s">
        <v>97</v>
      </c>
      <c r="AS413" t="s">
        <v>98</v>
      </c>
      <c r="AT413" t="s">
        <v>5642</v>
      </c>
      <c r="AU413">
        <v>2013</v>
      </c>
      <c r="AV413">
        <v>118</v>
      </c>
      <c r="AW413">
        <v>6</v>
      </c>
      <c r="AX413" t="s">
        <v>74</v>
      </c>
      <c r="AY413" t="s">
        <v>74</v>
      </c>
      <c r="AZ413" t="s">
        <v>74</v>
      </c>
      <c r="BA413" t="s">
        <v>74</v>
      </c>
      <c r="BB413">
        <v>3165</v>
      </c>
      <c r="BC413">
        <v>3172</v>
      </c>
      <c r="BD413" t="s">
        <v>74</v>
      </c>
      <c r="BE413" t="s">
        <v>7915</v>
      </c>
      <c r="BF413" t="str">
        <f>HYPERLINK("http://dx.doi.org/10.1002/jgra.50319","http://dx.doi.org/10.1002/jgra.50319")</f>
        <v>http://dx.doi.org/10.1002/jgra.50319</v>
      </c>
      <c r="BG413" t="s">
        <v>74</v>
      </c>
      <c r="BH413" t="s">
        <v>74</v>
      </c>
      <c r="BI413">
        <v>8</v>
      </c>
      <c r="BJ413" t="s">
        <v>101</v>
      </c>
      <c r="BK413" t="s">
        <v>102</v>
      </c>
      <c r="BL413" t="s">
        <v>101</v>
      </c>
      <c r="BM413" t="s">
        <v>5773</v>
      </c>
      <c r="BN413" t="s">
        <v>74</v>
      </c>
      <c r="BO413" t="s">
        <v>1688</v>
      </c>
      <c r="BP413" t="s">
        <v>74</v>
      </c>
      <c r="BQ413" t="s">
        <v>74</v>
      </c>
      <c r="BR413" t="s">
        <v>105</v>
      </c>
      <c r="BS413" t="s">
        <v>7916</v>
      </c>
      <c r="BT413" t="str">
        <f>HYPERLINK("https%3A%2F%2Fwww.webofscience.com%2Fwos%2Fwoscc%2Ffull-record%2FWOS:000325217100040","View Full Record in Web of Science")</f>
        <v>View Full Record in Web of Science</v>
      </c>
    </row>
    <row r="414" spans="1:72" x14ac:dyDescent="0.15">
      <c r="A414" t="s">
        <v>72</v>
      </c>
      <c r="B414" t="s">
        <v>7917</v>
      </c>
      <c r="C414" t="s">
        <v>74</v>
      </c>
      <c r="D414" t="s">
        <v>74</v>
      </c>
      <c r="E414" t="s">
        <v>74</v>
      </c>
      <c r="F414" t="s">
        <v>7918</v>
      </c>
      <c r="G414" t="s">
        <v>74</v>
      </c>
      <c r="H414" t="s">
        <v>74</v>
      </c>
      <c r="I414" t="s">
        <v>7919</v>
      </c>
      <c r="J414" t="s">
        <v>77</v>
      </c>
      <c r="K414" t="s">
        <v>74</v>
      </c>
      <c r="L414" t="s">
        <v>74</v>
      </c>
      <c r="M414" t="s">
        <v>78</v>
      </c>
      <c r="N414" t="s">
        <v>79</v>
      </c>
      <c r="O414" t="s">
        <v>74</v>
      </c>
      <c r="P414" t="s">
        <v>74</v>
      </c>
      <c r="Q414" t="s">
        <v>74</v>
      </c>
      <c r="R414" t="s">
        <v>74</v>
      </c>
      <c r="S414" t="s">
        <v>74</v>
      </c>
      <c r="T414" t="s">
        <v>7920</v>
      </c>
      <c r="U414" t="s">
        <v>7921</v>
      </c>
      <c r="V414" t="s">
        <v>7922</v>
      </c>
      <c r="W414" t="s">
        <v>7923</v>
      </c>
      <c r="X414" t="s">
        <v>7924</v>
      </c>
      <c r="Y414" t="s">
        <v>7925</v>
      </c>
      <c r="Z414" t="s">
        <v>7926</v>
      </c>
      <c r="AA414" t="s">
        <v>7927</v>
      </c>
      <c r="AB414" t="s">
        <v>7928</v>
      </c>
      <c r="AC414" t="s">
        <v>7929</v>
      </c>
      <c r="AD414" t="s">
        <v>7930</v>
      </c>
      <c r="AE414" t="s">
        <v>7931</v>
      </c>
      <c r="AF414" t="s">
        <v>74</v>
      </c>
      <c r="AG414">
        <v>42</v>
      </c>
      <c r="AH414">
        <v>17</v>
      </c>
      <c r="AI414">
        <v>17</v>
      </c>
      <c r="AJ414">
        <v>0</v>
      </c>
      <c r="AK414">
        <v>5</v>
      </c>
      <c r="AL414" t="s">
        <v>92</v>
      </c>
      <c r="AM414" t="s">
        <v>93</v>
      </c>
      <c r="AN414" t="s">
        <v>94</v>
      </c>
      <c r="AO414" t="s">
        <v>95</v>
      </c>
      <c r="AP414" t="s">
        <v>74</v>
      </c>
      <c r="AQ414" t="s">
        <v>74</v>
      </c>
      <c r="AR414" t="s">
        <v>97</v>
      </c>
      <c r="AS414" t="s">
        <v>98</v>
      </c>
      <c r="AT414" t="s">
        <v>5642</v>
      </c>
      <c r="AU414">
        <v>2013</v>
      </c>
      <c r="AV414">
        <v>118</v>
      </c>
      <c r="AW414">
        <v>6</v>
      </c>
      <c r="AX414" t="s">
        <v>74</v>
      </c>
      <c r="AY414" t="s">
        <v>74</v>
      </c>
      <c r="AZ414" t="s">
        <v>74</v>
      </c>
      <c r="BA414" t="s">
        <v>74</v>
      </c>
      <c r="BB414">
        <v>3712</v>
      </c>
      <c r="BC414">
        <v>3718</v>
      </c>
      <c r="BD414" t="s">
        <v>74</v>
      </c>
      <c r="BE414" t="s">
        <v>7932</v>
      </c>
      <c r="BF414" t="str">
        <f>HYPERLINK("http://dx.doi.org/10.1002/jgra.50352","http://dx.doi.org/10.1002/jgra.50352")</f>
        <v>http://dx.doi.org/10.1002/jgra.50352</v>
      </c>
      <c r="BG414" t="s">
        <v>74</v>
      </c>
      <c r="BH414" t="s">
        <v>74</v>
      </c>
      <c r="BI414">
        <v>7</v>
      </c>
      <c r="BJ414" t="s">
        <v>101</v>
      </c>
      <c r="BK414" t="s">
        <v>102</v>
      </c>
      <c r="BL414" t="s">
        <v>101</v>
      </c>
      <c r="BM414" t="s">
        <v>5773</v>
      </c>
      <c r="BN414" t="s">
        <v>74</v>
      </c>
      <c r="BO414" t="s">
        <v>7933</v>
      </c>
      <c r="BP414" t="s">
        <v>74</v>
      </c>
      <c r="BQ414" t="s">
        <v>74</v>
      </c>
      <c r="BR414" t="s">
        <v>105</v>
      </c>
      <c r="BS414" t="s">
        <v>7934</v>
      </c>
      <c r="BT414" t="str">
        <f>HYPERLINK("https%3A%2F%2Fwww.webofscience.com%2Fwos%2Fwoscc%2Ffull-record%2FWOS:000325217100089","View Full Record in Web of Science")</f>
        <v>View Full Record in Web of Science</v>
      </c>
    </row>
    <row r="415" spans="1:72" x14ac:dyDescent="0.15">
      <c r="A415" t="s">
        <v>72</v>
      </c>
      <c r="B415" t="s">
        <v>7935</v>
      </c>
      <c r="C415" t="s">
        <v>74</v>
      </c>
      <c r="D415" t="s">
        <v>74</v>
      </c>
      <c r="E415" t="s">
        <v>74</v>
      </c>
      <c r="F415" t="s">
        <v>7936</v>
      </c>
      <c r="G415" t="s">
        <v>74</v>
      </c>
      <c r="H415" t="s">
        <v>74</v>
      </c>
      <c r="I415" t="s">
        <v>7937</v>
      </c>
      <c r="J415" t="s">
        <v>7938</v>
      </c>
      <c r="K415" t="s">
        <v>74</v>
      </c>
      <c r="L415" t="s">
        <v>74</v>
      </c>
      <c r="M415" t="s">
        <v>78</v>
      </c>
      <c r="N415" t="s">
        <v>79</v>
      </c>
      <c r="O415" t="s">
        <v>74</v>
      </c>
      <c r="P415" t="s">
        <v>74</v>
      </c>
      <c r="Q415" t="s">
        <v>74</v>
      </c>
      <c r="R415" t="s">
        <v>74</v>
      </c>
      <c r="S415" t="s">
        <v>74</v>
      </c>
      <c r="T415" t="s">
        <v>7939</v>
      </c>
      <c r="U415" t="s">
        <v>7940</v>
      </c>
      <c r="V415" t="s">
        <v>7941</v>
      </c>
      <c r="W415" t="s">
        <v>7942</v>
      </c>
      <c r="X415" t="s">
        <v>7943</v>
      </c>
      <c r="Y415" t="s">
        <v>7944</v>
      </c>
      <c r="Z415" t="s">
        <v>7945</v>
      </c>
      <c r="AA415" t="s">
        <v>7946</v>
      </c>
      <c r="AB415" t="s">
        <v>7947</v>
      </c>
      <c r="AC415" t="s">
        <v>7948</v>
      </c>
      <c r="AD415" t="s">
        <v>7949</v>
      </c>
      <c r="AE415" t="s">
        <v>7950</v>
      </c>
      <c r="AF415" t="s">
        <v>74</v>
      </c>
      <c r="AG415">
        <v>61</v>
      </c>
      <c r="AH415">
        <v>12</v>
      </c>
      <c r="AI415">
        <v>12</v>
      </c>
      <c r="AJ415">
        <v>3</v>
      </c>
      <c r="AK415">
        <v>74</v>
      </c>
      <c r="AL415" t="s">
        <v>529</v>
      </c>
      <c r="AM415" t="s">
        <v>1151</v>
      </c>
      <c r="AN415" t="s">
        <v>1152</v>
      </c>
      <c r="AO415" t="s">
        <v>7951</v>
      </c>
      <c r="AP415" t="s">
        <v>7952</v>
      </c>
      <c r="AQ415" t="s">
        <v>74</v>
      </c>
      <c r="AR415" t="s">
        <v>7953</v>
      </c>
      <c r="AS415" t="s">
        <v>7954</v>
      </c>
      <c r="AT415" t="s">
        <v>5642</v>
      </c>
      <c r="AU415">
        <v>2013</v>
      </c>
      <c r="AV415">
        <v>50</v>
      </c>
      <c r="AW415">
        <v>1</v>
      </c>
      <c r="AX415" t="s">
        <v>74</v>
      </c>
      <c r="AY415" t="s">
        <v>74</v>
      </c>
      <c r="AZ415" t="s">
        <v>74</v>
      </c>
      <c r="BA415" t="s">
        <v>74</v>
      </c>
      <c r="BB415">
        <v>15</v>
      </c>
      <c r="BC415">
        <v>31</v>
      </c>
      <c r="BD415" t="s">
        <v>74</v>
      </c>
      <c r="BE415" t="s">
        <v>7955</v>
      </c>
      <c r="BF415" t="str">
        <f>HYPERLINK("http://dx.doi.org/10.1007/s10933-013-9700-3","http://dx.doi.org/10.1007/s10933-013-9700-3")</f>
        <v>http://dx.doi.org/10.1007/s10933-013-9700-3</v>
      </c>
      <c r="BG415" t="s">
        <v>74</v>
      </c>
      <c r="BH415" t="s">
        <v>74</v>
      </c>
      <c r="BI415">
        <v>17</v>
      </c>
      <c r="BJ415" t="s">
        <v>7956</v>
      </c>
      <c r="BK415" t="s">
        <v>102</v>
      </c>
      <c r="BL415" t="s">
        <v>7957</v>
      </c>
      <c r="BM415" t="s">
        <v>7958</v>
      </c>
      <c r="BN415" t="s">
        <v>74</v>
      </c>
      <c r="BO415" t="s">
        <v>5030</v>
      </c>
      <c r="BP415" t="s">
        <v>74</v>
      </c>
      <c r="BQ415" t="s">
        <v>74</v>
      </c>
      <c r="BR415" t="s">
        <v>105</v>
      </c>
      <c r="BS415" t="s">
        <v>7959</v>
      </c>
      <c r="BT415" t="str">
        <f>HYPERLINK("https%3A%2F%2Fwww.webofscience.com%2Fwos%2Fwoscc%2Ffull-record%2FWOS:000319069100002","View Full Record in Web of Science")</f>
        <v>View Full Record in Web of Science</v>
      </c>
    </row>
    <row r="416" spans="1:72" x14ac:dyDescent="0.15">
      <c r="A416" t="s">
        <v>72</v>
      </c>
      <c r="B416" t="s">
        <v>7960</v>
      </c>
      <c r="C416" t="s">
        <v>74</v>
      </c>
      <c r="D416" t="s">
        <v>74</v>
      </c>
      <c r="E416" t="s">
        <v>74</v>
      </c>
      <c r="F416" t="s">
        <v>7961</v>
      </c>
      <c r="G416" t="s">
        <v>74</v>
      </c>
      <c r="H416" t="s">
        <v>74</v>
      </c>
      <c r="I416" t="s">
        <v>7962</v>
      </c>
      <c r="J416" t="s">
        <v>1792</v>
      </c>
      <c r="K416" t="s">
        <v>74</v>
      </c>
      <c r="L416" t="s">
        <v>74</v>
      </c>
      <c r="M416" t="s">
        <v>78</v>
      </c>
      <c r="N416" t="s">
        <v>79</v>
      </c>
      <c r="O416" t="s">
        <v>74</v>
      </c>
      <c r="P416" t="s">
        <v>74</v>
      </c>
      <c r="Q416" t="s">
        <v>74</v>
      </c>
      <c r="R416" t="s">
        <v>74</v>
      </c>
      <c r="S416" t="s">
        <v>74</v>
      </c>
      <c r="T416" t="s">
        <v>7963</v>
      </c>
      <c r="U416" t="s">
        <v>7964</v>
      </c>
      <c r="V416" t="s">
        <v>7965</v>
      </c>
      <c r="W416" t="s">
        <v>7966</v>
      </c>
      <c r="X416" t="s">
        <v>7967</v>
      </c>
      <c r="Y416" t="s">
        <v>7968</v>
      </c>
      <c r="Z416" t="s">
        <v>7969</v>
      </c>
      <c r="AA416" t="s">
        <v>1334</v>
      </c>
      <c r="AB416" t="s">
        <v>7970</v>
      </c>
      <c r="AC416" t="s">
        <v>7971</v>
      </c>
      <c r="AD416" t="s">
        <v>7972</v>
      </c>
      <c r="AE416" t="s">
        <v>7973</v>
      </c>
      <c r="AF416" t="s">
        <v>74</v>
      </c>
      <c r="AG416">
        <v>42</v>
      </c>
      <c r="AH416">
        <v>12</v>
      </c>
      <c r="AI416">
        <v>13</v>
      </c>
      <c r="AJ416">
        <v>1</v>
      </c>
      <c r="AK416">
        <v>17</v>
      </c>
      <c r="AL416" t="s">
        <v>390</v>
      </c>
      <c r="AM416" t="s">
        <v>391</v>
      </c>
      <c r="AN416" t="s">
        <v>392</v>
      </c>
      <c r="AO416" t="s">
        <v>1805</v>
      </c>
      <c r="AP416" t="s">
        <v>7974</v>
      </c>
      <c r="AQ416" t="s">
        <v>74</v>
      </c>
      <c r="AR416" t="s">
        <v>1806</v>
      </c>
      <c r="AS416" t="s">
        <v>1807</v>
      </c>
      <c r="AT416" t="s">
        <v>5642</v>
      </c>
      <c r="AU416">
        <v>2013</v>
      </c>
      <c r="AV416">
        <v>93</v>
      </c>
      <c r="AW416">
        <v>4</v>
      </c>
      <c r="AX416" t="s">
        <v>74</v>
      </c>
      <c r="AY416" t="s">
        <v>74</v>
      </c>
      <c r="AZ416" t="s">
        <v>74</v>
      </c>
      <c r="BA416" t="s">
        <v>74</v>
      </c>
      <c r="BB416">
        <v>1017</v>
      </c>
      <c r="BC416">
        <v>1024</v>
      </c>
      <c r="BD416" t="s">
        <v>74</v>
      </c>
      <c r="BE416" t="s">
        <v>7975</v>
      </c>
      <c r="BF416" t="str">
        <f>HYPERLINK("http://dx.doi.org/10.1017/S0025315412000823","http://dx.doi.org/10.1017/S0025315412000823")</f>
        <v>http://dx.doi.org/10.1017/S0025315412000823</v>
      </c>
      <c r="BG416" t="s">
        <v>74</v>
      </c>
      <c r="BH416" t="s">
        <v>74</v>
      </c>
      <c r="BI416">
        <v>8</v>
      </c>
      <c r="BJ416" t="s">
        <v>1809</v>
      </c>
      <c r="BK416" t="s">
        <v>102</v>
      </c>
      <c r="BL416" t="s">
        <v>1809</v>
      </c>
      <c r="BM416" t="s">
        <v>7976</v>
      </c>
      <c r="BN416" t="s">
        <v>74</v>
      </c>
      <c r="BO416" t="s">
        <v>1063</v>
      </c>
      <c r="BP416" t="s">
        <v>74</v>
      </c>
      <c r="BQ416" t="s">
        <v>74</v>
      </c>
      <c r="BR416" t="s">
        <v>105</v>
      </c>
      <c r="BS416" t="s">
        <v>7977</v>
      </c>
      <c r="BT416" t="str">
        <f>HYPERLINK("https%3A%2F%2Fwww.webofscience.com%2Fwos%2Fwoscc%2Ffull-record%2FWOS:000318625700019","View Full Record in Web of Science")</f>
        <v>View Full Record in Web of Science</v>
      </c>
    </row>
    <row r="417" spans="1:72" x14ac:dyDescent="0.15">
      <c r="A417" t="s">
        <v>72</v>
      </c>
      <c r="B417" t="s">
        <v>7978</v>
      </c>
      <c r="C417" t="s">
        <v>74</v>
      </c>
      <c r="D417" t="s">
        <v>74</v>
      </c>
      <c r="E417" t="s">
        <v>74</v>
      </c>
      <c r="F417" t="s">
        <v>7979</v>
      </c>
      <c r="G417" t="s">
        <v>74</v>
      </c>
      <c r="H417" t="s">
        <v>74</v>
      </c>
      <c r="I417" t="s">
        <v>7980</v>
      </c>
      <c r="J417" t="s">
        <v>7981</v>
      </c>
      <c r="K417" t="s">
        <v>74</v>
      </c>
      <c r="L417" t="s">
        <v>74</v>
      </c>
      <c r="M417" t="s">
        <v>78</v>
      </c>
      <c r="N417" t="s">
        <v>1459</v>
      </c>
      <c r="O417" t="s">
        <v>74</v>
      </c>
      <c r="P417" t="s">
        <v>74</v>
      </c>
      <c r="Q417" t="s">
        <v>74</v>
      </c>
      <c r="R417" t="s">
        <v>74</v>
      </c>
      <c r="S417" t="s">
        <v>74</v>
      </c>
      <c r="T417" t="s">
        <v>7982</v>
      </c>
      <c r="U417" t="s">
        <v>7983</v>
      </c>
      <c r="V417" t="s">
        <v>7984</v>
      </c>
      <c r="W417" t="s">
        <v>7985</v>
      </c>
      <c r="X417" t="s">
        <v>7986</v>
      </c>
      <c r="Y417" t="s">
        <v>7987</v>
      </c>
      <c r="Z417" t="s">
        <v>7988</v>
      </c>
      <c r="AA417" t="s">
        <v>7989</v>
      </c>
      <c r="AB417" t="s">
        <v>7990</v>
      </c>
      <c r="AC417" t="s">
        <v>7991</v>
      </c>
      <c r="AD417" t="s">
        <v>7992</v>
      </c>
      <c r="AE417" t="s">
        <v>7993</v>
      </c>
      <c r="AF417" t="s">
        <v>74</v>
      </c>
      <c r="AG417">
        <v>175</v>
      </c>
      <c r="AH417">
        <v>39</v>
      </c>
      <c r="AI417">
        <v>46</v>
      </c>
      <c r="AJ417">
        <v>5</v>
      </c>
      <c r="AK417">
        <v>180</v>
      </c>
      <c r="AL417" t="s">
        <v>7630</v>
      </c>
      <c r="AM417" t="s">
        <v>7631</v>
      </c>
      <c r="AN417" t="s">
        <v>7632</v>
      </c>
      <c r="AO417" t="s">
        <v>7994</v>
      </c>
      <c r="AP417" t="s">
        <v>74</v>
      </c>
      <c r="AQ417" t="s">
        <v>74</v>
      </c>
      <c r="AR417" t="s">
        <v>7995</v>
      </c>
      <c r="AS417" t="s">
        <v>7996</v>
      </c>
      <c r="AT417" t="s">
        <v>5642</v>
      </c>
      <c r="AU417">
        <v>2013</v>
      </c>
      <c r="AV417">
        <v>11</v>
      </c>
      <c r="AW417">
        <v>6</v>
      </c>
      <c r="AX417" t="s">
        <v>74</v>
      </c>
      <c r="AY417" t="s">
        <v>74</v>
      </c>
      <c r="AZ417" t="s">
        <v>74</v>
      </c>
      <c r="BA417" t="s">
        <v>74</v>
      </c>
      <c r="BB417">
        <v>2013</v>
      </c>
      <c r="BC417">
        <v>2041</v>
      </c>
      <c r="BD417" t="s">
        <v>74</v>
      </c>
      <c r="BE417" t="s">
        <v>7997</v>
      </c>
      <c r="BF417" t="str">
        <f>HYPERLINK("http://dx.doi.org/10.3390/md11062013","http://dx.doi.org/10.3390/md11062013")</f>
        <v>http://dx.doi.org/10.3390/md11062013</v>
      </c>
      <c r="BG417" t="s">
        <v>74</v>
      </c>
      <c r="BH417" t="s">
        <v>74</v>
      </c>
      <c r="BI417">
        <v>29</v>
      </c>
      <c r="BJ417" t="s">
        <v>7998</v>
      </c>
      <c r="BK417" t="s">
        <v>102</v>
      </c>
      <c r="BL417" t="s">
        <v>7999</v>
      </c>
      <c r="BM417" t="s">
        <v>8000</v>
      </c>
      <c r="BN417">
        <v>23752356</v>
      </c>
      <c r="BO417" t="s">
        <v>2248</v>
      </c>
      <c r="BP417" t="s">
        <v>74</v>
      </c>
      <c r="BQ417" t="s">
        <v>74</v>
      </c>
      <c r="BR417" t="s">
        <v>105</v>
      </c>
      <c r="BS417" t="s">
        <v>8001</v>
      </c>
      <c r="BT417" t="str">
        <f>HYPERLINK("https%3A%2F%2Fwww.webofscience.com%2Fwos%2Fwoscc%2Ffull-record%2FWOS:000320772100016","View Full Record in Web of Science")</f>
        <v>View Full Record in Web of Science</v>
      </c>
    </row>
    <row r="418" spans="1:72" x14ac:dyDescent="0.15">
      <c r="A418" t="s">
        <v>72</v>
      </c>
      <c r="B418" t="s">
        <v>8002</v>
      </c>
      <c r="C418" t="s">
        <v>74</v>
      </c>
      <c r="D418" t="s">
        <v>74</v>
      </c>
      <c r="E418" t="s">
        <v>74</v>
      </c>
      <c r="F418" t="s">
        <v>8003</v>
      </c>
      <c r="G418" t="s">
        <v>74</v>
      </c>
      <c r="H418" t="s">
        <v>74</v>
      </c>
      <c r="I418" t="s">
        <v>8004</v>
      </c>
      <c r="J418" t="s">
        <v>7981</v>
      </c>
      <c r="K418" t="s">
        <v>74</v>
      </c>
      <c r="L418" t="s">
        <v>74</v>
      </c>
      <c r="M418" t="s">
        <v>78</v>
      </c>
      <c r="N418" t="s">
        <v>79</v>
      </c>
      <c r="O418" t="s">
        <v>74</v>
      </c>
      <c r="P418" t="s">
        <v>74</v>
      </c>
      <c r="Q418" t="s">
        <v>74</v>
      </c>
      <c r="R418" t="s">
        <v>74</v>
      </c>
      <c r="S418" t="s">
        <v>74</v>
      </c>
      <c r="T418" t="s">
        <v>8005</v>
      </c>
      <c r="U418" t="s">
        <v>8006</v>
      </c>
      <c r="V418" t="s">
        <v>8007</v>
      </c>
      <c r="W418" t="s">
        <v>8008</v>
      </c>
      <c r="X418" t="s">
        <v>8009</v>
      </c>
      <c r="Y418" t="s">
        <v>8010</v>
      </c>
      <c r="Z418" t="s">
        <v>8011</v>
      </c>
      <c r="AA418" t="s">
        <v>8012</v>
      </c>
      <c r="AB418" t="s">
        <v>8013</v>
      </c>
      <c r="AC418" t="s">
        <v>8014</v>
      </c>
      <c r="AD418" t="s">
        <v>8015</v>
      </c>
      <c r="AE418" t="s">
        <v>8016</v>
      </c>
      <c r="AF418" t="s">
        <v>74</v>
      </c>
      <c r="AG418">
        <v>36</v>
      </c>
      <c r="AH418">
        <v>26</v>
      </c>
      <c r="AI418">
        <v>32</v>
      </c>
      <c r="AJ418">
        <v>0</v>
      </c>
      <c r="AK418">
        <v>26</v>
      </c>
      <c r="AL418" t="s">
        <v>7630</v>
      </c>
      <c r="AM418" t="s">
        <v>7631</v>
      </c>
      <c r="AN418" t="s">
        <v>7632</v>
      </c>
      <c r="AO418" t="s">
        <v>7994</v>
      </c>
      <c r="AP418" t="s">
        <v>74</v>
      </c>
      <c r="AQ418" t="s">
        <v>74</v>
      </c>
      <c r="AR418" t="s">
        <v>7995</v>
      </c>
      <c r="AS418" t="s">
        <v>7996</v>
      </c>
      <c r="AT418" t="s">
        <v>5642</v>
      </c>
      <c r="AU418">
        <v>2013</v>
      </c>
      <c r="AV418">
        <v>11</v>
      </c>
      <c r="AW418">
        <v>6</v>
      </c>
      <c r="AX418" t="s">
        <v>74</v>
      </c>
      <c r="AY418" t="s">
        <v>74</v>
      </c>
      <c r="AZ418" t="s">
        <v>74</v>
      </c>
      <c r="BA418" t="s">
        <v>74</v>
      </c>
      <c r="BB418">
        <v>2126</v>
      </c>
      <c r="BC418">
        <v>2139</v>
      </c>
      <c r="BD418" t="s">
        <v>74</v>
      </c>
      <c r="BE418" t="s">
        <v>8017</v>
      </c>
      <c r="BF418" t="str">
        <f>HYPERLINK("http://dx.doi.org/10.3390/md11062126","http://dx.doi.org/10.3390/md11062126")</f>
        <v>http://dx.doi.org/10.3390/md11062126</v>
      </c>
      <c r="BG418" t="s">
        <v>74</v>
      </c>
      <c r="BH418" t="s">
        <v>74</v>
      </c>
      <c r="BI418">
        <v>14</v>
      </c>
      <c r="BJ418" t="s">
        <v>7998</v>
      </c>
      <c r="BK418" t="s">
        <v>102</v>
      </c>
      <c r="BL418" t="s">
        <v>7999</v>
      </c>
      <c r="BM418" t="s">
        <v>8000</v>
      </c>
      <c r="BN418">
        <v>23771046</v>
      </c>
      <c r="BO418" t="s">
        <v>2363</v>
      </c>
      <c r="BP418" t="s">
        <v>74</v>
      </c>
      <c r="BQ418" t="s">
        <v>74</v>
      </c>
      <c r="BR418" t="s">
        <v>105</v>
      </c>
      <c r="BS418" t="s">
        <v>8018</v>
      </c>
      <c r="BT418" t="str">
        <f>HYPERLINK("https%3A%2F%2Fwww.webofscience.com%2Fwos%2Fwoscc%2Ffull-record%2FWOS:000320772100021","View Full Record in Web of Science")</f>
        <v>View Full Record in Web of Science</v>
      </c>
    </row>
    <row r="419" spans="1:72" x14ac:dyDescent="0.15">
      <c r="A419" t="s">
        <v>72</v>
      </c>
      <c r="B419" t="s">
        <v>8019</v>
      </c>
      <c r="C419" t="s">
        <v>74</v>
      </c>
      <c r="D419" t="s">
        <v>74</v>
      </c>
      <c r="E419" t="s">
        <v>74</v>
      </c>
      <c r="F419" t="s">
        <v>8020</v>
      </c>
      <c r="G419" t="s">
        <v>74</v>
      </c>
      <c r="H419" t="s">
        <v>74</v>
      </c>
      <c r="I419" t="s">
        <v>8021</v>
      </c>
      <c r="J419" t="s">
        <v>4454</v>
      </c>
      <c r="K419" t="s">
        <v>74</v>
      </c>
      <c r="L419" t="s">
        <v>74</v>
      </c>
      <c r="M419" t="s">
        <v>78</v>
      </c>
      <c r="N419" t="s">
        <v>991</v>
      </c>
      <c r="O419" t="s">
        <v>74</v>
      </c>
      <c r="P419" t="s">
        <v>74</v>
      </c>
      <c r="Q419" t="s">
        <v>74</v>
      </c>
      <c r="R419" t="s">
        <v>74</v>
      </c>
      <c r="S419" t="s">
        <v>74</v>
      </c>
      <c r="T419" t="s">
        <v>74</v>
      </c>
      <c r="U419" t="s">
        <v>8022</v>
      </c>
      <c r="V419" t="s">
        <v>74</v>
      </c>
      <c r="W419" t="s">
        <v>8023</v>
      </c>
      <c r="X419" t="s">
        <v>2480</v>
      </c>
      <c r="Y419" t="s">
        <v>8024</v>
      </c>
      <c r="Z419" t="s">
        <v>8025</v>
      </c>
      <c r="AA419" t="s">
        <v>8026</v>
      </c>
      <c r="AB419" t="s">
        <v>8027</v>
      </c>
      <c r="AC419" t="s">
        <v>74</v>
      </c>
      <c r="AD419" t="s">
        <v>74</v>
      </c>
      <c r="AE419" t="s">
        <v>74</v>
      </c>
      <c r="AF419" t="s">
        <v>74</v>
      </c>
      <c r="AG419">
        <v>20</v>
      </c>
      <c r="AH419">
        <v>14</v>
      </c>
      <c r="AI419">
        <v>14</v>
      </c>
      <c r="AJ419">
        <v>0</v>
      </c>
      <c r="AK419">
        <v>33</v>
      </c>
      <c r="AL419" t="s">
        <v>1850</v>
      </c>
      <c r="AM419" t="s">
        <v>1851</v>
      </c>
      <c r="AN419" t="s">
        <v>1852</v>
      </c>
      <c r="AO419" t="s">
        <v>4465</v>
      </c>
      <c r="AP419" t="s">
        <v>4466</v>
      </c>
      <c r="AQ419" t="s">
        <v>74</v>
      </c>
      <c r="AR419" t="s">
        <v>4467</v>
      </c>
      <c r="AS419" t="s">
        <v>4468</v>
      </c>
      <c r="AT419" t="s">
        <v>5642</v>
      </c>
      <c r="AU419">
        <v>2013</v>
      </c>
      <c r="AV419">
        <v>3</v>
      </c>
      <c r="AW419">
        <v>6</v>
      </c>
      <c r="AX419" t="s">
        <v>74</v>
      </c>
      <c r="AY419" t="s">
        <v>74</v>
      </c>
      <c r="AZ419" t="s">
        <v>74</v>
      </c>
      <c r="BA419" t="s">
        <v>74</v>
      </c>
      <c r="BB419">
        <v>530</v>
      </c>
      <c r="BC419">
        <v>533</v>
      </c>
      <c r="BD419" t="s">
        <v>74</v>
      </c>
      <c r="BE419" t="s">
        <v>8028</v>
      </c>
      <c r="BF419" t="str">
        <f>HYPERLINK("http://dx.doi.org/10.1038/nclimate1881","http://dx.doi.org/10.1038/nclimate1881")</f>
        <v>http://dx.doi.org/10.1038/nclimate1881</v>
      </c>
      <c r="BG419" t="s">
        <v>74</v>
      </c>
      <c r="BH419" t="s">
        <v>74</v>
      </c>
      <c r="BI419">
        <v>4</v>
      </c>
      <c r="BJ419" t="s">
        <v>4470</v>
      </c>
      <c r="BK419" t="s">
        <v>3246</v>
      </c>
      <c r="BL419" t="s">
        <v>3228</v>
      </c>
      <c r="BM419" t="s">
        <v>8029</v>
      </c>
      <c r="BN419" t="s">
        <v>74</v>
      </c>
      <c r="BO419" t="s">
        <v>74</v>
      </c>
      <c r="BP419" t="s">
        <v>74</v>
      </c>
      <c r="BQ419" t="s">
        <v>74</v>
      </c>
      <c r="BR419" t="s">
        <v>105</v>
      </c>
      <c r="BS419" t="s">
        <v>8030</v>
      </c>
      <c r="BT419" t="str">
        <f>HYPERLINK("https%3A%2F%2Fwww.webofscience.com%2Fwos%2Fwoscc%2Ffull-record%2FWOS:000321166400006","View Full Record in Web of Science")</f>
        <v>View Full Record in Web of Science</v>
      </c>
    </row>
    <row r="420" spans="1:72" x14ac:dyDescent="0.15">
      <c r="A420" t="s">
        <v>72</v>
      </c>
      <c r="B420" t="s">
        <v>8031</v>
      </c>
      <c r="C420" t="s">
        <v>74</v>
      </c>
      <c r="D420" t="s">
        <v>74</v>
      </c>
      <c r="E420" t="s">
        <v>74</v>
      </c>
      <c r="F420" t="s">
        <v>8032</v>
      </c>
      <c r="G420" t="s">
        <v>74</v>
      </c>
      <c r="H420" t="s">
        <v>74</v>
      </c>
      <c r="I420" t="s">
        <v>8033</v>
      </c>
      <c r="J420" t="s">
        <v>8034</v>
      </c>
      <c r="K420" t="s">
        <v>74</v>
      </c>
      <c r="L420" t="s">
        <v>74</v>
      </c>
      <c r="M420" t="s">
        <v>78</v>
      </c>
      <c r="N420" t="s">
        <v>79</v>
      </c>
      <c r="O420" t="s">
        <v>74</v>
      </c>
      <c r="P420" t="s">
        <v>74</v>
      </c>
      <c r="Q420" t="s">
        <v>74</v>
      </c>
      <c r="R420" t="s">
        <v>74</v>
      </c>
      <c r="S420" t="s">
        <v>74</v>
      </c>
      <c r="T420" t="s">
        <v>74</v>
      </c>
      <c r="U420" t="s">
        <v>8035</v>
      </c>
      <c r="V420" t="s">
        <v>8036</v>
      </c>
      <c r="W420" t="s">
        <v>8037</v>
      </c>
      <c r="X420" t="s">
        <v>8038</v>
      </c>
      <c r="Y420" t="s">
        <v>8039</v>
      </c>
      <c r="Z420" t="s">
        <v>8040</v>
      </c>
      <c r="AA420" t="s">
        <v>8041</v>
      </c>
      <c r="AB420" t="s">
        <v>8042</v>
      </c>
      <c r="AC420" t="s">
        <v>8043</v>
      </c>
      <c r="AD420" t="s">
        <v>8044</v>
      </c>
      <c r="AE420" t="s">
        <v>8045</v>
      </c>
      <c r="AF420" t="s">
        <v>74</v>
      </c>
      <c r="AG420">
        <v>35</v>
      </c>
      <c r="AH420">
        <v>42</v>
      </c>
      <c r="AI420">
        <v>47</v>
      </c>
      <c r="AJ420">
        <v>1</v>
      </c>
      <c r="AK420">
        <v>93</v>
      </c>
      <c r="AL420" t="s">
        <v>670</v>
      </c>
      <c r="AM420" t="s">
        <v>643</v>
      </c>
      <c r="AN420" t="s">
        <v>671</v>
      </c>
      <c r="AO420" t="s">
        <v>8046</v>
      </c>
      <c r="AP420" t="s">
        <v>74</v>
      </c>
      <c r="AQ420" t="s">
        <v>74</v>
      </c>
      <c r="AR420" t="s">
        <v>8047</v>
      </c>
      <c r="AS420" t="s">
        <v>8048</v>
      </c>
      <c r="AT420" t="s">
        <v>5642</v>
      </c>
      <c r="AU420">
        <v>2013</v>
      </c>
      <c r="AV420">
        <v>4</v>
      </c>
      <c r="AW420" t="s">
        <v>74</v>
      </c>
      <c r="AX420" t="s">
        <v>74</v>
      </c>
      <c r="AY420" t="s">
        <v>74</v>
      </c>
      <c r="AZ420" t="s">
        <v>74</v>
      </c>
      <c r="BA420" t="s">
        <v>74</v>
      </c>
      <c r="BB420" t="s">
        <v>74</v>
      </c>
      <c r="BC420" t="s">
        <v>74</v>
      </c>
      <c r="BD420">
        <v>1981</v>
      </c>
      <c r="BE420" t="s">
        <v>8049</v>
      </c>
      <c r="BF420" t="str">
        <f>HYPERLINK("http://dx.doi.org/10.1038/ncomms2981","http://dx.doi.org/10.1038/ncomms2981")</f>
        <v>http://dx.doi.org/10.1038/ncomms2981</v>
      </c>
      <c r="BG420" t="s">
        <v>74</v>
      </c>
      <c r="BH420" t="s">
        <v>74</v>
      </c>
      <c r="BI420">
        <v>6</v>
      </c>
      <c r="BJ420" t="s">
        <v>1880</v>
      </c>
      <c r="BK420" t="s">
        <v>102</v>
      </c>
      <c r="BL420" t="s">
        <v>1881</v>
      </c>
      <c r="BM420" t="s">
        <v>8050</v>
      </c>
      <c r="BN420">
        <v>23749035</v>
      </c>
      <c r="BO420" t="s">
        <v>104</v>
      </c>
      <c r="BP420" t="s">
        <v>74</v>
      </c>
      <c r="BQ420" t="s">
        <v>74</v>
      </c>
      <c r="BR420" t="s">
        <v>105</v>
      </c>
      <c r="BS420" t="s">
        <v>8051</v>
      </c>
      <c r="BT420" t="str">
        <f>HYPERLINK("https%3A%2F%2Fwww.webofscience.com%2Fwos%2Fwoscc%2Ffull-record%2FWOS:000323624600004","View Full Record in Web of Science")</f>
        <v>View Full Record in Web of Science</v>
      </c>
    </row>
    <row r="421" spans="1:72" x14ac:dyDescent="0.15">
      <c r="A421" t="s">
        <v>72</v>
      </c>
      <c r="B421" t="s">
        <v>8052</v>
      </c>
      <c r="C421" t="s">
        <v>74</v>
      </c>
      <c r="D421" t="s">
        <v>74</v>
      </c>
      <c r="E421" t="s">
        <v>74</v>
      </c>
      <c r="F421" t="s">
        <v>8053</v>
      </c>
      <c r="G421" t="s">
        <v>74</v>
      </c>
      <c r="H421" t="s">
        <v>74</v>
      </c>
      <c r="I421" t="s">
        <v>8054</v>
      </c>
      <c r="J421" t="s">
        <v>1838</v>
      </c>
      <c r="K421" t="s">
        <v>74</v>
      </c>
      <c r="L421" t="s">
        <v>74</v>
      </c>
      <c r="M421" t="s">
        <v>78</v>
      </c>
      <c r="N421" t="s">
        <v>79</v>
      </c>
      <c r="O421" t="s">
        <v>74</v>
      </c>
      <c r="P421" t="s">
        <v>74</v>
      </c>
      <c r="Q421" t="s">
        <v>74</v>
      </c>
      <c r="R421" t="s">
        <v>74</v>
      </c>
      <c r="S421" t="s">
        <v>74</v>
      </c>
      <c r="T421" t="s">
        <v>74</v>
      </c>
      <c r="U421" t="s">
        <v>8055</v>
      </c>
      <c r="V421" t="s">
        <v>8056</v>
      </c>
      <c r="W421" t="s">
        <v>8057</v>
      </c>
      <c r="X421" t="s">
        <v>8058</v>
      </c>
      <c r="Y421" t="s">
        <v>8059</v>
      </c>
      <c r="Z421" t="s">
        <v>8060</v>
      </c>
      <c r="AA421" t="s">
        <v>8061</v>
      </c>
      <c r="AB421" t="s">
        <v>8062</v>
      </c>
      <c r="AC421" t="s">
        <v>8063</v>
      </c>
      <c r="AD421" t="s">
        <v>8064</v>
      </c>
      <c r="AE421" t="s">
        <v>8065</v>
      </c>
      <c r="AF421" t="s">
        <v>74</v>
      </c>
      <c r="AG421">
        <v>30</v>
      </c>
      <c r="AH421">
        <v>62</v>
      </c>
      <c r="AI421">
        <v>69</v>
      </c>
      <c r="AJ421">
        <v>0</v>
      </c>
      <c r="AK421">
        <v>72</v>
      </c>
      <c r="AL421" t="s">
        <v>670</v>
      </c>
      <c r="AM421" t="s">
        <v>391</v>
      </c>
      <c r="AN421" t="s">
        <v>3747</v>
      </c>
      <c r="AO421" t="s">
        <v>1853</v>
      </c>
      <c r="AP421" t="s">
        <v>1854</v>
      </c>
      <c r="AQ421" t="s">
        <v>74</v>
      </c>
      <c r="AR421" t="s">
        <v>1855</v>
      </c>
      <c r="AS421" t="s">
        <v>1856</v>
      </c>
      <c r="AT421" t="s">
        <v>5642</v>
      </c>
      <c r="AU421">
        <v>2013</v>
      </c>
      <c r="AV421">
        <v>6</v>
      </c>
      <c r="AW421">
        <v>6</v>
      </c>
      <c r="AX421" t="s">
        <v>74</v>
      </c>
      <c r="AY421" t="s">
        <v>74</v>
      </c>
      <c r="AZ421" t="s">
        <v>74</v>
      </c>
      <c r="BA421" t="s">
        <v>74</v>
      </c>
      <c r="BB421">
        <v>457</v>
      </c>
      <c r="BC421">
        <v>461</v>
      </c>
      <c r="BD421" t="s">
        <v>74</v>
      </c>
      <c r="BE421" t="s">
        <v>8066</v>
      </c>
      <c r="BF421" t="str">
        <f>HYPERLINK("http://dx.doi.org/10.1038/NGEO1782","http://dx.doi.org/10.1038/NGEO1782")</f>
        <v>http://dx.doi.org/10.1038/NGEO1782</v>
      </c>
      <c r="BG421" t="s">
        <v>74</v>
      </c>
      <c r="BH421" t="s">
        <v>74</v>
      </c>
      <c r="BI421">
        <v>5</v>
      </c>
      <c r="BJ421" t="s">
        <v>1426</v>
      </c>
      <c r="BK421" t="s">
        <v>102</v>
      </c>
      <c r="BL421" t="s">
        <v>219</v>
      </c>
      <c r="BM421" t="s">
        <v>8067</v>
      </c>
      <c r="BN421" t="s">
        <v>74</v>
      </c>
      <c r="BO421" t="s">
        <v>74</v>
      </c>
      <c r="BP421" t="s">
        <v>74</v>
      </c>
      <c r="BQ421" t="s">
        <v>74</v>
      </c>
      <c r="BR421" t="s">
        <v>105</v>
      </c>
      <c r="BS421" t="s">
        <v>8068</v>
      </c>
      <c r="BT421" t="str">
        <f>HYPERLINK("https%3A%2F%2Fwww.webofscience.com%2Fwos%2Fwoscc%2Ffull-record%2FWOS:000319655200017","View Full Record in Web of Science")</f>
        <v>View Full Record in Web of Science</v>
      </c>
    </row>
    <row r="422" spans="1:72" x14ac:dyDescent="0.15">
      <c r="A422" t="s">
        <v>72</v>
      </c>
      <c r="B422" t="s">
        <v>8069</v>
      </c>
      <c r="C422" t="s">
        <v>74</v>
      </c>
      <c r="D422" t="s">
        <v>74</v>
      </c>
      <c r="E422" t="s">
        <v>74</v>
      </c>
      <c r="F422" t="s">
        <v>8070</v>
      </c>
      <c r="G422" t="s">
        <v>74</v>
      </c>
      <c r="H422" t="s">
        <v>74</v>
      </c>
      <c r="I422" t="s">
        <v>8071</v>
      </c>
      <c r="J422" t="s">
        <v>8072</v>
      </c>
      <c r="K422" t="s">
        <v>74</v>
      </c>
      <c r="L422" t="s">
        <v>74</v>
      </c>
      <c r="M422" t="s">
        <v>78</v>
      </c>
      <c r="N422" t="s">
        <v>79</v>
      </c>
      <c r="O422" t="s">
        <v>74</v>
      </c>
      <c r="P422" t="s">
        <v>74</v>
      </c>
      <c r="Q422" t="s">
        <v>74</v>
      </c>
      <c r="R422" t="s">
        <v>74</v>
      </c>
      <c r="S422" t="s">
        <v>74</v>
      </c>
      <c r="T422" t="s">
        <v>74</v>
      </c>
      <c r="U422" t="s">
        <v>74</v>
      </c>
      <c r="V422" t="s">
        <v>8073</v>
      </c>
      <c r="W422" t="s">
        <v>8074</v>
      </c>
      <c r="X422" t="s">
        <v>8075</v>
      </c>
      <c r="Y422" t="s">
        <v>8076</v>
      </c>
      <c r="Z422" t="s">
        <v>8077</v>
      </c>
      <c r="AA422" t="s">
        <v>74</v>
      </c>
      <c r="AB422" t="s">
        <v>74</v>
      </c>
      <c r="AC422" t="s">
        <v>74</v>
      </c>
      <c r="AD422" t="s">
        <v>74</v>
      </c>
      <c r="AE422" t="s">
        <v>74</v>
      </c>
      <c r="AF422" t="s">
        <v>74</v>
      </c>
      <c r="AG422">
        <v>33</v>
      </c>
      <c r="AH422">
        <v>16</v>
      </c>
      <c r="AI422">
        <v>17</v>
      </c>
      <c r="AJ422">
        <v>0</v>
      </c>
      <c r="AK422">
        <v>4</v>
      </c>
      <c r="AL422" t="s">
        <v>7356</v>
      </c>
      <c r="AM422" t="s">
        <v>7357</v>
      </c>
      <c r="AN422" t="s">
        <v>7358</v>
      </c>
      <c r="AO422" t="s">
        <v>8078</v>
      </c>
      <c r="AP422" t="s">
        <v>8079</v>
      </c>
      <c r="AQ422" t="s">
        <v>74</v>
      </c>
      <c r="AR422" t="s">
        <v>8080</v>
      </c>
      <c r="AS422" t="s">
        <v>8081</v>
      </c>
      <c r="AT422" t="s">
        <v>5642</v>
      </c>
      <c r="AU422">
        <v>2013</v>
      </c>
      <c r="AV422">
        <v>1</v>
      </c>
      <c r="AW422">
        <v>2</v>
      </c>
      <c r="AX422" t="s">
        <v>74</v>
      </c>
      <c r="AY422" t="s">
        <v>74</v>
      </c>
      <c r="AZ422" t="s">
        <v>74</v>
      </c>
      <c r="BA422" t="s">
        <v>74</v>
      </c>
      <c r="BB422">
        <v>60</v>
      </c>
      <c r="BC422">
        <v>72</v>
      </c>
      <c r="BD422" t="s">
        <v>74</v>
      </c>
      <c r="BE422" t="s">
        <v>8082</v>
      </c>
      <c r="BF422" t="str">
        <f>HYPERLINK("http://dx.doi.org/10.1089/space.2013.0007","http://dx.doi.org/10.1089/space.2013.0007")</f>
        <v>http://dx.doi.org/10.1089/space.2013.0007</v>
      </c>
      <c r="BG422" t="s">
        <v>74</v>
      </c>
      <c r="BH422" t="s">
        <v>74</v>
      </c>
      <c r="BI422">
        <v>13</v>
      </c>
      <c r="BJ422" t="s">
        <v>8083</v>
      </c>
      <c r="BK422" t="s">
        <v>1452</v>
      </c>
      <c r="BL422" t="s">
        <v>6479</v>
      </c>
      <c r="BM422" t="s">
        <v>8084</v>
      </c>
      <c r="BN422" t="s">
        <v>74</v>
      </c>
      <c r="BO422" t="s">
        <v>74</v>
      </c>
      <c r="BP422" t="s">
        <v>74</v>
      </c>
      <c r="BQ422" t="s">
        <v>74</v>
      </c>
      <c r="BR422" t="s">
        <v>105</v>
      </c>
      <c r="BS422" t="s">
        <v>8085</v>
      </c>
      <c r="BT422" t="str">
        <f>HYPERLINK("https%3A%2F%2Fwww.webofscience.com%2Fwos%2Fwoscc%2Ffull-record%2FWOS:000217467900003","View Full Record in Web of Science")</f>
        <v>View Full Record in Web of Science</v>
      </c>
    </row>
    <row r="423" spans="1:72" x14ac:dyDescent="0.15">
      <c r="A423" t="s">
        <v>72</v>
      </c>
      <c r="B423" t="s">
        <v>8086</v>
      </c>
      <c r="C423" t="s">
        <v>74</v>
      </c>
      <c r="D423" t="s">
        <v>74</v>
      </c>
      <c r="E423" t="s">
        <v>74</v>
      </c>
      <c r="F423" t="s">
        <v>8087</v>
      </c>
      <c r="G423" t="s">
        <v>74</v>
      </c>
      <c r="H423" t="s">
        <v>74</v>
      </c>
      <c r="I423" t="s">
        <v>8088</v>
      </c>
      <c r="J423" t="s">
        <v>5670</v>
      </c>
      <c r="K423" t="s">
        <v>74</v>
      </c>
      <c r="L423" t="s">
        <v>74</v>
      </c>
      <c r="M423" t="s">
        <v>78</v>
      </c>
      <c r="N423" t="s">
        <v>254</v>
      </c>
      <c r="O423" t="s">
        <v>74</v>
      </c>
      <c r="P423" t="s">
        <v>74</v>
      </c>
      <c r="Q423" t="s">
        <v>74</v>
      </c>
      <c r="R423" t="s">
        <v>74</v>
      </c>
      <c r="S423" t="s">
        <v>74</v>
      </c>
      <c r="T423" t="s">
        <v>74</v>
      </c>
      <c r="U423" t="s">
        <v>8089</v>
      </c>
      <c r="V423" t="s">
        <v>74</v>
      </c>
      <c r="W423" t="s">
        <v>8090</v>
      </c>
      <c r="X423" t="s">
        <v>8091</v>
      </c>
      <c r="Y423" t="s">
        <v>8092</v>
      </c>
      <c r="Z423" t="s">
        <v>8093</v>
      </c>
      <c r="AA423" t="s">
        <v>8094</v>
      </c>
      <c r="AB423" t="s">
        <v>8095</v>
      </c>
      <c r="AC423" t="s">
        <v>74</v>
      </c>
      <c r="AD423" t="s">
        <v>74</v>
      </c>
      <c r="AE423" t="s">
        <v>74</v>
      </c>
      <c r="AF423" t="s">
        <v>74</v>
      </c>
      <c r="AG423">
        <v>14</v>
      </c>
      <c r="AH423">
        <v>15</v>
      </c>
      <c r="AI423">
        <v>15</v>
      </c>
      <c r="AJ423">
        <v>0</v>
      </c>
      <c r="AK423">
        <v>6</v>
      </c>
      <c r="AL423" t="s">
        <v>5679</v>
      </c>
      <c r="AM423" t="s">
        <v>5680</v>
      </c>
      <c r="AN423" t="s">
        <v>5681</v>
      </c>
      <c r="AO423" t="s">
        <v>5682</v>
      </c>
      <c r="AP423" t="s">
        <v>74</v>
      </c>
      <c r="AQ423" t="s">
        <v>74</v>
      </c>
      <c r="AR423" t="s">
        <v>5670</v>
      </c>
      <c r="AS423" t="s">
        <v>327</v>
      </c>
      <c r="AT423" t="s">
        <v>5642</v>
      </c>
      <c r="AU423">
        <v>2013</v>
      </c>
      <c r="AV423">
        <v>26</v>
      </c>
      <c r="AW423">
        <v>2</v>
      </c>
      <c r="AX423" t="s">
        <v>74</v>
      </c>
      <c r="AY423" t="s">
        <v>74</v>
      </c>
      <c r="AZ423" t="s">
        <v>935</v>
      </c>
      <c r="BA423" t="s">
        <v>74</v>
      </c>
      <c r="BB423">
        <v>10</v>
      </c>
      <c r="BC423">
        <v>12</v>
      </c>
      <c r="BD423" t="s">
        <v>74</v>
      </c>
      <c r="BE423" t="s">
        <v>8096</v>
      </c>
      <c r="BF423" t="str">
        <f>HYPERLINK("http://dx.doi.org/10.5670/oceanog.2013.20","http://dx.doi.org/10.5670/oceanog.2013.20")</f>
        <v>http://dx.doi.org/10.5670/oceanog.2013.20</v>
      </c>
      <c r="BG423" t="s">
        <v>74</v>
      </c>
      <c r="BH423" t="s">
        <v>74</v>
      </c>
      <c r="BI423">
        <v>3</v>
      </c>
      <c r="BJ423" t="s">
        <v>327</v>
      </c>
      <c r="BK423" t="s">
        <v>102</v>
      </c>
      <c r="BL423" t="s">
        <v>327</v>
      </c>
      <c r="BM423" t="s">
        <v>5683</v>
      </c>
      <c r="BN423" t="s">
        <v>74</v>
      </c>
      <c r="BO423" t="s">
        <v>2917</v>
      </c>
      <c r="BP423" t="s">
        <v>74</v>
      </c>
      <c r="BQ423" t="s">
        <v>74</v>
      </c>
      <c r="BR423" t="s">
        <v>105</v>
      </c>
      <c r="BS423" t="s">
        <v>8097</v>
      </c>
      <c r="BT423" t="str">
        <f>HYPERLINK("https%3A%2F%2Fwww.webofscience.com%2Fwos%2Fwoscc%2Ffull-record%2FWOS:000326852800004","View Full Record in Web of Science")</f>
        <v>View Full Record in Web of Science</v>
      </c>
    </row>
    <row r="424" spans="1:72" x14ac:dyDescent="0.15">
      <c r="A424" t="s">
        <v>72</v>
      </c>
      <c r="B424" t="s">
        <v>8098</v>
      </c>
      <c r="C424" t="s">
        <v>74</v>
      </c>
      <c r="D424" t="s">
        <v>74</v>
      </c>
      <c r="E424" t="s">
        <v>74</v>
      </c>
      <c r="F424" t="s">
        <v>8099</v>
      </c>
      <c r="G424" t="s">
        <v>74</v>
      </c>
      <c r="H424" t="s">
        <v>74</v>
      </c>
      <c r="I424" t="s">
        <v>8100</v>
      </c>
      <c r="J424" t="s">
        <v>5670</v>
      </c>
      <c r="K424" t="s">
        <v>74</v>
      </c>
      <c r="L424" t="s">
        <v>74</v>
      </c>
      <c r="M424" t="s">
        <v>78</v>
      </c>
      <c r="N424" t="s">
        <v>79</v>
      </c>
      <c r="O424" t="s">
        <v>74</v>
      </c>
      <c r="P424" t="s">
        <v>74</v>
      </c>
      <c r="Q424" t="s">
        <v>74</v>
      </c>
      <c r="R424" t="s">
        <v>74</v>
      </c>
      <c r="S424" t="s">
        <v>74</v>
      </c>
      <c r="T424" t="s">
        <v>74</v>
      </c>
      <c r="U424" t="s">
        <v>8101</v>
      </c>
      <c r="V424" t="s">
        <v>8102</v>
      </c>
      <c r="W424" t="s">
        <v>8103</v>
      </c>
      <c r="X424" t="s">
        <v>8104</v>
      </c>
      <c r="Y424" t="s">
        <v>8105</v>
      </c>
      <c r="Z424" t="s">
        <v>8106</v>
      </c>
      <c r="AA424" t="s">
        <v>8107</v>
      </c>
      <c r="AB424" t="s">
        <v>8108</v>
      </c>
      <c r="AC424" t="s">
        <v>74</v>
      </c>
      <c r="AD424" t="s">
        <v>74</v>
      </c>
      <c r="AE424" t="s">
        <v>74</v>
      </c>
      <c r="AF424" t="s">
        <v>74</v>
      </c>
      <c r="AG424">
        <v>25</v>
      </c>
      <c r="AH424">
        <v>22</v>
      </c>
      <c r="AI424">
        <v>25</v>
      </c>
      <c r="AJ424">
        <v>0</v>
      </c>
      <c r="AK424">
        <v>52</v>
      </c>
      <c r="AL424" t="s">
        <v>5679</v>
      </c>
      <c r="AM424" t="s">
        <v>5680</v>
      </c>
      <c r="AN424" t="s">
        <v>5681</v>
      </c>
      <c r="AO424" t="s">
        <v>5682</v>
      </c>
      <c r="AP424" t="s">
        <v>74</v>
      </c>
      <c r="AQ424" t="s">
        <v>74</v>
      </c>
      <c r="AR424" t="s">
        <v>5670</v>
      </c>
      <c r="AS424" t="s">
        <v>327</v>
      </c>
      <c r="AT424" t="s">
        <v>5642</v>
      </c>
      <c r="AU424">
        <v>2013</v>
      </c>
      <c r="AV424">
        <v>26</v>
      </c>
      <c r="AW424">
        <v>2</v>
      </c>
      <c r="AX424" t="s">
        <v>74</v>
      </c>
      <c r="AY424" t="s">
        <v>74</v>
      </c>
      <c r="AZ424" t="s">
        <v>935</v>
      </c>
      <c r="BA424" t="s">
        <v>74</v>
      </c>
      <c r="BB424">
        <v>171</v>
      </c>
      <c r="BC424">
        <v>181</v>
      </c>
      <c r="BD424" t="s">
        <v>74</v>
      </c>
      <c r="BE424" t="s">
        <v>74</v>
      </c>
      <c r="BF424" t="s">
        <v>74</v>
      </c>
      <c r="BG424" t="s">
        <v>74</v>
      </c>
      <c r="BH424" t="s">
        <v>74</v>
      </c>
      <c r="BI424">
        <v>11</v>
      </c>
      <c r="BJ424" t="s">
        <v>327</v>
      </c>
      <c r="BK424" t="s">
        <v>102</v>
      </c>
      <c r="BL424" t="s">
        <v>327</v>
      </c>
      <c r="BM424" t="s">
        <v>5683</v>
      </c>
      <c r="BN424" t="s">
        <v>74</v>
      </c>
      <c r="BO424" t="s">
        <v>74</v>
      </c>
      <c r="BP424" t="s">
        <v>74</v>
      </c>
      <c r="BQ424" t="s">
        <v>74</v>
      </c>
      <c r="BR424" t="s">
        <v>105</v>
      </c>
      <c r="BS424" t="s">
        <v>8109</v>
      </c>
      <c r="BT424" t="str">
        <f>HYPERLINK("https%3A%2F%2Fwww.webofscience.com%2Fwos%2Fwoscc%2Ffull-record%2FWOS:000326852800021","View Full Record in Web of Science")</f>
        <v>View Full Record in Web of Science</v>
      </c>
    </row>
    <row r="425" spans="1:72" x14ac:dyDescent="0.15">
      <c r="A425" t="s">
        <v>72</v>
      </c>
      <c r="B425" t="s">
        <v>8110</v>
      </c>
      <c r="C425" t="s">
        <v>74</v>
      </c>
      <c r="D425" t="s">
        <v>74</v>
      </c>
      <c r="E425" t="s">
        <v>74</v>
      </c>
      <c r="F425" t="s">
        <v>8111</v>
      </c>
      <c r="G425" t="s">
        <v>74</v>
      </c>
      <c r="H425" t="s">
        <v>74</v>
      </c>
      <c r="I425" t="s">
        <v>8112</v>
      </c>
      <c r="J425" t="s">
        <v>6820</v>
      </c>
      <c r="K425" t="s">
        <v>74</v>
      </c>
      <c r="L425" t="s">
        <v>74</v>
      </c>
      <c r="M425" t="s">
        <v>78</v>
      </c>
      <c r="N425" t="s">
        <v>79</v>
      </c>
      <c r="O425" t="s">
        <v>74</v>
      </c>
      <c r="P425" t="s">
        <v>74</v>
      </c>
      <c r="Q425" t="s">
        <v>74</v>
      </c>
      <c r="R425" t="s">
        <v>74</v>
      </c>
      <c r="S425" t="s">
        <v>74</v>
      </c>
      <c r="T425" t="s">
        <v>8113</v>
      </c>
      <c r="U425" t="s">
        <v>8114</v>
      </c>
      <c r="V425" t="s">
        <v>8115</v>
      </c>
      <c r="W425" t="s">
        <v>8116</v>
      </c>
      <c r="X425" t="s">
        <v>8117</v>
      </c>
      <c r="Y425" t="s">
        <v>8118</v>
      </c>
      <c r="Z425" t="s">
        <v>8119</v>
      </c>
      <c r="AA425" t="s">
        <v>8120</v>
      </c>
      <c r="AB425" t="s">
        <v>8121</v>
      </c>
      <c r="AC425" t="s">
        <v>8122</v>
      </c>
      <c r="AD425" t="s">
        <v>8123</v>
      </c>
      <c r="AE425" t="s">
        <v>8124</v>
      </c>
      <c r="AF425" t="s">
        <v>74</v>
      </c>
      <c r="AG425">
        <v>63</v>
      </c>
      <c r="AH425">
        <v>34</v>
      </c>
      <c r="AI425">
        <v>41</v>
      </c>
      <c r="AJ425">
        <v>1</v>
      </c>
      <c r="AK425">
        <v>68</v>
      </c>
      <c r="AL425" t="s">
        <v>529</v>
      </c>
      <c r="AM425" t="s">
        <v>391</v>
      </c>
      <c r="AN425" t="s">
        <v>1220</v>
      </c>
      <c r="AO425" t="s">
        <v>6833</v>
      </c>
      <c r="AP425" t="s">
        <v>8125</v>
      </c>
      <c r="AQ425" t="s">
        <v>74</v>
      </c>
      <c r="AR425" t="s">
        <v>6820</v>
      </c>
      <c r="AS425" t="s">
        <v>6834</v>
      </c>
      <c r="AT425" t="s">
        <v>5642</v>
      </c>
      <c r="AU425">
        <v>2013</v>
      </c>
      <c r="AV425">
        <v>172</v>
      </c>
      <c r="AW425">
        <v>2</v>
      </c>
      <c r="AX425" t="s">
        <v>74</v>
      </c>
      <c r="AY425" t="s">
        <v>74</v>
      </c>
      <c r="AZ425" t="s">
        <v>74</v>
      </c>
      <c r="BA425" t="s">
        <v>74</v>
      </c>
      <c r="BB425">
        <v>495</v>
      </c>
      <c r="BC425">
        <v>503</v>
      </c>
      <c r="BD425" t="s">
        <v>74</v>
      </c>
      <c r="BE425" t="s">
        <v>8126</v>
      </c>
      <c r="BF425" t="str">
        <f>HYPERLINK("http://dx.doi.org/10.1007/s00442-012-2503-9","http://dx.doi.org/10.1007/s00442-012-2503-9")</f>
        <v>http://dx.doi.org/10.1007/s00442-012-2503-9</v>
      </c>
      <c r="BG425" t="s">
        <v>74</v>
      </c>
      <c r="BH425" t="s">
        <v>74</v>
      </c>
      <c r="BI425">
        <v>9</v>
      </c>
      <c r="BJ425" t="s">
        <v>5449</v>
      </c>
      <c r="BK425" t="s">
        <v>102</v>
      </c>
      <c r="BL425" t="s">
        <v>262</v>
      </c>
      <c r="BM425" t="s">
        <v>6836</v>
      </c>
      <c r="BN425">
        <v>23086506</v>
      </c>
      <c r="BO425" t="s">
        <v>74</v>
      </c>
      <c r="BP425" t="s">
        <v>74</v>
      </c>
      <c r="BQ425" t="s">
        <v>74</v>
      </c>
      <c r="BR425" t="s">
        <v>105</v>
      </c>
      <c r="BS425" t="s">
        <v>8127</v>
      </c>
      <c r="BT425" t="str">
        <f>HYPERLINK("https%3A%2F%2Fwww.webofscience.com%2Fwos%2Fwoscc%2Ffull-record%2FWOS:000319077100019","View Full Record in Web of Science")</f>
        <v>View Full Record in Web of Science</v>
      </c>
    </row>
    <row r="426" spans="1:72" x14ac:dyDescent="0.15">
      <c r="A426" t="s">
        <v>72</v>
      </c>
      <c r="B426" t="s">
        <v>8128</v>
      </c>
      <c r="C426" t="s">
        <v>74</v>
      </c>
      <c r="D426" t="s">
        <v>74</v>
      </c>
      <c r="E426" t="s">
        <v>74</v>
      </c>
      <c r="F426" t="s">
        <v>8129</v>
      </c>
      <c r="G426" t="s">
        <v>74</v>
      </c>
      <c r="H426" t="s">
        <v>74</v>
      </c>
      <c r="I426" t="s">
        <v>8130</v>
      </c>
      <c r="J426" t="s">
        <v>5860</v>
      </c>
      <c r="K426" t="s">
        <v>74</v>
      </c>
      <c r="L426" t="s">
        <v>74</v>
      </c>
      <c r="M426" t="s">
        <v>78</v>
      </c>
      <c r="N426" t="s">
        <v>79</v>
      </c>
      <c r="O426" t="s">
        <v>74</v>
      </c>
      <c r="P426" t="s">
        <v>74</v>
      </c>
      <c r="Q426" t="s">
        <v>74</v>
      </c>
      <c r="R426" t="s">
        <v>74</v>
      </c>
      <c r="S426" t="s">
        <v>74</v>
      </c>
      <c r="T426" t="s">
        <v>8131</v>
      </c>
      <c r="U426" t="s">
        <v>8132</v>
      </c>
      <c r="V426" t="s">
        <v>8133</v>
      </c>
      <c r="W426" t="s">
        <v>8134</v>
      </c>
      <c r="X426" t="s">
        <v>8135</v>
      </c>
      <c r="Y426" t="s">
        <v>8136</v>
      </c>
      <c r="Z426" t="s">
        <v>8137</v>
      </c>
      <c r="AA426" t="s">
        <v>8138</v>
      </c>
      <c r="AB426" t="s">
        <v>8139</v>
      </c>
      <c r="AC426" t="s">
        <v>8140</v>
      </c>
      <c r="AD426" t="s">
        <v>8141</v>
      </c>
      <c r="AE426" t="s">
        <v>8142</v>
      </c>
      <c r="AF426" t="s">
        <v>74</v>
      </c>
      <c r="AG426">
        <v>91</v>
      </c>
      <c r="AH426">
        <v>43</v>
      </c>
      <c r="AI426">
        <v>47</v>
      </c>
      <c r="AJ426">
        <v>0</v>
      </c>
      <c r="AK426">
        <v>73</v>
      </c>
      <c r="AL426" t="s">
        <v>92</v>
      </c>
      <c r="AM426" t="s">
        <v>93</v>
      </c>
      <c r="AN426" t="s">
        <v>94</v>
      </c>
      <c r="AO426" t="s">
        <v>5870</v>
      </c>
      <c r="AP426" t="s">
        <v>5871</v>
      </c>
      <c r="AQ426" t="s">
        <v>74</v>
      </c>
      <c r="AR426" t="s">
        <v>5860</v>
      </c>
      <c r="AS426" t="s">
        <v>5872</v>
      </c>
      <c r="AT426" t="s">
        <v>5642</v>
      </c>
      <c r="AU426">
        <v>2013</v>
      </c>
      <c r="AV426">
        <v>28</v>
      </c>
      <c r="AW426">
        <v>2</v>
      </c>
      <c r="AX426" t="s">
        <v>74</v>
      </c>
      <c r="AY426" t="s">
        <v>74</v>
      </c>
      <c r="AZ426" t="s">
        <v>74</v>
      </c>
      <c r="BA426" t="s">
        <v>74</v>
      </c>
      <c r="BB426">
        <v>253</v>
      </c>
      <c r="BC426">
        <v>262</v>
      </c>
      <c r="BD426" t="s">
        <v>74</v>
      </c>
      <c r="BE426" t="s">
        <v>8143</v>
      </c>
      <c r="BF426" t="str">
        <f>HYPERLINK("http://dx.doi.org/10.1002/palo.20025","http://dx.doi.org/10.1002/palo.20025")</f>
        <v>http://dx.doi.org/10.1002/palo.20025</v>
      </c>
      <c r="BG426" t="s">
        <v>74</v>
      </c>
      <c r="BH426" t="s">
        <v>74</v>
      </c>
      <c r="BI426">
        <v>10</v>
      </c>
      <c r="BJ426" t="s">
        <v>5874</v>
      </c>
      <c r="BK426" t="s">
        <v>102</v>
      </c>
      <c r="BL426" t="s">
        <v>5875</v>
      </c>
      <c r="BM426" t="s">
        <v>5876</v>
      </c>
      <c r="BN426" t="s">
        <v>74</v>
      </c>
      <c r="BO426" t="s">
        <v>1589</v>
      </c>
      <c r="BP426" t="s">
        <v>74</v>
      </c>
      <c r="BQ426" t="s">
        <v>74</v>
      </c>
      <c r="BR426" t="s">
        <v>105</v>
      </c>
      <c r="BS426" t="s">
        <v>8144</v>
      </c>
      <c r="BT426" t="str">
        <f>HYPERLINK("https%3A%2F%2Fwww.webofscience.com%2Fwos%2Fwoscc%2Ffull-record%2FWOS:000322013900004","View Full Record in Web of Science")</f>
        <v>View Full Record in Web of Science</v>
      </c>
    </row>
    <row r="427" spans="1:72" x14ac:dyDescent="0.15">
      <c r="A427" t="s">
        <v>72</v>
      </c>
      <c r="B427" t="s">
        <v>8145</v>
      </c>
      <c r="C427" t="s">
        <v>74</v>
      </c>
      <c r="D427" t="s">
        <v>74</v>
      </c>
      <c r="E427" t="s">
        <v>74</v>
      </c>
      <c r="F427" t="s">
        <v>8146</v>
      </c>
      <c r="G427" t="s">
        <v>74</v>
      </c>
      <c r="H427" t="s">
        <v>74</v>
      </c>
      <c r="I427" t="s">
        <v>8147</v>
      </c>
      <c r="J427" t="s">
        <v>5860</v>
      </c>
      <c r="K427" t="s">
        <v>74</v>
      </c>
      <c r="L427" t="s">
        <v>74</v>
      </c>
      <c r="M427" t="s">
        <v>78</v>
      </c>
      <c r="N427" t="s">
        <v>1459</v>
      </c>
      <c r="O427" t="s">
        <v>74</v>
      </c>
      <c r="P427" t="s">
        <v>74</v>
      </c>
      <c r="Q427" t="s">
        <v>74</v>
      </c>
      <c r="R427" t="s">
        <v>74</v>
      </c>
      <c r="S427" t="s">
        <v>74</v>
      </c>
      <c r="T427" t="s">
        <v>8148</v>
      </c>
      <c r="U427" t="s">
        <v>8149</v>
      </c>
      <c r="V427" t="s">
        <v>8150</v>
      </c>
      <c r="W427" t="s">
        <v>8151</v>
      </c>
      <c r="X427" t="s">
        <v>8152</v>
      </c>
      <c r="Y427" t="s">
        <v>8153</v>
      </c>
      <c r="Z427" t="s">
        <v>8154</v>
      </c>
      <c r="AA427" t="s">
        <v>8155</v>
      </c>
      <c r="AB427" t="s">
        <v>8156</v>
      </c>
      <c r="AC427" t="s">
        <v>8157</v>
      </c>
      <c r="AD427" t="s">
        <v>8158</v>
      </c>
      <c r="AE427" t="s">
        <v>8159</v>
      </c>
      <c r="AF427" t="s">
        <v>74</v>
      </c>
      <c r="AG427">
        <v>126</v>
      </c>
      <c r="AH427">
        <v>19</v>
      </c>
      <c r="AI427">
        <v>21</v>
      </c>
      <c r="AJ427">
        <v>3</v>
      </c>
      <c r="AK427">
        <v>46</v>
      </c>
      <c r="AL427" t="s">
        <v>92</v>
      </c>
      <c r="AM427" t="s">
        <v>93</v>
      </c>
      <c r="AN427" t="s">
        <v>94</v>
      </c>
      <c r="AO427" t="s">
        <v>5870</v>
      </c>
      <c r="AP427" t="s">
        <v>5871</v>
      </c>
      <c r="AQ427" t="s">
        <v>74</v>
      </c>
      <c r="AR427" t="s">
        <v>5860</v>
      </c>
      <c r="AS427" t="s">
        <v>5872</v>
      </c>
      <c r="AT427" t="s">
        <v>5642</v>
      </c>
      <c r="AU427">
        <v>2013</v>
      </c>
      <c r="AV427">
        <v>28</v>
      </c>
      <c r="AW427">
        <v>2</v>
      </c>
      <c r="AX427" t="s">
        <v>74</v>
      </c>
      <c r="AY427" t="s">
        <v>74</v>
      </c>
      <c r="AZ427" t="s">
        <v>74</v>
      </c>
      <c r="BA427" t="s">
        <v>74</v>
      </c>
      <c r="BB427">
        <v>307</v>
      </c>
      <c r="BC427">
        <v>318</v>
      </c>
      <c r="BD427" t="s">
        <v>74</v>
      </c>
      <c r="BE427" t="s">
        <v>8160</v>
      </c>
      <c r="BF427" t="str">
        <f>HYPERLINK("http://dx.doi.org/10.1002/palo.20030","http://dx.doi.org/10.1002/palo.20030")</f>
        <v>http://dx.doi.org/10.1002/palo.20030</v>
      </c>
      <c r="BG427" t="s">
        <v>74</v>
      </c>
      <c r="BH427" t="s">
        <v>74</v>
      </c>
      <c r="BI427">
        <v>12</v>
      </c>
      <c r="BJ427" t="s">
        <v>5874</v>
      </c>
      <c r="BK427" t="s">
        <v>102</v>
      </c>
      <c r="BL427" t="s">
        <v>5875</v>
      </c>
      <c r="BM427" t="s">
        <v>5876</v>
      </c>
      <c r="BN427" t="s">
        <v>74</v>
      </c>
      <c r="BO427" t="s">
        <v>4895</v>
      </c>
      <c r="BP427" t="s">
        <v>74</v>
      </c>
      <c r="BQ427" t="s">
        <v>74</v>
      </c>
      <c r="BR427" t="s">
        <v>105</v>
      </c>
      <c r="BS427" t="s">
        <v>8161</v>
      </c>
      <c r="BT427" t="str">
        <f>HYPERLINK("https%3A%2F%2Fwww.webofscience.com%2Fwos%2Fwoscc%2Ffull-record%2FWOS:000322013900009","View Full Record in Web of Science")</f>
        <v>View Full Record in Web of Science</v>
      </c>
    </row>
    <row r="428" spans="1:72" x14ac:dyDescent="0.15">
      <c r="A428" t="s">
        <v>72</v>
      </c>
      <c r="B428" t="s">
        <v>8162</v>
      </c>
      <c r="C428" t="s">
        <v>74</v>
      </c>
      <c r="D428" t="s">
        <v>74</v>
      </c>
      <c r="E428" t="s">
        <v>74</v>
      </c>
      <c r="F428" t="s">
        <v>8163</v>
      </c>
      <c r="G428" t="s">
        <v>74</v>
      </c>
      <c r="H428" t="s">
        <v>74</v>
      </c>
      <c r="I428" t="s">
        <v>8164</v>
      </c>
      <c r="J428" t="s">
        <v>8165</v>
      </c>
      <c r="K428" t="s">
        <v>74</v>
      </c>
      <c r="L428" t="s">
        <v>74</v>
      </c>
      <c r="M428" t="s">
        <v>78</v>
      </c>
      <c r="N428" t="s">
        <v>79</v>
      </c>
      <c r="O428" t="s">
        <v>74</v>
      </c>
      <c r="P428" t="s">
        <v>74</v>
      </c>
      <c r="Q428" t="s">
        <v>74</v>
      </c>
      <c r="R428" t="s">
        <v>74</v>
      </c>
      <c r="S428" t="s">
        <v>74</v>
      </c>
      <c r="T428" t="s">
        <v>8166</v>
      </c>
      <c r="U428" t="s">
        <v>8167</v>
      </c>
      <c r="V428" t="s">
        <v>8168</v>
      </c>
      <c r="W428" t="s">
        <v>8169</v>
      </c>
      <c r="X428" t="s">
        <v>8170</v>
      </c>
      <c r="Y428" t="s">
        <v>8171</v>
      </c>
      <c r="Z428" t="s">
        <v>8172</v>
      </c>
      <c r="AA428" t="s">
        <v>8173</v>
      </c>
      <c r="AB428" t="s">
        <v>8174</v>
      </c>
      <c r="AC428" t="s">
        <v>8175</v>
      </c>
      <c r="AD428" t="s">
        <v>8176</v>
      </c>
      <c r="AE428" t="s">
        <v>8177</v>
      </c>
      <c r="AF428" t="s">
        <v>74</v>
      </c>
      <c r="AG428">
        <v>73</v>
      </c>
      <c r="AH428">
        <v>11</v>
      </c>
      <c r="AI428">
        <v>13</v>
      </c>
      <c r="AJ428">
        <v>0</v>
      </c>
      <c r="AK428">
        <v>7</v>
      </c>
      <c r="AL428" t="s">
        <v>7508</v>
      </c>
      <c r="AM428" t="s">
        <v>7509</v>
      </c>
      <c r="AN428" t="s">
        <v>8178</v>
      </c>
      <c r="AO428" t="s">
        <v>8179</v>
      </c>
      <c r="AP428" t="s">
        <v>74</v>
      </c>
      <c r="AQ428" t="s">
        <v>74</v>
      </c>
      <c r="AR428" t="s">
        <v>8165</v>
      </c>
      <c r="AS428" t="s">
        <v>8180</v>
      </c>
      <c r="AT428" t="s">
        <v>5999</v>
      </c>
      <c r="AU428">
        <v>2013</v>
      </c>
      <c r="AV428">
        <v>37</v>
      </c>
      <c r="AW428">
        <v>1</v>
      </c>
      <c r="AX428" t="s">
        <v>74</v>
      </c>
      <c r="AY428" t="s">
        <v>74</v>
      </c>
      <c r="AZ428" t="s">
        <v>74</v>
      </c>
      <c r="BA428" t="s">
        <v>74</v>
      </c>
      <c r="BB428">
        <v>151</v>
      </c>
      <c r="BC428">
        <v>169</v>
      </c>
      <c r="BD428" t="s">
        <v>74</v>
      </c>
      <c r="BE428" t="s">
        <v>8181</v>
      </c>
      <c r="BF428" t="str">
        <f>HYPERLINK("http://dx.doi.org/10.1080/01916122.2012.750898","http://dx.doi.org/10.1080/01916122.2012.750898")</f>
        <v>http://dx.doi.org/10.1080/01916122.2012.750898</v>
      </c>
      <c r="BG428" t="s">
        <v>74</v>
      </c>
      <c r="BH428" t="s">
        <v>74</v>
      </c>
      <c r="BI428">
        <v>19</v>
      </c>
      <c r="BJ428" t="s">
        <v>8182</v>
      </c>
      <c r="BK428" t="s">
        <v>102</v>
      </c>
      <c r="BL428" t="s">
        <v>8182</v>
      </c>
      <c r="BM428" t="s">
        <v>8183</v>
      </c>
      <c r="BN428" t="s">
        <v>74</v>
      </c>
      <c r="BO428" t="s">
        <v>1063</v>
      </c>
      <c r="BP428" t="s">
        <v>74</v>
      </c>
      <c r="BQ428" t="s">
        <v>74</v>
      </c>
      <c r="BR428" t="s">
        <v>105</v>
      </c>
      <c r="BS428" t="s">
        <v>8184</v>
      </c>
      <c r="BT428" t="str">
        <f>HYPERLINK("https%3A%2F%2Fwww.webofscience.com%2Fwos%2Fwoscc%2Ffull-record%2FWOS:000320180000010","View Full Record in Web of Science")</f>
        <v>View Full Record in Web of Science</v>
      </c>
    </row>
    <row r="429" spans="1:72" x14ac:dyDescent="0.15">
      <c r="A429" t="s">
        <v>72</v>
      </c>
      <c r="B429" t="s">
        <v>8185</v>
      </c>
      <c r="C429" t="s">
        <v>74</v>
      </c>
      <c r="D429" t="s">
        <v>74</v>
      </c>
      <c r="E429" t="s">
        <v>74</v>
      </c>
      <c r="F429" t="s">
        <v>8186</v>
      </c>
      <c r="G429" t="s">
        <v>74</v>
      </c>
      <c r="H429" t="s">
        <v>74</v>
      </c>
      <c r="I429" t="s">
        <v>8187</v>
      </c>
      <c r="J429" t="s">
        <v>8188</v>
      </c>
      <c r="K429" t="s">
        <v>74</v>
      </c>
      <c r="L429" t="s">
        <v>74</v>
      </c>
      <c r="M429" t="s">
        <v>78</v>
      </c>
      <c r="N429" t="s">
        <v>1459</v>
      </c>
      <c r="O429" t="s">
        <v>74</v>
      </c>
      <c r="P429" t="s">
        <v>74</v>
      </c>
      <c r="Q429" t="s">
        <v>74</v>
      </c>
      <c r="R429" t="s">
        <v>74</v>
      </c>
      <c r="S429" t="s">
        <v>74</v>
      </c>
      <c r="T429" t="s">
        <v>8189</v>
      </c>
      <c r="U429" t="s">
        <v>8190</v>
      </c>
      <c r="V429" t="s">
        <v>8191</v>
      </c>
      <c r="W429" t="s">
        <v>8192</v>
      </c>
      <c r="X429" t="s">
        <v>8193</v>
      </c>
      <c r="Y429" t="s">
        <v>8194</v>
      </c>
      <c r="Z429" t="s">
        <v>8195</v>
      </c>
      <c r="AA429" t="s">
        <v>8196</v>
      </c>
      <c r="AB429" t="s">
        <v>8197</v>
      </c>
      <c r="AC429" t="s">
        <v>8198</v>
      </c>
      <c r="AD429" t="s">
        <v>8199</v>
      </c>
      <c r="AE429" t="s">
        <v>8200</v>
      </c>
      <c r="AF429" t="s">
        <v>74</v>
      </c>
      <c r="AG429">
        <v>107</v>
      </c>
      <c r="AH429">
        <v>249</v>
      </c>
      <c r="AI429">
        <v>285</v>
      </c>
      <c r="AJ429">
        <v>12</v>
      </c>
      <c r="AK429">
        <v>289</v>
      </c>
      <c r="AL429" t="s">
        <v>368</v>
      </c>
      <c r="AM429" t="s">
        <v>369</v>
      </c>
      <c r="AN429" t="s">
        <v>370</v>
      </c>
      <c r="AO429" t="s">
        <v>8201</v>
      </c>
      <c r="AP429" t="s">
        <v>8202</v>
      </c>
      <c r="AQ429" t="s">
        <v>74</v>
      </c>
      <c r="AR429" t="s">
        <v>8203</v>
      </c>
      <c r="AS429" t="s">
        <v>8204</v>
      </c>
      <c r="AT429" t="s">
        <v>5642</v>
      </c>
      <c r="AU429">
        <v>2013</v>
      </c>
      <c r="AV429">
        <v>38</v>
      </c>
      <c r="AW429">
        <v>2</v>
      </c>
      <c r="AX429" t="s">
        <v>74</v>
      </c>
      <c r="AY429" t="s">
        <v>74</v>
      </c>
      <c r="AZ429" t="s">
        <v>74</v>
      </c>
      <c r="BA429" t="s">
        <v>74</v>
      </c>
      <c r="BB429">
        <v>105</v>
      </c>
      <c r="BC429">
        <v>116</v>
      </c>
      <c r="BD429" t="s">
        <v>74</v>
      </c>
      <c r="BE429" t="s">
        <v>8205</v>
      </c>
      <c r="BF429" t="str">
        <f>HYPERLINK("http://dx.doi.org/10.1111/phen.12019","http://dx.doi.org/10.1111/phen.12019")</f>
        <v>http://dx.doi.org/10.1111/phen.12019</v>
      </c>
      <c r="BG429" t="s">
        <v>74</v>
      </c>
      <c r="BH429" t="s">
        <v>74</v>
      </c>
      <c r="BI429">
        <v>12</v>
      </c>
      <c r="BJ429" t="s">
        <v>8206</v>
      </c>
      <c r="BK429" t="s">
        <v>102</v>
      </c>
      <c r="BL429" t="s">
        <v>8206</v>
      </c>
      <c r="BM429" t="s">
        <v>8207</v>
      </c>
      <c r="BN429" t="s">
        <v>74</v>
      </c>
      <c r="BO429" t="s">
        <v>74</v>
      </c>
      <c r="BP429" t="s">
        <v>2451</v>
      </c>
      <c r="BQ429" t="s">
        <v>2452</v>
      </c>
      <c r="BR429" t="s">
        <v>105</v>
      </c>
      <c r="BS429" t="s">
        <v>8208</v>
      </c>
      <c r="BT429" t="str">
        <f>HYPERLINK("https%3A%2F%2Fwww.webofscience.com%2Fwos%2Fwoscc%2Ffull-record%2FWOS:000319320600003","View Full Record in Web of Science")</f>
        <v>View Full Record in Web of Science</v>
      </c>
    </row>
    <row r="430" spans="1:72" x14ac:dyDescent="0.15">
      <c r="A430" t="s">
        <v>72</v>
      </c>
      <c r="B430" t="s">
        <v>8209</v>
      </c>
      <c r="C430" t="s">
        <v>74</v>
      </c>
      <c r="D430" t="s">
        <v>74</v>
      </c>
      <c r="E430" t="s">
        <v>74</v>
      </c>
      <c r="F430" t="s">
        <v>8210</v>
      </c>
      <c r="G430" t="s">
        <v>74</v>
      </c>
      <c r="H430" t="s">
        <v>74</v>
      </c>
      <c r="I430" t="s">
        <v>8211</v>
      </c>
      <c r="J430" t="s">
        <v>8212</v>
      </c>
      <c r="K430" t="s">
        <v>74</v>
      </c>
      <c r="L430" t="s">
        <v>74</v>
      </c>
      <c r="M430" t="s">
        <v>78</v>
      </c>
      <c r="N430" t="s">
        <v>79</v>
      </c>
      <c r="O430" t="s">
        <v>74</v>
      </c>
      <c r="P430" t="s">
        <v>74</v>
      </c>
      <c r="Q430" t="s">
        <v>74</v>
      </c>
      <c r="R430" t="s">
        <v>74</v>
      </c>
      <c r="S430" t="s">
        <v>74</v>
      </c>
      <c r="T430" t="s">
        <v>74</v>
      </c>
      <c r="U430" t="s">
        <v>8213</v>
      </c>
      <c r="V430" t="s">
        <v>8214</v>
      </c>
      <c r="W430" t="s">
        <v>8215</v>
      </c>
      <c r="X430" t="s">
        <v>8216</v>
      </c>
      <c r="Y430" t="s">
        <v>8217</v>
      </c>
      <c r="Z430" t="s">
        <v>8218</v>
      </c>
      <c r="AA430" t="s">
        <v>8219</v>
      </c>
      <c r="AB430" t="s">
        <v>8220</v>
      </c>
      <c r="AC430" t="s">
        <v>8221</v>
      </c>
      <c r="AD430" t="s">
        <v>8222</v>
      </c>
      <c r="AE430" t="s">
        <v>8223</v>
      </c>
      <c r="AF430" t="s">
        <v>74</v>
      </c>
      <c r="AG430">
        <v>52</v>
      </c>
      <c r="AH430">
        <v>46</v>
      </c>
      <c r="AI430">
        <v>51</v>
      </c>
      <c r="AJ430">
        <v>2</v>
      </c>
      <c r="AK430">
        <v>37</v>
      </c>
      <c r="AL430" t="s">
        <v>8224</v>
      </c>
      <c r="AM430" t="s">
        <v>5680</v>
      </c>
      <c r="AN430" t="s">
        <v>8225</v>
      </c>
      <c r="AO430" t="s">
        <v>8226</v>
      </c>
      <c r="AP430" t="s">
        <v>8227</v>
      </c>
      <c r="AQ430" t="s">
        <v>74</v>
      </c>
      <c r="AR430" t="s">
        <v>8228</v>
      </c>
      <c r="AS430" t="s">
        <v>8229</v>
      </c>
      <c r="AT430" t="s">
        <v>5642</v>
      </c>
      <c r="AU430">
        <v>2013</v>
      </c>
      <c r="AV430">
        <v>162</v>
      </c>
      <c r="AW430">
        <v>2</v>
      </c>
      <c r="AX430" t="s">
        <v>74</v>
      </c>
      <c r="AY430" t="s">
        <v>74</v>
      </c>
      <c r="AZ430" t="s">
        <v>74</v>
      </c>
      <c r="BA430" t="s">
        <v>74</v>
      </c>
      <c r="BB430">
        <v>907</v>
      </c>
      <c r="BC430">
        <v>917</v>
      </c>
      <c r="BD430" t="s">
        <v>74</v>
      </c>
      <c r="BE430" t="s">
        <v>8230</v>
      </c>
      <c r="BF430" t="str">
        <f>HYPERLINK("http://dx.doi.org/10.1104/pp.113.217570","http://dx.doi.org/10.1104/pp.113.217570")</f>
        <v>http://dx.doi.org/10.1104/pp.113.217570</v>
      </c>
      <c r="BG430" t="s">
        <v>74</v>
      </c>
      <c r="BH430" t="s">
        <v>74</v>
      </c>
      <c r="BI430">
        <v>11</v>
      </c>
      <c r="BJ430" t="s">
        <v>3795</v>
      </c>
      <c r="BK430" t="s">
        <v>102</v>
      </c>
      <c r="BL430" t="s">
        <v>3795</v>
      </c>
      <c r="BM430" t="s">
        <v>8231</v>
      </c>
      <c r="BN430">
        <v>23640757</v>
      </c>
      <c r="BO430" t="s">
        <v>6780</v>
      </c>
      <c r="BP430" t="s">
        <v>74</v>
      </c>
      <c r="BQ430" t="s">
        <v>74</v>
      </c>
      <c r="BR430" t="s">
        <v>105</v>
      </c>
      <c r="BS430" t="s">
        <v>8232</v>
      </c>
      <c r="BT430" t="str">
        <f>HYPERLINK("https%3A%2F%2Fwww.webofscience.com%2Fwos%2Fwoscc%2Ffull-record%2FWOS:000319819900029","View Full Record in Web of Science")</f>
        <v>View Full Record in Web of Science</v>
      </c>
    </row>
    <row r="431" spans="1:72" x14ac:dyDescent="0.15">
      <c r="A431" t="s">
        <v>72</v>
      </c>
      <c r="B431" t="s">
        <v>8233</v>
      </c>
      <c r="C431" t="s">
        <v>74</v>
      </c>
      <c r="D431" t="s">
        <v>74</v>
      </c>
      <c r="E431" t="s">
        <v>74</v>
      </c>
      <c r="F431" t="s">
        <v>8234</v>
      </c>
      <c r="G431" t="s">
        <v>74</v>
      </c>
      <c r="H431" t="s">
        <v>74</v>
      </c>
      <c r="I431" t="s">
        <v>8235</v>
      </c>
      <c r="J431" t="s">
        <v>3345</v>
      </c>
      <c r="K431" t="s">
        <v>74</v>
      </c>
      <c r="L431" t="s">
        <v>74</v>
      </c>
      <c r="M431" t="s">
        <v>78</v>
      </c>
      <c r="N431" t="s">
        <v>79</v>
      </c>
      <c r="O431" t="s">
        <v>74</v>
      </c>
      <c r="P431" t="s">
        <v>74</v>
      </c>
      <c r="Q431" t="s">
        <v>74</v>
      </c>
      <c r="R431" t="s">
        <v>74</v>
      </c>
      <c r="S431" t="s">
        <v>74</v>
      </c>
      <c r="T431" t="s">
        <v>8236</v>
      </c>
      <c r="U431" t="s">
        <v>8237</v>
      </c>
      <c r="V431" t="s">
        <v>8238</v>
      </c>
      <c r="W431" t="s">
        <v>8239</v>
      </c>
      <c r="X431" t="s">
        <v>8240</v>
      </c>
      <c r="Y431" t="s">
        <v>8241</v>
      </c>
      <c r="Z431" t="s">
        <v>7530</v>
      </c>
      <c r="AA431" t="s">
        <v>8242</v>
      </c>
      <c r="AB431" t="s">
        <v>8243</v>
      </c>
      <c r="AC431" t="s">
        <v>8244</v>
      </c>
      <c r="AD431" t="s">
        <v>8245</v>
      </c>
      <c r="AE431" t="s">
        <v>8246</v>
      </c>
      <c r="AF431" t="s">
        <v>74</v>
      </c>
      <c r="AG431">
        <v>39</v>
      </c>
      <c r="AH431">
        <v>23</v>
      </c>
      <c r="AI431">
        <v>25</v>
      </c>
      <c r="AJ431">
        <v>0</v>
      </c>
      <c r="AK431">
        <v>39</v>
      </c>
      <c r="AL431" t="s">
        <v>529</v>
      </c>
      <c r="AM431" t="s">
        <v>391</v>
      </c>
      <c r="AN431" t="s">
        <v>1220</v>
      </c>
      <c r="AO431" t="s">
        <v>3358</v>
      </c>
      <c r="AP431" t="s">
        <v>3359</v>
      </c>
      <c r="AQ431" t="s">
        <v>74</v>
      </c>
      <c r="AR431" t="s">
        <v>3360</v>
      </c>
      <c r="AS431" t="s">
        <v>3361</v>
      </c>
      <c r="AT431" t="s">
        <v>5642</v>
      </c>
      <c r="AU431">
        <v>2013</v>
      </c>
      <c r="AV431">
        <v>36</v>
      </c>
      <c r="AW431">
        <v>6</v>
      </c>
      <c r="AX431" t="s">
        <v>74</v>
      </c>
      <c r="AY431" t="s">
        <v>74</v>
      </c>
      <c r="AZ431" t="s">
        <v>74</v>
      </c>
      <c r="BA431" t="s">
        <v>74</v>
      </c>
      <c r="BB431">
        <v>837</v>
      </c>
      <c r="BC431">
        <v>842</v>
      </c>
      <c r="BD431" t="s">
        <v>74</v>
      </c>
      <c r="BE431" t="s">
        <v>8247</v>
      </c>
      <c r="BF431" t="str">
        <f>HYPERLINK("http://dx.doi.org/10.1007/s00300-013-1309-5","http://dx.doi.org/10.1007/s00300-013-1309-5")</f>
        <v>http://dx.doi.org/10.1007/s00300-013-1309-5</v>
      </c>
      <c r="BG431" t="s">
        <v>74</v>
      </c>
      <c r="BH431" t="s">
        <v>74</v>
      </c>
      <c r="BI431">
        <v>6</v>
      </c>
      <c r="BJ431" t="s">
        <v>1158</v>
      </c>
      <c r="BK431" t="s">
        <v>102</v>
      </c>
      <c r="BL431" t="s">
        <v>1159</v>
      </c>
      <c r="BM431" t="s">
        <v>7111</v>
      </c>
      <c r="BN431" t="s">
        <v>74</v>
      </c>
      <c r="BO431" t="s">
        <v>1063</v>
      </c>
      <c r="BP431" t="s">
        <v>74</v>
      </c>
      <c r="BQ431" t="s">
        <v>74</v>
      </c>
      <c r="BR431" t="s">
        <v>105</v>
      </c>
      <c r="BS431" t="s">
        <v>8248</v>
      </c>
      <c r="BT431" t="str">
        <f>HYPERLINK("https%3A%2F%2Fwww.webofscience.com%2Fwos%2Fwoscc%2Ffull-record%2FWOS:000318722600008","View Full Record in Web of Science")</f>
        <v>View Full Record in Web of Science</v>
      </c>
    </row>
    <row r="432" spans="1:72" x14ac:dyDescent="0.15">
      <c r="A432" t="s">
        <v>72</v>
      </c>
      <c r="B432" t="s">
        <v>8249</v>
      </c>
      <c r="C432" t="s">
        <v>74</v>
      </c>
      <c r="D432" t="s">
        <v>74</v>
      </c>
      <c r="E432" t="s">
        <v>74</v>
      </c>
      <c r="F432" t="s">
        <v>8250</v>
      </c>
      <c r="G432" t="s">
        <v>74</v>
      </c>
      <c r="H432" t="s">
        <v>74</v>
      </c>
      <c r="I432" t="s">
        <v>8251</v>
      </c>
      <c r="J432" t="s">
        <v>3345</v>
      </c>
      <c r="K432" t="s">
        <v>74</v>
      </c>
      <c r="L432" t="s">
        <v>74</v>
      </c>
      <c r="M432" t="s">
        <v>78</v>
      </c>
      <c r="N432" t="s">
        <v>79</v>
      </c>
      <c r="O432" t="s">
        <v>74</v>
      </c>
      <c r="P432" t="s">
        <v>74</v>
      </c>
      <c r="Q432" t="s">
        <v>74</v>
      </c>
      <c r="R432" t="s">
        <v>74</v>
      </c>
      <c r="S432" t="s">
        <v>74</v>
      </c>
      <c r="T432" t="s">
        <v>8252</v>
      </c>
      <c r="U432" t="s">
        <v>8253</v>
      </c>
      <c r="V432" t="s">
        <v>8254</v>
      </c>
      <c r="W432" t="s">
        <v>8255</v>
      </c>
      <c r="X432" t="s">
        <v>8256</v>
      </c>
      <c r="Y432" t="s">
        <v>8257</v>
      </c>
      <c r="Z432" t="s">
        <v>841</v>
      </c>
      <c r="AA432" t="s">
        <v>8258</v>
      </c>
      <c r="AB432" t="s">
        <v>8259</v>
      </c>
      <c r="AC432" t="s">
        <v>74</v>
      </c>
      <c r="AD432" t="s">
        <v>74</v>
      </c>
      <c r="AE432" t="s">
        <v>74</v>
      </c>
      <c r="AF432" t="s">
        <v>74</v>
      </c>
      <c r="AG432">
        <v>36</v>
      </c>
      <c r="AH432">
        <v>29</v>
      </c>
      <c r="AI432">
        <v>29</v>
      </c>
      <c r="AJ432">
        <v>0</v>
      </c>
      <c r="AK432">
        <v>40</v>
      </c>
      <c r="AL432" t="s">
        <v>529</v>
      </c>
      <c r="AM432" t="s">
        <v>391</v>
      </c>
      <c r="AN432" t="s">
        <v>530</v>
      </c>
      <c r="AO432" t="s">
        <v>3358</v>
      </c>
      <c r="AP432" t="s">
        <v>3359</v>
      </c>
      <c r="AQ432" t="s">
        <v>74</v>
      </c>
      <c r="AR432" t="s">
        <v>3360</v>
      </c>
      <c r="AS432" t="s">
        <v>3361</v>
      </c>
      <c r="AT432" t="s">
        <v>5642</v>
      </c>
      <c r="AU432">
        <v>2013</v>
      </c>
      <c r="AV432">
        <v>36</v>
      </c>
      <c r="AW432">
        <v>6</v>
      </c>
      <c r="AX432" t="s">
        <v>74</v>
      </c>
      <c r="AY432" t="s">
        <v>74</v>
      </c>
      <c r="AZ432" t="s">
        <v>74</v>
      </c>
      <c r="BA432" t="s">
        <v>74</v>
      </c>
      <c r="BB432">
        <v>843</v>
      </c>
      <c r="BC432">
        <v>856</v>
      </c>
      <c r="BD432" t="s">
        <v>74</v>
      </c>
      <c r="BE432" t="s">
        <v>8260</v>
      </c>
      <c r="BF432" t="str">
        <f>HYPERLINK("http://dx.doi.org/10.1007/s00300-013-1310-z","http://dx.doi.org/10.1007/s00300-013-1310-z")</f>
        <v>http://dx.doi.org/10.1007/s00300-013-1310-z</v>
      </c>
      <c r="BG432" t="s">
        <v>74</v>
      </c>
      <c r="BH432" t="s">
        <v>74</v>
      </c>
      <c r="BI432">
        <v>14</v>
      </c>
      <c r="BJ432" t="s">
        <v>1158</v>
      </c>
      <c r="BK432" t="s">
        <v>102</v>
      </c>
      <c r="BL432" t="s">
        <v>1159</v>
      </c>
      <c r="BM432" t="s">
        <v>7111</v>
      </c>
      <c r="BN432" t="s">
        <v>74</v>
      </c>
      <c r="BO432" t="s">
        <v>74</v>
      </c>
      <c r="BP432" t="s">
        <v>74</v>
      </c>
      <c r="BQ432" t="s">
        <v>74</v>
      </c>
      <c r="BR432" t="s">
        <v>105</v>
      </c>
      <c r="BS432" t="s">
        <v>8261</v>
      </c>
      <c r="BT432" t="str">
        <f>HYPERLINK("https%3A%2F%2Fwww.webofscience.com%2Fwos%2Fwoscc%2Ffull-record%2FWOS:000318722600009","View Full Record in Web of Science")</f>
        <v>View Full Record in Web of Science</v>
      </c>
    </row>
    <row r="433" spans="1:72" x14ac:dyDescent="0.15">
      <c r="A433" t="s">
        <v>72</v>
      </c>
      <c r="B433" t="s">
        <v>8262</v>
      </c>
      <c r="C433" t="s">
        <v>74</v>
      </c>
      <c r="D433" t="s">
        <v>74</v>
      </c>
      <c r="E433" t="s">
        <v>74</v>
      </c>
      <c r="F433" t="s">
        <v>8263</v>
      </c>
      <c r="G433" t="s">
        <v>74</v>
      </c>
      <c r="H433" t="s">
        <v>74</v>
      </c>
      <c r="I433" t="s">
        <v>8264</v>
      </c>
      <c r="J433" t="s">
        <v>3345</v>
      </c>
      <c r="K433" t="s">
        <v>74</v>
      </c>
      <c r="L433" t="s">
        <v>74</v>
      </c>
      <c r="M433" t="s">
        <v>78</v>
      </c>
      <c r="N433" t="s">
        <v>79</v>
      </c>
      <c r="O433" t="s">
        <v>74</v>
      </c>
      <c r="P433" t="s">
        <v>74</v>
      </c>
      <c r="Q433" t="s">
        <v>74</v>
      </c>
      <c r="R433" t="s">
        <v>74</v>
      </c>
      <c r="S433" t="s">
        <v>74</v>
      </c>
      <c r="T433" t="s">
        <v>8265</v>
      </c>
      <c r="U433" t="s">
        <v>8266</v>
      </c>
      <c r="V433" t="s">
        <v>8267</v>
      </c>
      <c r="W433" t="s">
        <v>8268</v>
      </c>
      <c r="X433" t="s">
        <v>8269</v>
      </c>
      <c r="Y433" t="s">
        <v>8270</v>
      </c>
      <c r="Z433" t="s">
        <v>8271</v>
      </c>
      <c r="AA433" t="s">
        <v>8272</v>
      </c>
      <c r="AB433" t="s">
        <v>8273</v>
      </c>
      <c r="AC433" t="s">
        <v>8274</v>
      </c>
      <c r="AD433" t="s">
        <v>8275</v>
      </c>
      <c r="AE433" t="s">
        <v>8276</v>
      </c>
      <c r="AF433" t="s">
        <v>74</v>
      </c>
      <c r="AG433">
        <v>42</v>
      </c>
      <c r="AH433">
        <v>44</v>
      </c>
      <c r="AI433">
        <v>51</v>
      </c>
      <c r="AJ433">
        <v>0</v>
      </c>
      <c r="AK433">
        <v>47</v>
      </c>
      <c r="AL433" t="s">
        <v>529</v>
      </c>
      <c r="AM433" t="s">
        <v>391</v>
      </c>
      <c r="AN433" t="s">
        <v>530</v>
      </c>
      <c r="AO433" t="s">
        <v>3358</v>
      </c>
      <c r="AP433" t="s">
        <v>3359</v>
      </c>
      <c r="AQ433" t="s">
        <v>74</v>
      </c>
      <c r="AR433" t="s">
        <v>3360</v>
      </c>
      <c r="AS433" t="s">
        <v>3361</v>
      </c>
      <c r="AT433" t="s">
        <v>5642</v>
      </c>
      <c r="AU433">
        <v>2013</v>
      </c>
      <c r="AV433">
        <v>36</v>
      </c>
      <c r="AW433">
        <v>6</v>
      </c>
      <c r="AX433" t="s">
        <v>74</v>
      </c>
      <c r="AY433" t="s">
        <v>74</v>
      </c>
      <c r="AZ433" t="s">
        <v>74</v>
      </c>
      <c r="BA433" t="s">
        <v>74</v>
      </c>
      <c r="BB433">
        <v>895</v>
      </c>
      <c r="BC433">
        <v>906</v>
      </c>
      <c r="BD433" t="s">
        <v>74</v>
      </c>
      <c r="BE433" t="s">
        <v>8277</v>
      </c>
      <c r="BF433" t="str">
        <f>HYPERLINK("http://dx.doi.org/10.1007/s00300-013-1315-7","http://dx.doi.org/10.1007/s00300-013-1315-7")</f>
        <v>http://dx.doi.org/10.1007/s00300-013-1315-7</v>
      </c>
      <c r="BG433" t="s">
        <v>74</v>
      </c>
      <c r="BH433" t="s">
        <v>74</v>
      </c>
      <c r="BI433">
        <v>12</v>
      </c>
      <c r="BJ433" t="s">
        <v>1158</v>
      </c>
      <c r="BK433" t="s">
        <v>102</v>
      </c>
      <c r="BL433" t="s">
        <v>1159</v>
      </c>
      <c r="BM433" t="s">
        <v>7111</v>
      </c>
      <c r="BN433" t="s">
        <v>74</v>
      </c>
      <c r="BO433" t="s">
        <v>74</v>
      </c>
      <c r="BP433" t="s">
        <v>74</v>
      </c>
      <c r="BQ433" t="s">
        <v>74</v>
      </c>
      <c r="BR433" t="s">
        <v>105</v>
      </c>
      <c r="BS433" t="s">
        <v>8278</v>
      </c>
      <c r="BT433" t="str">
        <f>HYPERLINK("https%3A%2F%2Fwww.webofscience.com%2Fwos%2Fwoscc%2Ffull-record%2FWOS:000318722600013","View Full Record in Web of Science")</f>
        <v>View Full Record in Web of Science</v>
      </c>
    </row>
    <row r="434" spans="1:72" x14ac:dyDescent="0.15">
      <c r="A434" t="s">
        <v>72</v>
      </c>
      <c r="B434" t="s">
        <v>8279</v>
      </c>
      <c r="C434" t="s">
        <v>74</v>
      </c>
      <c r="D434" t="s">
        <v>74</v>
      </c>
      <c r="E434" t="s">
        <v>74</v>
      </c>
      <c r="F434" t="s">
        <v>8280</v>
      </c>
      <c r="G434" t="s">
        <v>74</v>
      </c>
      <c r="H434" t="s">
        <v>74</v>
      </c>
      <c r="I434" t="s">
        <v>8281</v>
      </c>
      <c r="J434" t="s">
        <v>8282</v>
      </c>
      <c r="K434" t="s">
        <v>74</v>
      </c>
      <c r="L434" t="s">
        <v>74</v>
      </c>
      <c r="M434" t="s">
        <v>78</v>
      </c>
      <c r="N434" t="s">
        <v>79</v>
      </c>
      <c r="O434" t="s">
        <v>74</v>
      </c>
      <c r="P434" t="s">
        <v>74</v>
      </c>
      <c r="Q434" t="s">
        <v>74</v>
      </c>
      <c r="R434" t="s">
        <v>74</v>
      </c>
      <c r="S434" t="s">
        <v>74</v>
      </c>
      <c r="T434" t="s">
        <v>8283</v>
      </c>
      <c r="U434" t="s">
        <v>8284</v>
      </c>
      <c r="V434" t="s">
        <v>8285</v>
      </c>
      <c r="W434" t="s">
        <v>8286</v>
      </c>
      <c r="X434" t="s">
        <v>8287</v>
      </c>
      <c r="Y434" t="s">
        <v>8288</v>
      </c>
      <c r="Z434" t="s">
        <v>8289</v>
      </c>
      <c r="AA434" t="s">
        <v>8290</v>
      </c>
      <c r="AB434" t="s">
        <v>8291</v>
      </c>
      <c r="AC434" t="s">
        <v>8292</v>
      </c>
      <c r="AD434" t="s">
        <v>8292</v>
      </c>
      <c r="AE434" t="s">
        <v>8293</v>
      </c>
      <c r="AF434" t="s">
        <v>74</v>
      </c>
      <c r="AG434">
        <v>42</v>
      </c>
      <c r="AH434">
        <v>59</v>
      </c>
      <c r="AI434">
        <v>59</v>
      </c>
      <c r="AJ434">
        <v>1</v>
      </c>
      <c r="AK434">
        <v>31</v>
      </c>
      <c r="AL434" t="s">
        <v>154</v>
      </c>
      <c r="AM434" t="s">
        <v>155</v>
      </c>
      <c r="AN434" t="s">
        <v>156</v>
      </c>
      <c r="AO434" t="s">
        <v>8294</v>
      </c>
      <c r="AP434" t="s">
        <v>8295</v>
      </c>
      <c r="AQ434" t="s">
        <v>74</v>
      </c>
      <c r="AR434" t="s">
        <v>8296</v>
      </c>
      <c r="AS434" t="s">
        <v>8297</v>
      </c>
      <c r="AT434" t="s">
        <v>5642</v>
      </c>
      <c r="AU434">
        <v>2013</v>
      </c>
      <c r="AV434">
        <v>164</v>
      </c>
      <c r="AW434">
        <v>5</v>
      </c>
      <c r="AX434" t="s">
        <v>74</v>
      </c>
      <c r="AY434" t="s">
        <v>74</v>
      </c>
      <c r="AZ434" t="s">
        <v>74</v>
      </c>
      <c r="BA434" t="s">
        <v>74</v>
      </c>
      <c r="BB434">
        <v>450</v>
      </c>
      <c r="BC434">
        <v>456</v>
      </c>
      <c r="BD434" t="s">
        <v>74</v>
      </c>
      <c r="BE434" t="s">
        <v>8298</v>
      </c>
      <c r="BF434" t="str">
        <f>HYPERLINK("http://dx.doi.org/10.1016/j.resmic.2013.01.010","http://dx.doi.org/10.1016/j.resmic.2013.01.010")</f>
        <v>http://dx.doi.org/10.1016/j.resmic.2013.01.010</v>
      </c>
      <c r="BG434" t="s">
        <v>74</v>
      </c>
      <c r="BH434" t="s">
        <v>74</v>
      </c>
      <c r="BI434">
        <v>7</v>
      </c>
      <c r="BJ434" t="s">
        <v>3107</v>
      </c>
      <c r="BK434" t="s">
        <v>102</v>
      </c>
      <c r="BL434" t="s">
        <v>3107</v>
      </c>
      <c r="BM434" t="s">
        <v>8299</v>
      </c>
      <c r="BN434">
        <v>23411371</v>
      </c>
      <c r="BO434" t="s">
        <v>248</v>
      </c>
      <c r="BP434" t="s">
        <v>74</v>
      </c>
      <c r="BQ434" t="s">
        <v>74</v>
      </c>
      <c r="BR434" t="s">
        <v>105</v>
      </c>
      <c r="BS434" t="s">
        <v>8300</v>
      </c>
      <c r="BT434" t="str">
        <f>HYPERLINK("https%3A%2F%2Fwww.webofscience.com%2Fwos%2Fwoscc%2Ffull-record%2FWOS:000320903800010","View Full Record in Web of Science")</f>
        <v>View Full Record in Web of Science</v>
      </c>
    </row>
    <row r="435" spans="1:72" x14ac:dyDescent="0.15">
      <c r="A435" t="s">
        <v>72</v>
      </c>
      <c r="B435" t="s">
        <v>8301</v>
      </c>
      <c r="C435" t="s">
        <v>74</v>
      </c>
      <c r="D435" t="s">
        <v>74</v>
      </c>
      <c r="E435" t="s">
        <v>74</v>
      </c>
      <c r="F435" t="s">
        <v>8302</v>
      </c>
      <c r="G435" t="s">
        <v>74</v>
      </c>
      <c r="H435" t="s">
        <v>74</v>
      </c>
      <c r="I435" t="s">
        <v>8303</v>
      </c>
      <c r="J435" t="s">
        <v>1957</v>
      </c>
      <c r="K435" t="s">
        <v>74</v>
      </c>
      <c r="L435" t="s">
        <v>74</v>
      </c>
      <c r="M435" t="s">
        <v>78</v>
      </c>
      <c r="N435" t="s">
        <v>79</v>
      </c>
      <c r="O435" t="s">
        <v>74</v>
      </c>
      <c r="P435" t="s">
        <v>74</v>
      </c>
      <c r="Q435" t="s">
        <v>74</v>
      </c>
      <c r="R435" t="s">
        <v>74</v>
      </c>
      <c r="S435" t="s">
        <v>74</v>
      </c>
      <c r="T435" t="s">
        <v>8304</v>
      </c>
      <c r="U435" t="s">
        <v>8305</v>
      </c>
      <c r="V435" t="s">
        <v>8306</v>
      </c>
      <c r="W435" t="s">
        <v>8307</v>
      </c>
      <c r="X435" t="s">
        <v>8308</v>
      </c>
      <c r="Y435" t="s">
        <v>8309</v>
      </c>
      <c r="Z435" t="s">
        <v>8310</v>
      </c>
      <c r="AA435" t="s">
        <v>8311</v>
      </c>
      <c r="AB435" t="s">
        <v>8312</v>
      </c>
      <c r="AC435" t="s">
        <v>8313</v>
      </c>
      <c r="AD435" t="s">
        <v>8314</v>
      </c>
      <c r="AE435" t="s">
        <v>8315</v>
      </c>
      <c r="AF435" t="s">
        <v>74</v>
      </c>
      <c r="AG435">
        <v>23</v>
      </c>
      <c r="AH435">
        <v>49</v>
      </c>
      <c r="AI435">
        <v>53</v>
      </c>
      <c r="AJ435">
        <v>1</v>
      </c>
      <c r="AK435">
        <v>15</v>
      </c>
      <c r="AL435" t="s">
        <v>92</v>
      </c>
      <c r="AM435" t="s">
        <v>93</v>
      </c>
      <c r="AN435" t="s">
        <v>94</v>
      </c>
      <c r="AO435" t="s">
        <v>1970</v>
      </c>
      <c r="AP435" t="s">
        <v>1971</v>
      </c>
      <c r="AQ435" t="s">
        <v>74</v>
      </c>
      <c r="AR435" t="s">
        <v>1972</v>
      </c>
      <c r="AS435" t="s">
        <v>1973</v>
      </c>
      <c r="AT435" t="s">
        <v>8316</v>
      </c>
      <c r="AU435">
        <v>2013</v>
      </c>
      <c r="AV435">
        <v>40</v>
      </c>
      <c r="AW435">
        <v>10</v>
      </c>
      <c r="AX435" t="s">
        <v>74</v>
      </c>
      <c r="AY435" t="s">
        <v>74</v>
      </c>
      <c r="AZ435" t="s">
        <v>74</v>
      </c>
      <c r="BA435" t="s">
        <v>74</v>
      </c>
      <c r="BB435">
        <v>2177</v>
      </c>
      <c r="BC435">
        <v>2182</v>
      </c>
      <c r="BD435" t="s">
        <v>74</v>
      </c>
      <c r="BE435" t="s">
        <v>8317</v>
      </c>
      <c r="BF435" t="str">
        <f>HYPERLINK("http://dx.doi.org/10.1002/grl.50483","http://dx.doi.org/10.1002/grl.50483")</f>
        <v>http://dx.doi.org/10.1002/grl.50483</v>
      </c>
      <c r="BG435" t="s">
        <v>74</v>
      </c>
      <c r="BH435" t="s">
        <v>74</v>
      </c>
      <c r="BI435">
        <v>6</v>
      </c>
      <c r="BJ435" t="s">
        <v>1426</v>
      </c>
      <c r="BK435" t="s">
        <v>102</v>
      </c>
      <c r="BL435" t="s">
        <v>219</v>
      </c>
      <c r="BM435" t="s">
        <v>8318</v>
      </c>
      <c r="BN435" t="s">
        <v>74</v>
      </c>
      <c r="BO435" t="s">
        <v>1589</v>
      </c>
      <c r="BP435" t="s">
        <v>74</v>
      </c>
      <c r="BQ435" t="s">
        <v>74</v>
      </c>
      <c r="BR435" t="s">
        <v>105</v>
      </c>
      <c r="BS435" t="s">
        <v>8319</v>
      </c>
      <c r="BT435" t="str">
        <f>HYPERLINK("https%3A%2F%2Fwww.webofscience.com%2Fwos%2Fwoscc%2Ffull-record%2FWOS:000328840200052","View Full Record in Web of Science")</f>
        <v>View Full Record in Web of Science</v>
      </c>
    </row>
    <row r="436" spans="1:72" x14ac:dyDescent="0.15">
      <c r="A436" t="s">
        <v>72</v>
      </c>
      <c r="B436" t="s">
        <v>8320</v>
      </c>
      <c r="C436" t="s">
        <v>74</v>
      </c>
      <c r="D436" t="s">
        <v>74</v>
      </c>
      <c r="E436" t="s">
        <v>74</v>
      </c>
      <c r="F436" t="s">
        <v>8321</v>
      </c>
      <c r="G436" t="s">
        <v>74</v>
      </c>
      <c r="H436" t="s">
        <v>74</v>
      </c>
      <c r="I436" t="s">
        <v>8322</v>
      </c>
      <c r="J436" t="s">
        <v>1957</v>
      </c>
      <c r="K436" t="s">
        <v>74</v>
      </c>
      <c r="L436" t="s">
        <v>74</v>
      </c>
      <c r="M436" t="s">
        <v>78</v>
      </c>
      <c r="N436" t="s">
        <v>79</v>
      </c>
      <c r="O436" t="s">
        <v>74</v>
      </c>
      <c r="P436" t="s">
        <v>74</v>
      </c>
      <c r="Q436" t="s">
        <v>74</v>
      </c>
      <c r="R436" t="s">
        <v>74</v>
      </c>
      <c r="S436" t="s">
        <v>74</v>
      </c>
      <c r="T436" t="s">
        <v>8323</v>
      </c>
      <c r="U436" t="s">
        <v>8324</v>
      </c>
      <c r="V436" t="s">
        <v>8325</v>
      </c>
      <c r="W436" t="s">
        <v>8326</v>
      </c>
      <c r="X436" t="s">
        <v>8327</v>
      </c>
      <c r="Y436" t="s">
        <v>8328</v>
      </c>
      <c r="Z436" t="s">
        <v>8329</v>
      </c>
      <c r="AA436" t="s">
        <v>8330</v>
      </c>
      <c r="AB436" t="s">
        <v>8331</v>
      </c>
      <c r="AC436" t="s">
        <v>8332</v>
      </c>
      <c r="AD436" t="s">
        <v>8333</v>
      </c>
      <c r="AE436" t="s">
        <v>8334</v>
      </c>
      <c r="AF436" t="s">
        <v>74</v>
      </c>
      <c r="AG436">
        <v>27</v>
      </c>
      <c r="AH436">
        <v>7</v>
      </c>
      <c r="AI436">
        <v>9</v>
      </c>
      <c r="AJ436">
        <v>0</v>
      </c>
      <c r="AK436">
        <v>12</v>
      </c>
      <c r="AL436" t="s">
        <v>92</v>
      </c>
      <c r="AM436" t="s">
        <v>93</v>
      </c>
      <c r="AN436" t="s">
        <v>94</v>
      </c>
      <c r="AO436" t="s">
        <v>1970</v>
      </c>
      <c r="AP436" t="s">
        <v>1971</v>
      </c>
      <c r="AQ436" t="s">
        <v>74</v>
      </c>
      <c r="AR436" t="s">
        <v>1972</v>
      </c>
      <c r="AS436" t="s">
        <v>1973</v>
      </c>
      <c r="AT436" t="s">
        <v>8316</v>
      </c>
      <c r="AU436">
        <v>2013</v>
      </c>
      <c r="AV436">
        <v>40</v>
      </c>
      <c r="AW436">
        <v>10</v>
      </c>
      <c r="AX436" t="s">
        <v>74</v>
      </c>
      <c r="AY436" t="s">
        <v>74</v>
      </c>
      <c r="AZ436" t="s">
        <v>74</v>
      </c>
      <c r="BA436" t="s">
        <v>74</v>
      </c>
      <c r="BB436">
        <v>2224</v>
      </c>
      <c r="BC436">
        <v>2228</v>
      </c>
      <c r="BD436" t="s">
        <v>74</v>
      </c>
      <c r="BE436" t="s">
        <v>8335</v>
      </c>
      <c r="BF436" t="str">
        <f>HYPERLINK("http://dx.doi.org/10.1002/grl.50508","http://dx.doi.org/10.1002/grl.50508")</f>
        <v>http://dx.doi.org/10.1002/grl.50508</v>
      </c>
      <c r="BG436" t="s">
        <v>74</v>
      </c>
      <c r="BH436" t="s">
        <v>74</v>
      </c>
      <c r="BI436">
        <v>5</v>
      </c>
      <c r="BJ436" t="s">
        <v>1426</v>
      </c>
      <c r="BK436" t="s">
        <v>102</v>
      </c>
      <c r="BL436" t="s">
        <v>219</v>
      </c>
      <c r="BM436" t="s">
        <v>8318</v>
      </c>
      <c r="BN436" t="s">
        <v>74</v>
      </c>
      <c r="BO436" t="s">
        <v>104</v>
      </c>
      <c r="BP436" t="s">
        <v>74</v>
      </c>
      <c r="BQ436" t="s">
        <v>74</v>
      </c>
      <c r="BR436" t="s">
        <v>105</v>
      </c>
      <c r="BS436" t="s">
        <v>8336</v>
      </c>
      <c r="BT436" t="str">
        <f>HYPERLINK("https%3A%2F%2Fwww.webofscience.com%2Fwos%2Fwoscc%2Ffull-record%2FWOS:000328840200060","View Full Record in Web of Science")</f>
        <v>View Full Record in Web of Science</v>
      </c>
    </row>
    <row r="437" spans="1:72" x14ac:dyDescent="0.15">
      <c r="A437" t="s">
        <v>72</v>
      </c>
      <c r="B437" t="s">
        <v>8337</v>
      </c>
      <c r="C437" t="s">
        <v>74</v>
      </c>
      <c r="D437" t="s">
        <v>74</v>
      </c>
      <c r="E437" t="s">
        <v>74</v>
      </c>
      <c r="F437" t="s">
        <v>8338</v>
      </c>
      <c r="G437" t="s">
        <v>74</v>
      </c>
      <c r="H437" t="s">
        <v>74</v>
      </c>
      <c r="I437" t="s">
        <v>8339</v>
      </c>
      <c r="J437" t="s">
        <v>1957</v>
      </c>
      <c r="K437" t="s">
        <v>74</v>
      </c>
      <c r="L437" t="s">
        <v>74</v>
      </c>
      <c r="M437" t="s">
        <v>78</v>
      </c>
      <c r="N437" t="s">
        <v>79</v>
      </c>
      <c r="O437" t="s">
        <v>74</v>
      </c>
      <c r="P437" t="s">
        <v>74</v>
      </c>
      <c r="Q437" t="s">
        <v>74</v>
      </c>
      <c r="R437" t="s">
        <v>74</v>
      </c>
      <c r="S437" t="s">
        <v>74</v>
      </c>
      <c r="T437" t="s">
        <v>8340</v>
      </c>
      <c r="U437" t="s">
        <v>8341</v>
      </c>
      <c r="V437" t="s">
        <v>8342</v>
      </c>
      <c r="W437" t="s">
        <v>8343</v>
      </c>
      <c r="X437" t="s">
        <v>8344</v>
      </c>
      <c r="Y437" t="s">
        <v>8345</v>
      </c>
      <c r="Z437" t="s">
        <v>8346</v>
      </c>
      <c r="AA437" t="s">
        <v>8347</v>
      </c>
      <c r="AB437" t="s">
        <v>8348</v>
      </c>
      <c r="AC437" t="s">
        <v>8349</v>
      </c>
      <c r="AD437" t="s">
        <v>8350</v>
      </c>
      <c r="AE437" t="s">
        <v>8351</v>
      </c>
      <c r="AF437" t="s">
        <v>74</v>
      </c>
      <c r="AG437">
        <v>21</v>
      </c>
      <c r="AH437">
        <v>6</v>
      </c>
      <c r="AI437">
        <v>9</v>
      </c>
      <c r="AJ437">
        <v>3</v>
      </c>
      <c r="AK437">
        <v>34</v>
      </c>
      <c r="AL437" t="s">
        <v>92</v>
      </c>
      <c r="AM437" t="s">
        <v>93</v>
      </c>
      <c r="AN437" t="s">
        <v>94</v>
      </c>
      <c r="AO437" t="s">
        <v>1970</v>
      </c>
      <c r="AP437" t="s">
        <v>1971</v>
      </c>
      <c r="AQ437" t="s">
        <v>74</v>
      </c>
      <c r="AR437" t="s">
        <v>1972</v>
      </c>
      <c r="AS437" t="s">
        <v>1973</v>
      </c>
      <c r="AT437" t="s">
        <v>8316</v>
      </c>
      <c r="AU437">
        <v>2013</v>
      </c>
      <c r="AV437">
        <v>40</v>
      </c>
      <c r="AW437">
        <v>10</v>
      </c>
      <c r="AX437" t="s">
        <v>74</v>
      </c>
      <c r="AY437" t="s">
        <v>74</v>
      </c>
      <c r="AZ437" t="s">
        <v>74</v>
      </c>
      <c r="BA437" t="s">
        <v>74</v>
      </c>
      <c r="BB437">
        <v>2252</v>
      </c>
      <c r="BC437">
        <v>2258</v>
      </c>
      <c r="BD437" t="s">
        <v>74</v>
      </c>
      <c r="BE437" t="s">
        <v>8352</v>
      </c>
      <c r="BF437" t="str">
        <f>HYPERLINK("http://dx.doi.org/10.1002/grl.50370","http://dx.doi.org/10.1002/grl.50370")</f>
        <v>http://dx.doi.org/10.1002/grl.50370</v>
      </c>
      <c r="BG437" t="s">
        <v>74</v>
      </c>
      <c r="BH437" t="s">
        <v>74</v>
      </c>
      <c r="BI437">
        <v>7</v>
      </c>
      <c r="BJ437" t="s">
        <v>1426</v>
      </c>
      <c r="BK437" t="s">
        <v>102</v>
      </c>
      <c r="BL437" t="s">
        <v>219</v>
      </c>
      <c r="BM437" t="s">
        <v>8318</v>
      </c>
      <c r="BN437" t="s">
        <v>74</v>
      </c>
      <c r="BO437" t="s">
        <v>4257</v>
      </c>
      <c r="BP437" t="s">
        <v>74</v>
      </c>
      <c r="BQ437" t="s">
        <v>74</v>
      </c>
      <c r="BR437" t="s">
        <v>105</v>
      </c>
      <c r="BS437" t="s">
        <v>8353</v>
      </c>
      <c r="BT437" t="str">
        <f>HYPERLINK("https%3A%2F%2Fwww.webofscience.com%2Fwos%2Fwoscc%2Ffull-record%2FWOS:000328840200065","View Full Record in Web of Science")</f>
        <v>View Full Record in Web of Science</v>
      </c>
    </row>
    <row r="438" spans="1:72" x14ac:dyDescent="0.15">
      <c r="A438" t="s">
        <v>72</v>
      </c>
      <c r="B438" t="s">
        <v>8354</v>
      </c>
      <c r="C438" t="s">
        <v>74</v>
      </c>
      <c r="D438" t="s">
        <v>74</v>
      </c>
      <c r="E438" t="s">
        <v>74</v>
      </c>
      <c r="F438" t="s">
        <v>8355</v>
      </c>
      <c r="G438" t="s">
        <v>74</v>
      </c>
      <c r="H438" t="s">
        <v>74</v>
      </c>
      <c r="I438" t="s">
        <v>8356</v>
      </c>
      <c r="J438" t="s">
        <v>1957</v>
      </c>
      <c r="K438" t="s">
        <v>74</v>
      </c>
      <c r="L438" t="s">
        <v>74</v>
      </c>
      <c r="M438" t="s">
        <v>78</v>
      </c>
      <c r="N438" t="s">
        <v>79</v>
      </c>
      <c r="O438" t="s">
        <v>74</v>
      </c>
      <c r="P438" t="s">
        <v>74</v>
      </c>
      <c r="Q438" t="s">
        <v>74</v>
      </c>
      <c r="R438" t="s">
        <v>74</v>
      </c>
      <c r="S438" t="s">
        <v>74</v>
      </c>
      <c r="T438" t="s">
        <v>8357</v>
      </c>
      <c r="U438" t="s">
        <v>8358</v>
      </c>
      <c r="V438" t="s">
        <v>8359</v>
      </c>
      <c r="W438" t="s">
        <v>8360</v>
      </c>
      <c r="X438" t="s">
        <v>8361</v>
      </c>
      <c r="Y438" t="s">
        <v>8362</v>
      </c>
      <c r="Z438" t="s">
        <v>8363</v>
      </c>
      <c r="AA438" t="s">
        <v>74</v>
      </c>
      <c r="AB438" t="s">
        <v>74</v>
      </c>
      <c r="AC438" t="s">
        <v>8364</v>
      </c>
      <c r="AD438" t="s">
        <v>8365</v>
      </c>
      <c r="AE438" t="s">
        <v>8366</v>
      </c>
      <c r="AF438" t="s">
        <v>74</v>
      </c>
      <c r="AG438">
        <v>27</v>
      </c>
      <c r="AH438">
        <v>85</v>
      </c>
      <c r="AI438">
        <v>88</v>
      </c>
      <c r="AJ438">
        <v>3</v>
      </c>
      <c r="AK438">
        <v>36</v>
      </c>
      <c r="AL438" t="s">
        <v>92</v>
      </c>
      <c r="AM438" t="s">
        <v>93</v>
      </c>
      <c r="AN438" t="s">
        <v>94</v>
      </c>
      <c r="AO438" t="s">
        <v>1970</v>
      </c>
      <c r="AP438" t="s">
        <v>1971</v>
      </c>
      <c r="AQ438" t="s">
        <v>74</v>
      </c>
      <c r="AR438" t="s">
        <v>1972</v>
      </c>
      <c r="AS438" t="s">
        <v>1973</v>
      </c>
      <c r="AT438" t="s">
        <v>8316</v>
      </c>
      <c r="AU438">
        <v>2013</v>
      </c>
      <c r="AV438">
        <v>40</v>
      </c>
      <c r="AW438">
        <v>10</v>
      </c>
      <c r="AX438" t="s">
        <v>74</v>
      </c>
      <c r="AY438" t="s">
        <v>74</v>
      </c>
      <c r="AZ438" t="s">
        <v>74</v>
      </c>
      <c r="BA438" t="s">
        <v>74</v>
      </c>
      <c r="BB438">
        <v>2302</v>
      </c>
      <c r="BC438">
        <v>2306</v>
      </c>
      <c r="BD438" t="s">
        <v>74</v>
      </c>
      <c r="BE438" t="s">
        <v>8367</v>
      </c>
      <c r="BF438" t="str">
        <f>HYPERLINK("http://dx.doi.org/10.1002/grl.50500","http://dx.doi.org/10.1002/grl.50500")</f>
        <v>http://dx.doi.org/10.1002/grl.50500</v>
      </c>
      <c r="BG438" t="s">
        <v>74</v>
      </c>
      <c r="BH438" t="s">
        <v>74</v>
      </c>
      <c r="BI438">
        <v>5</v>
      </c>
      <c r="BJ438" t="s">
        <v>1426</v>
      </c>
      <c r="BK438" t="s">
        <v>102</v>
      </c>
      <c r="BL438" t="s">
        <v>219</v>
      </c>
      <c r="BM438" t="s">
        <v>8318</v>
      </c>
      <c r="BN438" t="s">
        <v>74</v>
      </c>
      <c r="BO438" t="s">
        <v>248</v>
      </c>
      <c r="BP438" t="s">
        <v>74</v>
      </c>
      <c r="BQ438" t="s">
        <v>74</v>
      </c>
      <c r="BR438" t="s">
        <v>105</v>
      </c>
      <c r="BS438" t="s">
        <v>8368</v>
      </c>
      <c r="BT438" t="str">
        <f>HYPERLINK("https%3A%2F%2Fwww.webofscience.com%2Fwos%2Fwoscc%2Ffull-record%2FWOS:000328840200073","View Full Record in Web of Science")</f>
        <v>View Full Record in Web of Science</v>
      </c>
    </row>
    <row r="439" spans="1:72" x14ac:dyDescent="0.15">
      <c r="A439" t="s">
        <v>72</v>
      </c>
      <c r="B439" t="s">
        <v>8369</v>
      </c>
      <c r="C439" t="s">
        <v>74</v>
      </c>
      <c r="D439" t="s">
        <v>74</v>
      </c>
      <c r="E439" t="s">
        <v>74</v>
      </c>
      <c r="F439" t="s">
        <v>8370</v>
      </c>
      <c r="G439" t="s">
        <v>74</v>
      </c>
      <c r="H439" t="s">
        <v>74</v>
      </c>
      <c r="I439" t="s">
        <v>8371</v>
      </c>
      <c r="J439" t="s">
        <v>1957</v>
      </c>
      <c r="K439" t="s">
        <v>74</v>
      </c>
      <c r="L439" t="s">
        <v>74</v>
      </c>
      <c r="M439" t="s">
        <v>78</v>
      </c>
      <c r="N439" t="s">
        <v>79</v>
      </c>
      <c r="O439" t="s">
        <v>74</v>
      </c>
      <c r="P439" t="s">
        <v>74</v>
      </c>
      <c r="Q439" t="s">
        <v>74</v>
      </c>
      <c r="R439" t="s">
        <v>74</v>
      </c>
      <c r="S439" t="s">
        <v>74</v>
      </c>
      <c r="T439" t="s">
        <v>8372</v>
      </c>
      <c r="U439" t="s">
        <v>8373</v>
      </c>
      <c r="V439" t="s">
        <v>8374</v>
      </c>
      <c r="W439" t="s">
        <v>8375</v>
      </c>
      <c r="X439" t="s">
        <v>8376</v>
      </c>
      <c r="Y439" t="s">
        <v>8377</v>
      </c>
      <c r="Z439" t="s">
        <v>8378</v>
      </c>
      <c r="AA439" t="s">
        <v>8379</v>
      </c>
      <c r="AB439" t="s">
        <v>8380</v>
      </c>
      <c r="AC439" t="s">
        <v>8381</v>
      </c>
      <c r="AD439" t="s">
        <v>8382</v>
      </c>
      <c r="AE439" t="s">
        <v>8383</v>
      </c>
      <c r="AF439" t="s">
        <v>74</v>
      </c>
      <c r="AG439">
        <v>16</v>
      </c>
      <c r="AH439">
        <v>64</v>
      </c>
      <c r="AI439">
        <v>73</v>
      </c>
      <c r="AJ439">
        <v>0</v>
      </c>
      <c r="AK439">
        <v>14</v>
      </c>
      <c r="AL439" t="s">
        <v>92</v>
      </c>
      <c r="AM439" t="s">
        <v>93</v>
      </c>
      <c r="AN439" t="s">
        <v>94</v>
      </c>
      <c r="AO439" t="s">
        <v>1970</v>
      </c>
      <c r="AP439" t="s">
        <v>1971</v>
      </c>
      <c r="AQ439" t="s">
        <v>74</v>
      </c>
      <c r="AR439" t="s">
        <v>1972</v>
      </c>
      <c r="AS439" t="s">
        <v>1973</v>
      </c>
      <c r="AT439" t="s">
        <v>8316</v>
      </c>
      <c r="AU439">
        <v>2013</v>
      </c>
      <c r="AV439">
        <v>40</v>
      </c>
      <c r="AW439">
        <v>10</v>
      </c>
      <c r="AX439" t="s">
        <v>74</v>
      </c>
      <c r="AY439" t="s">
        <v>74</v>
      </c>
      <c r="AZ439" t="s">
        <v>74</v>
      </c>
      <c r="BA439" t="s">
        <v>74</v>
      </c>
      <c r="BB439">
        <v>2121</v>
      </c>
      <c r="BC439">
        <v>2124</v>
      </c>
      <c r="BD439" t="s">
        <v>74</v>
      </c>
      <c r="BE439" t="s">
        <v>8384</v>
      </c>
      <c r="BF439" t="str">
        <f>HYPERLINK("http://dx.doi.org/10.1002/grl.50410","http://dx.doi.org/10.1002/grl.50410")</f>
        <v>http://dx.doi.org/10.1002/grl.50410</v>
      </c>
      <c r="BG439" t="s">
        <v>74</v>
      </c>
      <c r="BH439" t="s">
        <v>74</v>
      </c>
      <c r="BI439">
        <v>4</v>
      </c>
      <c r="BJ439" t="s">
        <v>1426</v>
      </c>
      <c r="BK439" t="s">
        <v>102</v>
      </c>
      <c r="BL439" t="s">
        <v>219</v>
      </c>
      <c r="BM439" t="s">
        <v>8318</v>
      </c>
      <c r="BN439" t="s">
        <v>74</v>
      </c>
      <c r="BO439" t="s">
        <v>104</v>
      </c>
      <c r="BP439" t="s">
        <v>74</v>
      </c>
      <c r="BQ439" t="s">
        <v>74</v>
      </c>
      <c r="BR439" t="s">
        <v>105</v>
      </c>
      <c r="BS439" t="s">
        <v>8385</v>
      </c>
      <c r="BT439" t="str">
        <f>HYPERLINK("https%3A%2F%2Fwww.webofscience.com%2Fwos%2Fwoscc%2Ffull-record%2FWOS:000328840200042","View Full Record in Web of Science")</f>
        <v>View Full Record in Web of Science</v>
      </c>
    </row>
    <row r="440" spans="1:72" x14ac:dyDescent="0.15">
      <c r="A440" t="s">
        <v>72</v>
      </c>
      <c r="B440" t="s">
        <v>8386</v>
      </c>
      <c r="C440" t="s">
        <v>74</v>
      </c>
      <c r="D440" t="s">
        <v>74</v>
      </c>
      <c r="E440" t="s">
        <v>74</v>
      </c>
      <c r="F440" t="s">
        <v>8387</v>
      </c>
      <c r="G440" t="s">
        <v>74</v>
      </c>
      <c r="H440" t="s">
        <v>74</v>
      </c>
      <c r="I440" t="s">
        <v>8388</v>
      </c>
      <c r="J440" t="s">
        <v>1957</v>
      </c>
      <c r="K440" t="s">
        <v>74</v>
      </c>
      <c r="L440" t="s">
        <v>74</v>
      </c>
      <c r="M440" t="s">
        <v>78</v>
      </c>
      <c r="N440" t="s">
        <v>79</v>
      </c>
      <c r="O440" t="s">
        <v>74</v>
      </c>
      <c r="P440" t="s">
        <v>74</v>
      </c>
      <c r="Q440" t="s">
        <v>74</v>
      </c>
      <c r="R440" t="s">
        <v>74</v>
      </c>
      <c r="S440" t="s">
        <v>74</v>
      </c>
      <c r="T440" t="s">
        <v>8389</v>
      </c>
      <c r="U440" t="s">
        <v>8390</v>
      </c>
      <c r="V440" t="s">
        <v>8391</v>
      </c>
      <c r="W440" t="s">
        <v>8392</v>
      </c>
      <c r="X440" t="s">
        <v>8393</v>
      </c>
      <c r="Y440" t="s">
        <v>8394</v>
      </c>
      <c r="Z440" t="s">
        <v>8395</v>
      </c>
      <c r="AA440" t="s">
        <v>8396</v>
      </c>
      <c r="AB440" t="s">
        <v>8397</v>
      </c>
      <c r="AC440" t="s">
        <v>8398</v>
      </c>
      <c r="AD440" t="s">
        <v>8399</v>
      </c>
      <c r="AE440" t="s">
        <v>8400</v>
      </c>
      <c r="AF440" t="s">
        <v>74</v>
      </c>
      <c r="AG440">
        <v>37</v>
      </c>
      <c r="AH440">
        <v>73</v>
      </c>
      <c r="AI440">
        <v>83</v>
      </c>
      <c r="AJ440">
        <v>1</v>
      </c>
      <c r="AK440">
        <v>49</v>
      </c>
      <c r="AL440" t="s">
        <v>92</v>
      </c>
      <c r="AM440" t="s">
        <v>93</v>
      </c>
      <c r="AN440" t="s">
        <v>94</v>
      </c>
      <c r="AO440" t="s">
        <v>1970</v>
      </c>
      <c r="AP440" t="s">
        <v>1971</v>
      </c>
      <c r="AQ440" t="s">
        <v>74</v>
      </c>
      <c r="AR440" t="s">
        <v>1972</v>
      </c>
      <c r="AS440" t="s">
        <v>1973</v>
      </c>
      <c r="AT440" t="s">
        <v>8316</v>
      </c>
      <c r="AU440">
        <v>2013</v>
      </c>
      <c r="AV440">
        <v>40</v>
      </c>
      <c r="AW440">
        <v>10</v>
      </c>
      <c r="AX440" t="s">
        <v>74</v>
      </c>
      <c r="AY440" t="s">
        <v>74</v>
      </c>
      <c r="AZ440" t="s">
        <v>74</v>
      </c>
      <c r="BA440" t="s">
        <v>74</v>
      </c>
      <c r="BB440">
        <v>2137</v>
      </c>
      <c r="BC440">
        <v>2142</v>
      </c>
      <c r="BD440" t="s">
        <v>74</v>
      </c>
      <c r="BE440" t="s">
        <v>8401</v>
      </c>
      <c r="BF440" t="str">
        <f>HYPERLINK("http://dx.doi.org/10.1002/grl.50379","http://dx.doi.org/10.1002/grl.50379")</f>
        <v>http://dx.doi.org/10.1002/grl.50379</v>
      </c>
      <c r="BG440" t="s">
        <v>74</v>
      </c>
      <c r="BH440" t="s">
        <v>74</v>
      </c>
      <c r="BI440">
        <v>6</v>
      </c>
      <c r="BJ440" t="s">
        <v>1426</v>
      </c>
      <c r="BK440" t="s">
        <v>102</v>
      </c>
      <c r="BL440" t="s">
        <v>219</v>
      </c>
      <c r="BM440" t="s">
        <v>8318</v>
      </c>
      <c r="BN440" t="s">
        <v>74</v>
      </c>
      <c r="BO440" t="s">
        <v>4895</v>
      </c>
      <c r="BP440" t="s">
        <v>74</v>
      </c>
      <c r="BQ440" t="s">
        <v>74</v>
      </c>
      <c r="BR440" t="s">
        <v>105</v>
      </c>
      <c r="BS440" t="s">
        <v>8402</v>
      </c>
      <c r="BT440" t="str">
        <f>HYPERLINK("https%3A%2F%2Fwww.webofscience.com%2Fwos%2Fwoscc%2Ffull-record%2FWOS:000328840200045","View Full Record in Web of Science")</f>
        <v>View Full Record in Web of Science</v>
      </c>
    </row>
    <row r="441" spans="1:72" x14ac:dyDescent="0.15">
      <c r="A441" t="s">
        <v>72</v>
      </c>
      <c r="B441" t="s">
        <v>8403</v>
      </c>
      <c r="C441" t="s">
        <v>74</v>
      </c>
      <c r="D441" t="s">
        <v>74</v>
      </c>
      <c r="E441" t="s">
        <v>74</v>
      </c>
      <c r="F441" t="s">
        <v>8404</v>
      </c>
      <c r="G441" t="s">
        <v>74</v>
      </c>
      <c r="H441" t="s">
        <v>74</v>
      </c>
      <c r="I441" t="s">
        <v>8405</v>
      </c>
      <c r="J441" t="s">
        <v>8406</v>
      </c>
      <c r="K441" t="s">
        <v>74</v>
      </c>
      <c r="L441" t="s">
        <v>74</v>
      </c>
      <c r="M441" t="s">
        <v>78</v>
      </c>
      <c r="N441" t="s">
        <v>79</v>
      </c>
      <c r="O441" t="s">
        <v>74</v>
      </c>
      <c r="P441" t="s">
        <v>74</v>
      </c>
      <c r="Q441" t="s">
        <v>74</v>
      </c>
      <c r="R441" t="s">
        <v>74</v>
      </c>
      <c r="S441" t="s">
        <v>74</v>
      </c>
      <c r="T441" t="s">
        <v>8407</v>
      </c>
      <c r="U441" t="s">
        <v>74</v>
      </c>
      <c r="V441" t="s">
        <v>8408</v>
      </c>
      <c r="W441" t="s">
        <v>8409</v>
      </c>
      <c r="X441" t="s">
        <v>8410</v>
      </c>
      <c r="Y441" t="s">
        <v>8411</v>
      </c>
      <c r="Z441" t="s">
        <v>8412</v>
      </c>
      <c r="AA441" t="s">
        <v>4025</v>
      </c>
      <c r="AB441" t="s">
        <v>4026</v>
      </c>
      <c r="AC441" t="s">
        <v>8413</v>
      </c>
      <c r="AD441" t="s">
        <v>8414</v>
      </c>
      <c r="AE441" t="s">
        <v>8415</v>
      </c>
      <c r="AF441" t="s">
        <v>74</v>
      </c>
      <c r="AG441">
        <v>14</v>
      </c>
      <c r="AH441">
        <v>12</v>
      </c>
      <c r="AI441">
        <v>12</v>
      </c>
      <c r="AJ441">
        <v>0</v>
      </c>
      <c r="AK441">
        <v>23</v>
      </c>
      <c r="AL441" t="s">
        <v>2741</v>
      </c>
      <c r="AM441" t="s">
        <v>643</v>
      </c>
      <c r="AN441" t="s">
        <v>2742</v>
      </c>
      <c r="AO441" t="s">
        <v>8416</v>
      </c>
      <c r="AP441" t="s">
        <v>8417</v>
      </c>
      <c r="AQ441" t="s">
        <v>74</v>
      </c>
      <c r="AR441" t="s">
        <v>8418</v>
      </c>
      <c r="AS441" t="s">
        <v>8419</v>
      </c>
      <c r="AT441" t="s">
        <v>8316</v>
      </c>
      <c r="AU441">
        <v>2013</v>
      </c>
      <c r="AV441">
        <v>371</v>
      </c>
      <c r="AW441">
        <v>1991</v>
      </c>
      <c r="AX441" t="s">
        <v>74</v>
      </c>
      <c r="AY441" t="s">
        <v>74</v>
      </c>
      <c r="AZ441" t="s">
        <v>935</v>
      </c>
      <c r="BA441" t="s">
        <v>74</v>
      </c>
      <c r="BB441" t="s">
        <v>74</v>
      </c>
      <c r="BC441" t="s">
        <v>74</v>
      </c>
      <c r="BD441">
        <v>20120287</v>
      </c>
      <c r="BE441" t="s">
        <v>8420</v>
      </c>
      <c r="BF441" t="str">
        <f>HYPERLINK("http://dx.doi.org/10.1098/rsta.2012.0287","http://dx.doi.org/10.1098/rsta.2012.0287")</f>
        <v>http://dx.doi.org/10.1098/rsta.2012.0287</v>
      </c>
      <c r="BG441" t="s">
        <v>74</v>
      </c>
      <c r="BH441" t="s">
        <v>74</v>
      </c>
      <c r="BI441">
        <v>15</v>
      </c>
      <c r="BJ441" t="s">
        <v>1880</v>
      </c>
      <c r="BK441" t="s">
        <v>102</v>
      </c>
      <c r="BL441" t="s">
        <v>1881</v>
      </c>
      <c r="BM441" t="s">
        <v>8421</v>
      </c>
      <c r="BN441">
        <v>23588048</v>
      </c>
      <c r="BO441" t="s">
        <v>5071</v>
      </c>
      <c r="BP441" t="s">
        <v>74</v>
      </c>
      <c r="BQ441" t="s">
        <v>74</v>
      </c>
      <c r="BR441" t="s">
        <v>105</v>
      </c>
      <c r="BS441" t="s">
        <v>8422</v>
      </c>
      <c r="BT441" t="str">
        <f>HYPERLINK("https%3A%2F%2Fwww.webofscience.com%2Fwos%2Fwoscc%2Ffull-record%2FWOS:000317575800007","View Full Record in Web of Science")</f>
        <v>View Full Record in Web of Science</v>
      </c>
    </row>
    <row r="442" spans="1:72" x14ac:dyDescent="0.15">
      <c r="A442" t="s">
        <v>72</v>
      </c>
      <c r="B442" t="s">
        <v>8423</v>
      </c>
      <c r="C442" t="s">
        <v>74</v>
      </c>
      <c r="D442" t="s">
        <v>74</v>
      </c>
      <c r="E442" t="s">
        <v>74</v>
      </c>
      <c r="F442" t="s">
        <v>8424</v>
      </c>
      <c r="G442" t="s">
        <v>74</v>
      </c>
      <c r="H442" t="s">
        <v>74</v>
      </c>
      <c r="I442" t="s">
        <v>8425</v>
      </c>
      <c r="J442" t="s">
        <v>8406</v>
      </c>
      <c r="K442" t="s">
        <v>74</v>
      </c>
      <c r="L442" t="s">
        <v>74</v>
      </c>
      <c r="M442" t="s">
        <v>78</v>
      </c>
      <c r="N442" t="s">
        <v>79</v>
      </c>
      <c r="O442" t="s">
        <v>74</v>
      </c>
      <c r="P442" t="s">
        <v>74</v>
      </c>
      <c r="Q442" t="s">
        <v>74</v>
      </c>
      <c r="R442" t="s">
        <v>74</v>
      </c>
      <c r="S442" t="s">
        <v>74</v>
      </c>
      <c r="T442" t="s">
        <v>8426</v>
      </c>
      <c r="U442" t="s">
        <v>8427</v>
      </c>
      <c r="V442" t="s">
        <v>8428</v>
      </c>
      <c r="W442" t="s">
        <v>2757</v>
      </c>
      <c r="X442" t="s">
        <v>1300</v>
      </c>
      <c r="Y442" t="s">
        <v>8429</v>
      </c>
      <c r="Z442" t="s">
        <v>8430</v>
      </c>
      <c r="AA442" t="s">
        <v>8431</v>
      </c>
      <c r="AB442" t="s">
        <v>8432</v>
      </c>
      <c r="AC442" t="s">
        <v>2049</v>
      </c>
      <c r="AD442" t="s">
        <v>2050</v>
      </c>
      <c r="AE442" t="s">
        <v>8433</v>
      </c>
      <c r="AF442" t="s">
        <v>74</v>
      </c>
      <c r="AG442">
        <v>64</v>
      </c>
      <c r="AH442">
        <v>25</v>
      </c>
      <c r="AI442">
        <v>26</v>
      </c>
      <c r="AJ442">
        <v>0</v>
      </c>
      <c r="AK442">
        <v>26</v>
      </c>
      <c r="AL442" t="s">
        <v>2741</v>
      </c>
      <c r="AM442" t="s">
        <v>643</v>
      </c>
      <c r="AN442" t="s">
        <v>2742</v>
      </c>
      <c r="AO442" t="s">
        <v>8416</v>
      </c>
      <c r="AP442" t="s">
        <v>8417</v>
      </c>
      <c r="AQ442" t="s">
        <v>74</v>
      </c>
      <c r="AR442" t="s">
        <v>8418</v>
      </c>
      <c r="AS442" t="s">
        <v>8419</v>
      </c>
      <c r="AT442" t="s">
        <v>8316</v>
      </c>
      <c r="AU442">
        <v>2013</v>
      </c>
      <c r="AV442">
        <v>371</v>
      </c>
      <c r="AW442">
        <v>1991</v>
      </c>
      <c r="AX442" t="s">
        <v>74</v>
      </c>
      <c r="AY442" t="s">
        <v>74</v>
      </c>
      <c r="AZ442" t="s">
        <v>935</v>
      </c>
      <c r="BA442" t="s">
        <v>74</v>
      </c>
      <c r="BB442" t="s">
        <v>74</v>
      </c>
      <c r="BC442" t="s">
        <v>74</v>
      </c>
      <c r="BD442">
        <v>20110471</v>
      </c>
      <c r="BE442" t="s">
        <v>8434</v>
      </c>
      <c r="BF442" t="str">
        <f>HYPERLINK("http://dx.doi.org/10.1098/rsta.2011.0471","http://dx.doi.org/10.1098/rsta.2011.0471")</f>
        <v>http://dx.doi.org/10.1098/rsta.2011.0471</v>
      </c>
      <c r="BG442" t="s">
        <v>74</v>
      </c>
      <c r="BH442" t="s">
        <v>74</v>
      </c>
      <c r="BI442">
        <v>16</v>
      </c>
      <c r="BJ442" t="s">
        <v>1880</v>
      </c>
      <c r="BK442" t="s">
        <v>102</v>
      </c>
      <c r="BL442" t="s">
        <v>1881</v>
      </c>
      <c r="BM442" t="s">
        <v>8421</v>
      </c>
      <c r="BN442">
        <v>23588042</v>
      </c>
      <c r="BO442" t="s">
        <v>4146</v>
      </c>
      <c r="BP442" t="s">
        <v>74</v>
      </c>
      <c r="BQ442" t="s">
        <v>74</v>
      </c>
      <c r="BR442" t="s">
        <v>105</v>
      </c>
      <c r="BS442" t="s">
        <v>8435</v>
      </c>
      <c r="BT442" t="str">
        <f>HYPERLINK("https%3A%2F%2Fwww.webofscience.com%2Fwos%2Fwoscc%2Ffull-record%2FWOS:000317575800001","View Full Record in Web of Science")</f>
        <v>View Full Record in Web of Science</v>
      </c>
    </row>
    <row r="443" spans="1:72" x14ac:dyDescent="0.15">
      <c r="A443" t="s">
        <v>72</v>
      </c>
      <c r="B443" t="s">
        <v>8436</v>
      </c>
      <c r="C443" t="s">
        <v>74</v>
      </c>
      <c r="D443" t="s">
        <v>74</v>
      </c>
      <c r="E443" t="s">
        <v>74</v>
      </c>
      <c r="F443" t="s">
        <v>8437</v>
      </c>
      <c r="G443" t="s">
        <v>74</v>
      </c>
      <c r="H443" t="s">
        <v>74</v>
      </c>
      <c r="I443" t="s">
        <v>8438</v>
      </c>
      <c r="J443" t="s">
        <v>2253</v>
      </c>
      <c r="K443" t="s">
        <v>74</v>
      </c>
      <c r="L443" t="s">
        <v>74</v>
      </c>
      <c r="M443" t="s">
        <v>78</v>
      </c>
      <c r="N443" t="s">
        <v>79</v>
      </c>
      <c r="O443" t="s">
        <v>74</v>
      </c>
      <c r="P443" t="s">
        <v>74</v>
      </c>
      <c r="Q443" t="s">
        <v>74</v>
      </c>
      <c r="R443" t="s">
        <v>74</v>
      </c>
      <c r="S443" t="s">
        <v>74</v>
      </c>
      <c r="T443" t="s">
        <v>74</v>
      </c>
      <c r="U443" t="s">
        <v>8439</v>
      </c>
      <c r="V443" t="s">
        <v>8440</v>
      </c>
      <c r="W443" t="s">
        <v>8441</v>
      </c>
      <c r="X443" t="s">
        <v>8442</v>
      </c>
      <c r="Y443" t="s">
        <v>8443</v>
      </c>
      <c r="Z443" t="s">
        <v>8444</v>
      </c>
      <c r="AA443" t="s">
        <v>8445</v>
      </c>
      <c r="AB443" t="s">
        <v>8446</v>
      </c>
      <c r="AC443" t="s">
        <v>8447</v>
      </c>
      <c r="AD443" t="s">
        <v>8448</v>
      </c>
      <c r="AE443" t="s">
        <v>8449</v>
      </c>
      <c r="AF443" t="s">
        <v>74</v>
      </c>
      <c r="AG443">
        <v>67</v>
      </c>
      <c r="AH443">
        <v>129</v>
      </c>
      <c r="AI443">
        <v>146</v>
      </c>
      <c r="AJ443">
        <v>4</v>
      </c>
      <c r="AK443">
        <v>165</v>
      </c>
      <c r="AL443" t="s">
        <v>2266</v>
      </c>
      <c r="AM443" t="s">
        <v>93</v>
      </c>
      <c r="AN443" t="s">
        <v>2267</v>
      </c>
      <c r="AO443" t="s">
        <v>2268</v>
      </c>
      <c r="AP443" t="s">
        <v>74</v>
      </c>
      <c r="AQ443" t="s">
        <v>74</v>
      </c>
      <c r="AR443" t="s">
        <v>2269</v>
      </c>
      <c r="AS443" t="s">
        <v>2270</v>
      </c>
      <c r="AT443" t="s">
        <v>8316</v>
      </c>
      <c r="AU443">
        <v>2013</v>
      </c>
      <c r="AV443">
        <v>110</v>
      </c>
      <c r="AW443">
        <v>22</v>
      </c>
      <c r="AX443" t="s">
        <v>74</v>
      </c>
      <c r="AY443" t="s">
        <v>74</v>
      </c>
      <c r="AZ443" t="s">
        <v>74</v>
      </c>
      <c r="BA443" t="s">
        <v>74</v>
      </c>
      <c r="BB443">
        <v>8990</v>
      </c>
      <c r="BC443">
        <v>8995</v>
      </c>
      <c r="BD443" t="s">
        <v>74</v>
      </c>
      <c r="BE443" t="s">
        <v>8450</v>
      </c>
      <c r="BF443" t="str">
        <f>HYPERLINK("http://dx.doi.org/10.1073/pnas.1300643110","http://dx.doi.org/10.1073/pnas.1300643110")</f>
        <v>http://dx.doi.org/10.1073/pnas.1300643110</v>
      </c>
      <c r="BG443" t="s">
        <v>74</v>
      </c>
      <c r="BH443" t="s">
        <v>74</v>
      </c>
      <c r="BI443">
        <v>6</v>
      </c>
      <c r="BJ443" t="s">
        <v>1880</v>
      </c>
      <c r="BK443" t="s">
        <v>102</v>
      </c>
      <c r="BL443" t="s">
        <v>1881</v>
      </c>
      <c r="BM443" t="s">
        <v>8451</v>
      </c>
      <c r="BN443">
        <v>23671121</v>
      </c>
      <c r="BO443" t="s">
        <v>1589</v>
      </c>
      <c r="BP443" t="s">
        <v>74</v>
      </c>
      <c r="BQ443" t="s">
        <v>74</v>
      </c>
      <c r="BR443" t="s">
        <v>105</v>
      </c>
      <c r="BS443" t="s">
        <v>8452</v>
      </c>
      <c r="BT443" t="str">
        <f>HYPERLINK("https%3A%2F%2Fwww.webofscience.com%2Fwos%2Fwoscc%2Ffull-record%2FWOS:000320500000062","View Full Record in Web of Science")</f>
        <v>View Full Record in Web of Science</v>
      </c>
    </row>
    <row r="444" spans="1:72" x14ac:dyDescent="0.15">
      <c r="A444" t="s">
        <v>72</v>
      </c>
      <c r="B444" t="s">
        <v>8453</v>
      </c>
      <c r="C444" t="s">
        <v>74</v>
      </c>
      <c r="D444" t="s">
        <v>74</v>
      </c>
      <c r="E444" t="s">
        <v>74</v>
      </c>
      <c r="F444" t="s">
        <v>8454</v>
      </c>
      <c r="G444" t="s">
        <v>74</v>
      </c>
      <c r="H444" t="s">
        <v>74</v>
      </c>
      <c r="I444" t="s">
        <v>8455</v>
      </c>
      <c r="J444" t="s">
        <v>2016</v>
      </c>
      <c r="K444" t="s">
        <v>74</v>
      </c>
      <c r="L444" t="s">
        <v>74</v>
      </c>
      <c r="M444" t="s">
        <v>78</v>
      </c>
      <c r="N444" t="s">
        <v>79</v>
      </c>
      <c r="O444" t="s">
        <v>74</v>
      </c>
      <c r="P444" t="s">
        <v>74</v>
      </c>
      <c r="Q444" t="s">
        <v>74</v>
      </c>
      <c r="R444" t="s">
        <v>74</v>
      </c>
      <c r="S444" t="s">
        <v>74</v>
      </c>
      <c r="T444" t="s">
        <v>8456</v>
      </c>
      <c r="U444" t="s">
        <v>8457</v>
      </c>
      <c r="V444" t="s">
        <v>8458</v>
      </c>
      <c r="W444" t="s">
        <v>8459</v>
      </c>
      <c r="X444" t="s">
        <v>8460</v>
      </c>
      <c r="Y444" t="s">
        <v>8461</v>
      </c>
      <c r="Z444" t="s">
        <v>8462</v>
      </c>
      <c r="AA444" t="s">
        <v>8463</v>
      </c>
      <c r="AB444" t="s">
        <v>74</v>
      </c>
      <c r="AC444" t="s">
        <v>8464</v>
      </c>
      <c r="AD444" t="s">
        <v>8465</v>
      </c>
      <c r="AE444" t="s">
        <v>8466</v>
      </c>
      <c r="AF444" t="s">
        <v>74</v>
      </c>
      <c r="AG444">
        <v>41</v>
      </c>
      <c r="AH444">
        <v>24</v>
      </c>
      <c r="AI444">
        <v>27</v>
      </c>
      <c r="AJ444">
        <v>2</v>
      </c>
      <c r="AK444">
        <v>14</v>
      </c>
      <c r="AL444" t="s">
        <v>92</v>
      </c>
      <c r="AM444" t="s">
        <v>93</v>
      </c>
      <c r="AN444" t="s">
        <v>94</v>
      </c>
      <c r="AO444" t="s">
        <v>2029</v>
      </c>
      <c r="AP444" t="s">
        <v>2030</v>
      </c>
      <c r="AQ444" t="s">
        <v>74</v>
      </c>
      <c r="AR444" t="s">
        <v>2031</v>
      </c>
      <c r="AS444" t="s">
        <v>2032</v>
      </c>
      <c r="AT444" t="s">
        <v>8467</v>
      </c>
      <c r="AU444">
        <v>2013</v>
      </c>
      <c r="AV444">
        <v>118</v>
      </c>
      <c r="AW444">
        <v>10</v>
      </c>
      <c r="AX444" t="s">
        <v>74</v>
      </c>
      <c r="AY444" t="s">
        <v>74</v>
      </c>
      <c r="AZ444" t="s">
        <v>74</v>
      </c>
      <c r="BA444" t="s">
        <v>74</v>
      </c>
      <c r="BB444">
        <v>4194</v>
      </c>
      <c r="BC444">
        <v>4204</v>
      </c>
      <c r="BD444" t="s">
        <v>74</v>
      </c>
      <c r="BE444" t="s">
        <v>8468</v>
      </c>
      <c r="BF444" t="str">
        <f>HYPERLINK("http://dx.doi.org/10.1002/jgrd.50336","http://dx.doi.org/10.1002/jgrd.50336")</f>
        <v>http://dx.doi.org/10.1002/jgrd.50336</v>
      </c>
      <c r="BG444" t="s">
        <v>74</v>
      </c>
      <c r="BH444" t="s">
        <v>74</v>
      </c>
      <c r="BI444">
        <v>11</v>
      </c>
      <c r="BJ444" t="s">
        <v>305</v>
      </c>
      <c r="BK444" t="s">
        <v>102</v>
      </c>
      <c r="BL444" t="s">
        <v>305</v>
      </c>
      <c r="BM444" t="s">
        <v>8469</v>
      </c>
      <c r="BN444" t="s">
        <v>74</v>
      </c>
      <c r="BO444" t="s">
        <v>1589</v>
      </c>
      <c r="BP444" t="s">
        <v>74</v>
      </c>
      <c r="BQ444" t="s">
        <v>74</v>
      </c>
      <c r="BR444" t="s">
        <v>105</v>
      </c>
      <c r="BS444" t="s">
        <v>8470</v>
      </c>
      <c r="BT444" t="str">
        <f>HYPERLINK("https%3A%2F%2Fwww.webofscience.com%2Fwos%2Fwoscc%2Ffull-record%2FWOS:000325272000019","View Full Record in Web of Science")</f>
        <v>View Full Record in Web of Science</v>
      </c>
    </row>
    <row r="445" spans="1:72" x14ac:dyDescent="0.15">
      <c r="A445" t="s">
        <v>72</v>
      </c>
      <c r="B445" t="s">
        <v>8471</v>
      </c>
      <c r="C445" t="s">
        <v>74</v>
      </c>
      <c r="D445" t="s">
        <v>74</v>
      </c>
      <c r="E445" t="s">
        <v>74</v>
      </c>
      <c r="F445" t="s">
        <v>8472</v>
      </c>
      <c r="G445" t="s">
        <v>74</v>
      </c>
      <c r="H445" t="s">
        <v>74</v>
      </c>
      <c r="I445" t="s">
        <v>8473</v>
      </c>
      <c r="J445" t="s">
        <v>2016</v>
      </c>
      <c r="K445" t="s">
        <v>74</v>
      </c>
      <c r="L445" t="s">
        <v>74</v>
      </c>
      <c r="M445" t="s">
        <v>78</v>
      </c>
      <c r="N445" t="s">
        <v>79</v>
      </c>
      <c r="O445" t="s">
        <v>74</v>
      </c>
      <c r="P445" t="s">
        <v>74</v>
      </c>
      <c r="Q445" t="s">
        <v>74</v>
      </c>
      <c r="R445" t="s">
        <v>74</v>
      </c>
      <c r="S445" t="s">
        <v>74</v>
      </c>
      <c r="T445" t="s">
        <v>8474</v>
      </c>
      <c r="U445" t="s">
        <v>8475</v>
      </c>
      <c r="V445" t="s">
        <v>8476</v>
      </c>
      <c r="W445" t="s">
        <v>8477</v>
      </c>
      <c r="X445" t="s">
        <v>8478</v>
      </c>
      <c r="Y445" t="s">
        <v>8479</v>
      </c>
      <c r="Z445" t="s">
        <v>8480</v>
      </c>
      <c r="AA445" t="s">
        <v>8481</v>
      </c>
      <c r="AB445" t="s">
        <v>8482</v>
      </c>
      <c r="AC445" t="s">
        <v>8483</v>
      </c>
      <c r="AD445" t="s">
        <v>8484</v>
      </c>
      <c r="AE445" t="s">
        <v>8485</v>
      </c>
      <c r="AF445" t="s">
        <v>74</v>
      </c>
      <c r="AG445">
        <v>53</v>
      </c>
      <c r="AH445">
        <v>22</v>
      </c>
      <c r="AI445">
        <v>29</v>
      </c>
      <c r="AJ445">
        <v>3</v>
      </c>
      <c r="AK445">
        <v>15</v>
      </c>
      <c r="AL445" t="s">
        <v>92</v>
      </c>
      <c r="AM445" t="s">
        <v>93</v>
      </c>
      <c r="AN445" t="s">
        <v>94</v>
      </c>
      <c r="AO445" t="s">
        <v>2029</v>
      </c>
      <c r="AP445" t="s">
        <v>2030</v>
      </c>
      <c r="AQ445" t="s">
        <v>74</v>
      </c>
      <c r="AR445" t="s">
        <v>2031</v>
      </c>
      <c r="AS445" t="s">
        <v>2032</v>
      </c>
      <c r="AT445" t="s">
        <v>8467</v>
      </c>
      <c r="AU445">
        <v>2013</v>
      </c>
      <c r="AV445">
        <v>118</v>
      </c>
      <c r="AW445">
        <v>10</v>
      </c>
      <c r="AX445" t="s">
        <v>74</v>
      </c>
      <c r="AY445" t="s">
        <v>74</v>
      </c>
      <c r="AZ445" t="s">
        <v>74</v>
      </c>
      <c r="BA445" t="s">
        <v>74</v>
      </c>
      <c r="BB445">
        <v>4205</v>
      </c>
      <c r="BC445">
        <v>4216</v>
      </c>
      <c r="BD445" t="s">
        <v>74</v>
      </c>
      <c r="BE445" t="s">
        <v>8486</v>
      </c>
      <c r="BF445" t="str">
        <f>HYPERLINK("http://dx.doi.org/10.1002/jgrd.50362","http://dx.doi.org/10.1002/jgrd.50362")</f>
        <v>http://dx.doi.org/10.1002/jgrd.50362</v>
      </c>
      <c r="BG445" t="s">
        <v>74</v>
      </c>
      <c r="BH445" t="s">
        <v>74</v>
      </c>
      <c r="BI445">
        <v>12</v>
      </c>
      <c r="BJ445" t="s">
        <v>305</v>
      </c>
      <c r="BK445" t="s">
        <v>102</v>
      </c>
      <c r="BL445" t="s">
        <v>305</v>
      </c>
      <c r="BM445" t="s">
        <v>8469</v>
      </c>
      <c r="BN445" t="s">
        <v>74</v>
      </c>
      <c r="BO445" t="s">
        <v>74</v>
      </c>
      <c r="BP445" t="s">
        <v>74</v>
      </c>
      <c r="BQ445" t="s">
        <v>74</v>
      </c>
      <c r="BR445" t="s">
        <v>105</v>
      </c>
      <c r="BS445" t="s">
        <v>8487</v>
      </c>
      <c r="BT445" t="str">
        <f>HYPERLINK("https%3A%2F%2Fwww.webofscience.com%2Fwos%2Fwoscc%2Ffull-record%2FWOS:000325272000020","View Full Record in Web of Science")</f>
        <v>View Full Record in Web of Science</v>
      </c>
    </row>
    <row r="446" spans="1:72" x14ac:dyDescent="0.15">
      <c r="A446" t="s">
        <v>72</v>
      </c>
      <c r="B446" t="s">
        <v>8488</v>
      </c>
      <c r="C446" t="s">
        <v>74</v>
      </c>
      <c r="D446" t="s">
        <v>74</v>
      </c>
      <c r="E446" t="s">
        <v>74</v>
      </c>
      <c r="F446" t="s">
        <v>8489</v>
      </c>
      <c r="G446" t="s">
        <v>74</v>
      </c>
      <c r="H446" t="s">
        <v>74</v>
      </c>
      <c r="I446" t="s">
        <v>8490</v>
      </c>
      <c r="J446" t="s">
        <v>2016</v>
      </c>
      <c r="K446" t="s">
        <v>74</v>
      </c>
      <c r="L446" t="s">
        <v>74</v>
      </c>
      <c r="M446" t="s">
        <v>78</v>
      </c>
      <c r="N446" t="s">
        <v>79</v>
      </c>
      <c r="O446" t="s">
        <v>74</v>
      </c>
      <c r="P446" t="s">
        <v>74</v>
      </c>
      <c r="Q446" t="s">
        <v>74</v>
      </c>
      <c r="R446" t="s">
        <v>74</v>
      </c>
      <c r="S446" t="s">
        <v>74</v>
      </c>
      <c r="T446" t="s">
        <v>8491</v>
      </c>
      <c r="U446" t="s">
        <v>8492</v>
      </c>
      <c r="V446" t="s">
        <v>8493</v>
      </c>
      <c r="W446" t="s">
        <v>8494</v>
      </c>
      <c r="X446" t="s">
        <v>8495</v>
      </c>
      <c r="Y446" t="s">
        <v>8496</v>
      </c>
      <c r="Z446" t="s">
        <v>8497</v>
      </c>
      <c r="AA446" t="s">
        <v>8498</v>
      </c>
      <c r="AB446" t="s">
        <v>8499</v>
      </c>
      <c r="AC446" t="s">
        <v>74</v>
      </c>
      <c r="AD446" t="s">
        <v>74</v>
      </c>
      <c r="AE446" t="s">
        <v>74</v>
      </c>
      <c r="AF446" t="s">
        <v>74</v>
      </c>
      <c r="AG446">
        <v>55</v>
      </c>
      <c r="AH446">
        <v>32</v>
      </c>
      <c r="AI446">
        <v>34</v>
      </c>
      <c r="AJ446">
        <v>0</v>
      </c>
      <c r="AK446">
        <v>40</v>
      </c>
      <c r="AL446" t="s">
        <v>92</v>
      </c>
      <c r="AM446" t="s">
        <v>93</v>
      </c>
      <c r="AN446" t="s">
        <v>94</v>
      </c>
      <c r="AO446" t="s">
        <v>2029</v>
      </c>
      <c r="AP446" t="s">
        <v>2030</v>
      </c>
      <c r="AQ446" t="s">
        <v>74</v>
      </c>
      <c r="AR446" t="s">
        <v>2031</v>
      </c>
      <c r="AS446" t="s">
        <v>2032</v>
      </c>
      <c r="AT446" t="s">
        <v>8467</v>
      </c>
      <c r="AU446">
        <v>2013</v>
      </c>
      <c r="AV446">
        <v>118</v>
      </c>
      <c r="AW446">
        <v>10</v>
      </c>
      <c r="AX446" t="s">
        <v>74</v>
      </c>
      <c r="AY446" t="s">
        <v>74</v>
      </c>
      <c r="AZ446" t="s">
        <v>74</v>
      </c>
      <c r="BA446" t="s">
        <v>74</v>
      </c>
      <c r="BB446">
        <v>4788</v>
      </c>
      <c r="BC446">
        <v>4800</v>
      </c>
      <c r="BD446" t="s">
        <v>74</v>
      </c>
      <c r="BE446" t="s">
        <v>8500</v>
      </c>
      <c r="BF446" t="str">
        <f>HYPERLINK("http://dx.doi.org/10.1002/jgrd.50428","http://dx.doi.org/10.1002/jgrd.50428")</f>
        <v>http://dx.doi.org/10.1002/jgrd.50428</v>
      </c>
      <c r="BG446" t="s">
        <v>74</v>
      </c>
      <c r="BH446" t="s">
        <v>74</v>
      </c>
      <c r="BI446">
        <v>13</v>
      </c>
      <c r="BJ446" t="s">
        <v>305</v>
      </c>
      <c r="BK446" t="s">
        <v>102</v>
      </c>
      <c r="BL446" t="s">
        <v>305</v>
      </c>
      <c r="BM446" t="s">
        <v>8469</v>
      </c>
      <c r="BN446" t="s">
        <v>74</v>
      </c>
      <c r="BO446" t="s">
        <v>4895</v>
      </c>
      <c r="BP446" t="s">
        <v>74</v>
      </c>
      <c r="BQ446" t="s">
        <v>74</v>
      </c>
      <c r="BR446" t="s">
        <v>105</v>
      </c>
      <c r="BS446" t="s">
        <v>8501</v>
      </c>
      <c r="BT446" t="str">
        <f>HYPERLINK("https%3A%2F%2Fwww.webofscience.com%2Fwos%2Fwoscc%2Ffull-record%2FWOS:000325272000062","View Full Record in Web of Science")</f>
        <v>View Full Record in Web of Science</v>
      </c>
    </row>
    <row r="447" spans="1:72" x14ac:dyDescent="0.15">
      <c r="A447" t="s">
        <v>72</v>
      </c>
      <c r="B447" t="s">
        <v>8502</v>
      </c>
      <c r="C447" t="s">
        <v>74</v>
      </c>
      <c r="D447" t="s">
        <v>74</v>
      </c>
      <c r="E447" t="s">
        <v>74</v>
      </c>
      <c r="F447" t="s">
        <v>8503</v>
      </c>
      <c r="G447" t="s">
        <v>74</v>
      </c>
      <c r="H447" t="s">
        <v>74</v>
      </c>
      <c r="I447" t="s">
        <v>8504</v>
      </c>
      <c r="J447" t="s">
        <v>2016</v>
      </c>
      <c r="K447" t="s">
        <v>74</v>
      </c>
      <c r="L447" t="s">
        <v>74</v>
      </c>
      <c r="M447" t="s">
        <v>78</v>
      </c>
      <c r="N447" t="s">
        <v>79</v>
      </c>
      <c r="O447" t="s">
        <v>74</v>
      </c>
      <c r="P447" t="s">
        <v>74</v>
      </c>
      <c r="Q447" t="s">
        <v>74</v>
      </c>
      <c r="R447" t="s">
        <v>74</v>
      </c>
      <c r="S447" t="s">
        <v>74</v>
      </c>
      <c r="T447" t="s">
        <v>8505</v>
      </c>
      <c r="U447" t="s">
        <v>8506</v>
      </c>
      <c r="V447" t="s">
        <v>8507</v>
      </c>
      <c r="W447" t="s">
        <v>8508</v>
      </c>
      <c r="X447" t="s">
        <v>8509</v>
      </c>
      <c r="Y447" t="s">
        <v>8510</v>
      </c>
      <c r="Z447" t="s">
        <v>8511</v>
      </c>
      <c r="AA447" t="s">
        <v>74</v>
      </c>
      <c r="AB447" t="s">
        <v>74</v>
      </c>
      <c r="AC447" t="s">
        <v>8512</v>
      </c>
      <c r="AD447" t="s">
        <v>8513</v>
      </c>
      <c r="AE447" t="s">
        <v>8514</v>
      </c>
      <c r="AF447" t="s">
        <v>74</v>
      </c>
      <c r="AG447">
        <v>43</v>
      </c>
      <c r="AH447">
        <v>45</v>
      </c>
      <c r="AI447">
        <v>47</v>
      </c>
      <c r="AJ447">
        <v>3</v>
      </c>
      <c r="AK447">
        <v>17</v>
      </c>
      <c r="AL447" t="s">
        <v>92</v>
      </c>
      <c r="AM447" t="s">
        <v>93</v>
      </c>
      <c r="AN447" t="s">
        <v>94</v>
      </c>
      <c r="AO447" t="s">
        <v>2029</v>
      </c>
      <c r="AP447" t="s">
        <v>2030</v>
      </c>
      <c r="AQ447" t="s">
        <v>74</v>
      </c>
      <c r="AR447" t="s">
        <v>2031</v>
      </c>
      <c r="AS447" t="s">
        <v>2032</v>
      </c>
      <c r="AT447" t="s">
        <v>8467</v>
      </c>
      <c r="AU447">
        <v>2013</v>
      </c>
      <c r="AV447">
        <v>118</v>
      </c>
      <c r="AW447">
        <v>10</v>
      </c>
      <c r="AX447" t="s">
        <v>74</v>
      </c>
      <c r="AY447" t="s">
        <v>74</v>
      </c>
      <c r="AZ447" t="s">
        <v>74</v>
      </c>
      <c r="BA447" t="s">
        <v>74</v>
      </c>
      <c r="BB447">
        <v>4991</v>
      </c>
      <c r="BC447">
        <v>5002</v>
      </c>
      <c r="BD447" t="s">
        <v>74</v>
      </c>
      <c r="BE447" t="s">
        <v>8515</v>
      </c>
      <c r="BF447" t="str">
        <f>HYPERLINK("http://dx.doi.org/10.1002/jgrd.50415","http://dx.doi.org/10.1002/jgrd.50415")</f>
        <v>http://dx.doi.org/10.1002/jgrd.50415</v>
      </c>
      <c r="BG447" t="s">
        <v>74</v>
      </c>
      <c r="BH447" t="s">
        <v>74</v>
      </c>
      <c r="BI447">
        <v>12</v>
      </c>
      <c r="BJ447" t="s">
        <v>305</v>
      </c>
      <c r="BK447" t="s">
        <v>102</v>
      </c>
      <c r="BL447" t="s">
        <v>305</v>
      </c>
      <c r="BM447" t="s">
        <v>8469</v>
      </c>
      <c r="BN447" t="s">
        <v>74</v>
      </c>
      <c r="BO447" t="s">
        <v>1589</v>
      </c>
      <c r="BP447" t="s">
        <v>74</v>
      </c>
      <c r="BQ447" t="s">
        <v>74</v>
      </c>
      <c r="BR447" t="s">
        <v>105</v>
      </c>
      <c r="BS447" t="s">
        <v>8516</v>
      </c>
      <c r="BT447" t="str">
        <f>HYPERLINK("https%3A%2F%2Fwww.webofscience.com%2Fwos%2Fwoscc%2Ffull-record%2FWOS:000325272000076","View Full Record in Web of Science")</f>
        <v>View Full Record in Web of Science</v>
      </c>
    </row>
    <row r="448" spans="1:72" x14ac:dyDescent="0.15">
      <c r="A448" t="s">
        <v>72</v>
      </c>
      <c r="B448" t="s">
        <v>8517</v>
      </c>
      <c r="C448" t="s">
        <v>74</v>
      </c>
      <c r="D448" t="s">
        <v>74</v>
      </c>
      <c r="E448" t="s">
        <v>74</v>
      </c>
      <c r="F448" t="s">
        <v>8518</v>
      </c>
      <c r="G448" t="s">
        <v>74</v>
      </c>
      <c r="H448" t="s">
        <v>74</v>
      </c>
      <c r="I448" t="s">
        <v>8519</v>
      </c>
      <c r="J448" t="s">
        <v>2016</v>
      </c>
      <c r="K448" t="s">
        <v>74</v>
      </c>
      <c r="L448" t="s">
        <v>74</v>
      </c>
      <c r="M448" t="s">
        <v>78</v>
      </c>
      <c r="N448" t="s">
        <v>79</v>
      </c>
      <c r="O448" t="s">
        <v>74</v>
      </c>
      <c r="P448" t="s">
        <v>74</v>
      </c>
      <c r="Q448" t="s">
        <v>74</v>
      </c>
      <c r="R448" t="s">
        <v>74</v>
      </c>
      <c r="S448" t="s">
        <v>74</v>
      </c>
      <c r="T448" t="s">
        <v>8520</v>
      </c>
      <c r="U448" t="s">
        <v>8521</v>
      </c>
      <c r="V448" t="s">
        <v>8522</v>
      </c>
      <c r="W448" t="s">
        <v>8523</v>
      </c>
      <c r="X448" t="s">
        <v>8524</v>
      </c>
      <c r="Y448" t="s">
        <v>8525</v>
      </c>
      <c r="Z448" t="s">
        <v>8526</v>
      </c>
      <c r="AA448" t="s">
        <v>8527</v>
      </c>
      <c r="AB448" t="s">
        <v>8528</v>
      </c>
      <c r="AC448" t="s">
        <v>8529</v>
      </c>
      <c r="AD448" t="s">
        <v>8530</v>
      </c>
      <c r="AE448" t="s">
        <v>8531</v>
      </c>
      <c r="AF448" t="s">
        <v>74</v>
      </c>
      <c r="AG448">
        <v>70</v>
      </c>
      <c r="AH448">
        <v>10</v>
      </c>
      <c r="AI448">
        <v>10</v>
      </c>
      <c r="AJ448">
        <v>0</v>
      </c>
      <c r="AK448">
        <v>14</v>
      </c>
      <c r="AL448" t="s">
        <v>92</v>
      </c>
      <c r="AM448" t="s">
        <v>93</v>
      </c>
      <c r="AN448" t="s">
        <v>94</v>
      </c>
      <c r="AO448" t="s">
        <v>2029</v>
      </c>
      <c r="AP448" t="s">
        <v>2030</v>
      </c>
      <c r="AQ448" t="s">
        <v>74</v>
      </c>
      <c r="AR448" t="s">
        <v>2031</v>
      </c>
      <c r="AS448" t="s">
        <v>2032</v>
      </c>
      <c r="AT448" t="s">
        <v>8467</v>
      </c>
      <c r="AU448">
        <v>2013</v>
      </c>
      <c r="AV448">
        <v>118</v>
      </c>
      <c r="AW448">
        <v>10</v>
      </c>
      <c r="AX448" t="s">
        <v>74</v>
      </c>
      <c r="AY448" t="s">
        <v>74</v>
      </c>
      <c r="AZ448" t="s">
        <v>74</v>
      </c>
      <c r="BA448" t="s">
        <v>74</v>
      </c>
      <c r="BB448">
        <v>4476</v>
      </c>
      <c r="BC448">
        <v>4493</v>
      </c>
      <c r="BD448" t="s">
        <v>74</v>
      </c>
      <c r="BE448" t="s">
        <v>8532</v>
      </c>
      <c r="BF448" t="str">
        <f>HYPERLINK("http://dx.doi.org/10.1002/jgrd.50374","http://dx.doi.org/10.1002/jgrd.50374")</f>
        <v>http://dx.doi.org/10.1002/jgrd.50374</v>
      </c>
      <c r="BG448" t="s">
        <v>74</v>
      </c>
      <c r="BH448" t="s">
        <v>74</v>
      </c>
      <c r="BI448">
        <v>18</v>
      </c>
      <c r="BJ448" t="s">
        <v>305</v>
      </c>
      <c r="BK448" t="s">
        <v>102</v>
      </c>
      <c r="BL448" t="s">
        <v>305</v>
      </c>
      <c r="BM448" t="s">
        <v>8469</v>
      </c>
      <c r="BN448" t="s">
        <v>74</v>
      </c>
      <c r="BO448" t="s">
        <v>2609</v>
      </c>
      <c r="BP448" t="s">
        <v>74</v>
      </c>
      <c r="BQ448" t="s">
        <v>74</v>
      </c>
      <c r="BR448" t="s">
        <v>105</v>
      </c>
      <c r="BS448" t="s">
        <v>8533</v>
      </c>
      <c r="BT448" t="str">
        <f>HYPERLINK("https%3A%2F%2Fwww.webofscience.com%2Fwos%2Fwoscc%2Ffull-record%2FWOS:000325272000041","View Full Record in Web of Science")</f>
        <v>View Full Record in Web of Science</v>
      </c>
    </row>
    <row r="449" spans="1:72" x14ac:dyDescent="0.15">
      <c r="A449" t="s">
        <v>72</v>
      </c>
      <c r="B449" t="s">
        <v>8534</v>
      </c>
      <c r="C449" t="s">
        <v>74</v>
      </c>
      <c r="D449" t="s">
        <v>74</v>
      </c>
      <c r="E449" t="s">
        <v>74</v>
      </c>
      <c r="F449" t="s">
        <v>8535</v>
      </c>
      <c r="G449" t="s">
        <v>74</v>
      </c>
      <c r="H449" t="s">
        <v>74</v>
      </c>
      <c r="I449" t="s">
        <v>8536</v>
      </c>
      <c r="J449" t="s">
        <v>8537</v>
      </c>
      <c r="K449" t="s">
        <v>74</v>
      </c>
      <c r="L449" t="s">
        <v>74</v>
      </c>
      <c r="M449" t="s">
        <v>78</v>
      </c>
      <c r="N449" t="s">
        <v>79</v>
      </c>
      <c r="O449" t="s">
        <v>74</v>
      </c>
      <c r="P449" t="s">
        <v>74</v>
      </c>
      <c r="Q449" t="s">
        <v>74</v>
      </c>
      <c r="R449" t="s">
        <v>74</v>
      </c>
      <c r="S449" t="s">
        <v>74</v>
      </c>
      <c r="T449" t="s">
        <v>8538</v>
      </c>
      <c r="U449" t="s">
        <v>8539</v>
      </c>
      <c r="V449" t="s">
        <v>8540</v>
      </c>
      <c r="W449" t="s">
        <v>8541</v>
      </c>
      <c r="X449" t="s">
        <v>8542</v>
      </c>
      <c r="Y449" t="s">
        <v>8543</v>
      </c>
      <c r="Z449" t="s">
        <v>8544</v>
      </c>
      <c r="AA449" t="s">
        <v>74</v>
      </c>
      <c r="AB449" t="s">
        <v>8545</v>
      </c>
      <c r="AC449" t="s">
        <v>8546</v>
      </c>
      <c r="AD449" t="s">
        <v>8546</v>
      </c>
      <c r="AE449" t="s">
        <v>8547</v>
      </c>
      <c r="AF449" t="s">
        <v>74</v>
      </c>
      <c r="AG449">
        <v>32</v>
      </c>
      <c r="AH449">
        <v>2</v>
      </c>
      <c r="AI449">
        <v>2</v>
      </c>
      <c r="AJ449">
        <v>0</v>
      </c>
      <c r="AK449">
        <v>10</v>
      </c>
      <c r="AL449" t="s">
        <v>8548</v>
      </c>
      <c r="AM449" t="s">
        <v>8549</v>
      </c>
      <c r="AN449" t="s">
        <v>8550</v>
      </c>
      <c r="AO449" t="s">
        <v>8551</v>
      </c>
      <c r="AP449" t="s">
        <v>74</v>
      </c>
      <c r="AQ449" t="s">
        <v>74</v>
      </c>
      <c r="AR449" t="s">
        <v>8552</v>
      </c>
      <c r="AS449" t="s">
        <v>8553</v>
      </c>
      <c r="AT449" t="s">
        <v>8554</v>
      </c>
      <c r="AU449">
        <v>2013</v>
      </c>
      <c r="AV449">
        <v>104</v>
      </c>
      <c r="AW449">
        <v>10</v>
      </c>
      <c r="AX449" t="s">
        <v>74</v>
      </c>
      <c r="AY449" t="s">
        <v>74</v>
      </c>
      <c r="AZ449" t="s">
        <v>74</v>
      </c>
      <c r="BA449" t="s">
        <v>74</v>
      </c>
      <c r="BB449">
        <v>1300</v>
      </c>
      <c r="BC449">
        <v>1307</v>
      </c>
      <c r="BD449" t="s">
        <v>74</v>
      </c>
      <c r="BE449" t="s">
        <v>74</v>
      </c>
      <c r="BF449" t="s">
        <v>74</v>
      </c>
      <c r="BG449" t="s">
        <v>74</v>
      </c>
      <c r="BH449" t="s">
        <v>74</v>
      </c>
      <c r="BI449">
        <v>8</v>
      </c>
      <c r="BJ449" t="s">
        <v>1880</v>
      </c>
      <c r="BK449" t="s">
        <v>102</v>
      </c>
      <c r="BL449" t="s">
        <v>1881</v>
      </c>
      <c r="BM449" t="s">
        <v>8555</v>
      </c>
      <c r="BN449" t="s">
        <v>74</v>
      </c>
      <c r="BO449" t="s">
        <v>74</v>
      </c>
      <c r="BP449" t="s">
        <v>74</v>
      </c>
      <c r="BQ449" t="s">
        <v>74</v>
      </c>
      <c r="BR449" t="s">
        <v>105</v>
      </c>
      <c r="BS449" t="s">
        <v>8556</v>
      </c>
      <c r="BT449" t="str">
        <f>HYPERLINK("https%3A%2F%2Fwww.webofscience.com%2Fwos%2Fwoscc%2Ffull-record%2FWOS:000319955600016","View Full Record in Web of Science")</f>
        <v>View Full Record in Web of Science</v>
      </c>
    </row>
    <row r="450" spans="1:72" x14ac:dyDescent="0.15">
      <c r="A450" t="s">
        <v>72</v>
      </c>
      <c r="B450" t="s">
        <v>8557</v>
      </c>
      <c r="C450" t="s">
        <v>74</v>
      </c>
      <c r="D450" t="s">
        <v>74</v>
      </c>
      <c r="E450" t="s">
        <v>74</v>
      </c>
      <c r="F450" t="s">
        <v>8558</v>
      </c>
      <c r="G450" t="s">
        <v>74</v>
      </c>
      <c r="H450" t="s">
        <v>74</v>
      </c>
      <c r="I450" t="s">
        <v>8559</v>
      </c>
      <c r="J450" t="s">
        <v>8560</v>
      </c>
      <c r="K450" t="s">
        <v>74</v>
      </c>
      <c r="L450" t="s">
        <v>74</v>
      </c>
      <c r="M450" t="s">
        <v>78</v>
      </c>
      <c r="N450" t="s">
        <v>79</v>
      </c>
      <c r="O450" t="s">
        <v>74</v>
      </c>
      <c r="P450" t="s">
        <v>74</v>
      </c>
      <c r="Q450" t="s">
        <v>74</v>
      </c>
      <c r="R450" t="s">
        <v>74</v>
      </c>
      <c r="S450" t="s">
        <v>74</v>
      </c>
      <c r="T450" t="s">
        <v>8561</v>
      </c>
      <c r="U450" t="s">
        <v>8562</v>
      </c>
      <c r="V450" t="s">
        <v>8563</v>
      </c>
      <c r="W450" t="s">
        <v>8564</v>
      </c>
      <c r="X450" t="s">
        <v>8565</v>
      </c>
      <c r="Y450" t="s">
        <v>8566</v>
      </c>
      <c r="Z450" t="s">
        <v>8567</v>
      </c>
      <c r="AA450" t="s">
        <v>74</v>
      </c>
      <c r="AB450" t="s">
        <v>8568</v>
      </c>
      <c r="AC450" t="s">
        <v>8569</v>
      </c>
      <c r="AD450" t="s">
        <v>8570</v>
      </c>
      <c r="AE450" t="s">
        <v>8571</v>
      </c>
      <c r="AF450" t="s">
        <v>74</v>
      </c>
      <c r="AG450">
        <v>30</v>
      </c>
      <c r="AH450">
        <v>24</v>
      </c>
      <c r="AI450">
        <v>31</v>
      </c>
      <c r="AJ450">
        <v>2</v>
      </c>
      <c r="AK450">
        <v>34</v>
      </c>
      <c r="AL450" t="s">
        <v>195</v>
      </c>
      <c r="AM450" t="s">
        <v>155</v>
      </c>
      <c r="AN450" t="s">
        <v>196</v>
      </c>
      <c r="AO450" t="s">
        <v>8572</v>
      </c>
      <c r="AP450" t="s">
        <v>8573</v>
      </c>
      <c r="AQ450" t="s">
        <v>74</v>
      </c>
      <c r="AR450" t="s">
        <v>8560</v>
      </c>
      <c r="AS450" t="s">
        <v>8574</v>
      </c>
      <c r="AT450" t="s">
        <v>8554</v>
      </c>
      <c r="AU450">
        <v>2013</v>
      </c>
      <c r="AV450">
        <v>521</v>
      </c>
      <c r="AW450">
        <v>1</v>
      </c>
      <c r="AX450" t="s">
        <v>74</v>
      </c>
      <c r="AY450" t="s">
        <v>74</v>
      </c>
      <c r="AZ450" t="s">
        <v>74</v>
      </c>
      <c r="BA450" t="s">
        <v>74</v>
      </c>
      <c r="BB450">
        <v>32</v>
      </c>
      <c r="BC450">
        <v>37</v>
      </c>
      <c r="BD450" t="s">
        <v>74</v>
      </c>
      <c r="BE450" t="s">
        <v>8575</v>
      </c>
      <c r="BF450" t="str">
        <f>HYPERLINK("http://dx.doi.org/10.1016/j.gene.2013.03.048","http://dx.doi.org/10.1016/j.gene.2013.03.048")</f>
        <v>http://dx.doi.org/10.1016/j.gene.2013.03.048</v>
      </c>
      <c r="BG450" t="s">
        <v>74</v>
      </c>
      <c r="BH450" t="s">
        <v>74</v>
      </c>
      <c r="BI450">
        <v>6</v>
      </c>
      <c r="BJ450" t="s">
        <v>536</v>
      </c>
      <c r="BK450" t="s">
        <v>102</v>
      </c>
      <c r="BL450" t="s">
        <v>536</v>
      </c>
      <c r="BM450" t="s">
        <v>8576</v>
      </c>
      <c r="BN450">
        <v>23528224</v>
      </c>
      <c r="BO450" t="s">
        <v>74</v>
      </c>
      <c r="BP450" t="s">
        <v>74</v>
      </c>
      <c r="BQ450" t="s">
        <v>74</v>
      </c>
      <c r="BR450" t="s">
        <v>105</v>
      </c>
      <c r="BS450" t="s">
        <v>8577</v>
      </c>
      <c r="BT450" t="str">
        <f>HYPERLINK("https%3A%2F%2Fwww.webofscience.com%2Fwos%2Fwoscc%2Ffull-record%2FWOS:000319032500004","View Full Record in Web of Science")</f>
        <v>View Full Record in Web of Science</v>
      </c>
    </row>
    <row r="451" spans="1:72" x14ac:dyDescent="0.15">
      <c r="A451" t="s">
        <v>72</v>
      </c>
      <c r="B451" t="s">
        <v>8578</v>
      </c>
      <c r="C451" t="s">
        <v>74</v>
      </c>
      <c r="D451" t="s">
        <v>74</v>
      </c>
      <c r="E451" t="s">
        <v>74</v>
      </c>
      <c r="F451" t="s">
        <v>8579</v>
      </c>
      <c r="G451" t="s">
        <v>74</v>
      </c>
      <c r="H451" t="s">
        <v>74</v>
      </c>
      <c r="I451" t="s">
        <v>8580</v>
      </c>
      <c r="J451" t="s">
        <v>8581</v>
      </c>
      <c r="K451" t="s">
        <v>74</v>
      </c>
      <c r="L451" t="s">
        <v>74</v>
      </c>
      <c r="M451" t="s">
        <v>78</v>
      </c>
      <c r="N451" t="s">
        <v>79</v>
      </c>
      <c r="O451" t="s">
        <v>74</v>
      </c>
      <c r="P451" t="s">
        <v>74</v>
      </c>
      <c r="Q451" t="s">
        <v>74</v>
      </c>
      <c r="R451" t="s">
        <v>74</v>
      </c>
      <c r="S451" t="s">
        <v>74</v>
      </c>
      <c r="T451" t="s">
        <v>8582</v>
      </c>
      <c r="U451" t="s">
        <v>8583</v>
      </c>
      <c r="V451" t="s">
        <v>8584</v>
      </c>
      <c r="W451" t="s">
        <v>8585</v>
      </c>
      <c r="X451" t="s">
        <v>8586</v>
      </c>
      <c r="Y451" t="s">
        <v>8587</v>
      </c>
      <c r="Z451" t="s">
        <v>8588</v>
      </c>
      <c r="AA451" t="s">
        <v>8589</v>
      </c>
      <c r="AB451" t="s">
        <v>8590</v>
      </c>
      <c r="AC451" t="s">
        <v>8591</v>
      </c>
      <c r="AD451" t="s">
        <v>8592</v>
      </c>
      <c r="AE451" t="s">
        <v>8593</v>
      </c>
      <c r="AF451" t="s">
        <v>74</v>
      </c>
      <c r="AG451">
        <v>91</v>
      </c>
      <c r="AH451">
        <v>13</v>
      </c>
      <c r="AI451">
        <v>14</v>
      </c>
      <c r="AJ451">
        <v>0</v>
      </c>
      <c r="AK451">
        <v>21</v>
      </c>
      <c r="AL451" t="s">
        <v>195</v>
      </c>
      <c r="AM451" t="s">
        <v>155</v>
      </c>
      <c r="AN451" t="s">
        <v>196</v>
      </c>
      <c r="AO451" t="s">
        <v>8594</v>
      </c>
      <c r="AP451" t="s">
        <v>8595</v>
      </c>
      <c r="AQ451" t="s">
        <v>74</v>
      </c>
      <c r="AR451" t="s">
        <v>8581</v>
      </c>
      <c r="AS451" t="s">
        <v>8596</v>
      </c>
      <c r="AT451" t="s">
        <v>8597</v>
      </c>
      <c r="AU451">
        <v>2013</v>
      </c>
      <c r="AV451">
        <v>594</v>
      </c>
      <c r="AW451" t="s">
        <v>74</v>
      </c>
      <c r="AX451" t="s">
        <v>74</v>
      </c>
      <c r="AY451" t="s">
        <v>74</v>
      </c>
      <c r="AZ451" t="s">
        <v>74</v>
      </c>
      <c r="BA451" t="s">
        <v>74</v>
      </c>
      <c r="BB451">
        <v>80</v>
      </c>
      <c r="BC451">
        <v>90</v>
      </c>
      <c r="BD451" t="s">
        <v>74</v>
      </c>
      <c r="BE451" t="s">
        <v>8598</v>
      </c>
      <c r="BF451" t="str">
        <f>HYPERLINK("http://dx.doi.org/10.1016/j.tecto.2013.03.017","http://dx.doi.org/10.1016/j.tecto.2013.03.017")</f>
        <v>http://dx.doi.org/10.1016/j.tecto.2013.03.017</v>
      </c>
      <c r="BG451" t="s">
        <v>74</v>
      </c>
      <c r="BH451" t="s">
        <v>74</v>
      </c>
      <c r="BI451">
        <v>11</v>
      </c>
      <c r="BJ451" t="s">
        <v>766</v>
      </c>
      <c r="BK451" t="s">
        <v>102</v>
      </c>
      <c r="BL451" t="s">
        <v>766</v>
      </c>
      <c r="BM451" t="s">
        <v>8599</v>
      </c>
      <c r="BN451" t="s">
        <v>74</v>
      </c>
      <c r="BO451" t="s">
        <v>74</v>
      </c>
      <c r="BP451" t="s">
        <v>74</v>
      </c>
      <c r="BQ451" t="s">
        <v>74</v>
      </c>
      <c r="BR451" t="s">
        <v>105</v>
      </c>
      <c r="BS451" t="s">
        <v>8600</v>
      </c>
      <c r="BT451" t="str">
        <f>HYPERLINK("https%3A%2F%2Fwww.webofscience.com%2Fwos%2Fwoscc%2Ffull-record%2FWOS:000319791100006","View Full Record in Web of Science")</f>
        <v>View Full Record in Web of Science</v>
      </c>
    </row>
    <row r="452" spans="1:72" x14ac:dyDescent="0.15">
      <c r="A452" t="s">
        <v>72</v>
      </c>
      <c r="B452" t="s">
        <v>8601</v>
      </c>
      <c r="C452" t="s">
        <v>74</v>
      </c>
      <c r="D452" t="s">
        <v>74</v>
      </c>
      <c r="E452" t="s">
        <v>74</v>
      </c>
      <c r="F452" t="s">
        <v>8602</v>
      </c>
      <c r="G452" t="s">
        <v>74</v>
      </c>
      <c r="H452" t="s">
        <v>74</v>
      </c>
      <c r="I452" t="s">
        <v>8603</v>
      </c>
      <c r="J452" t="s">
        <v>2343</v>
      </c>
      <c r="K452" t="s">
        <v>74</v>
      </c>
      <c r="L452" t="s">
        <v>74</v>
      </c>
      <c r="M452" t="s">
        <v>78</v>
      </c>
      <c r="N452" t="s">
        <v>79</v>
      </c>
      <c r="O452" t="s">
        <v>74</v>
      </c>
      <c r="P452" t="s">
        <v>74</v>
      </c>
      <c r="Q452" t="s">
        <v>74</v>
      </c>
      <c r="R452" t="s">
        <v>74</v>
      </c>
      <c r="S452" t="s">
        <v>74</v>
      </c>
      <c r="T452" t="s">
        <v>74</v>
      </c>
      <c r="U452" t="s">
        <v>8604</v>
      </c>
      <c r="V452" t="s">
        <v>8605</v>
      </c>
      <c r="W452" t="s">
        <v>8606</v>
      </c>
      <c r="X452" t="s">
        <v>8607</v>
      </c>
      <c r="Y452" t="s">
        <v>8608</v>
      </c>
      <c r="Z452" t="s">
        <v>8609</v>
      </c>
      <c r="AA452" t="s">
        <v>8610</v>
      </c>
      <c r="AB452" t="s">
        <v>8611</v>
      </c>
      <c r="AC452" t="s">
        <v>8612</v>
      </c>
      <c r="AD452" t="s">
        <v>8612</v>
      </c>
      <c r="AE452" t="s">
        <v>8613</v>
      </c>
      <c r="AF452" t="s">
        <v>74</v>
      </c>
      <c r="AG452">
        <v>59</v>
      </c>
      <c r="AH452">
        <v>30</v>
      </c>
      <c r="AI452">
        <v>33</v>
      </c>
      <c r="AJ452">
        <v>0</v>
      </c>
      <c r="AK452">
        <v>51</v>
      </c>
      <c r="AL452" t="s">
        <v>2355</v>
      </c>
      <c r="AM452" t="s">
        <v>2356</v>
      </c>
      <c r="AN452" t="s">
        <v>2357</v>
      </c>
      <c r="AO452" t="s">
        <v>2358</v>
      </c>
      <c r="AP452" t="s">
        <v>74</v>
      </c>
      <c r="AQ452" t="s">
        <v>74</v>
      </c>
      <c r="AR452" t="s">
        <v>2343</v>
      </c>
      <c r="AS452" t="s">
        <v>2359</v>
      </c>
      <c r="AT452" t="s">
        <v>8614</v>
      </c>
      <c r="AU452">
        <v>2013</v>
      </c>
      <c r="AV452">
        <v>8</v>
      </c>
      <c r="AW452">
        <v>5</v>
      </c>
      <c r="AX452" t="s">
        <v>74</v>
      </c>
      <c r="AY452" t="s">
        <v>74</v>
      </c>
      <c r="AZ452" t="s">
        <v>74</v>
      </c>
      <c r="BA452" t="s">
        <v>74</v>
      </c>
      <c r="BB452" t="s">
        <v>74</v>
      </c>
      <c r="BC452" t="s">
        <v>74</v>
      </c>
      <c r="BD452" t="s">
        <v>8615</v>
      </c>
      <c r="BE452" t="s">
        <v>8616</v>
      </c>
      <c r="BF452" t="str">
        <f>HYPERLINK("http://dx.doi.org/10.1371/journal.pone.0063742","http://dx.doi.org/10.1371/journal.pone.0063742")</f>
        <v>http://dx.doi.org/10.1371/journal.pone.0063742</v>
      </c>
      <c r="BG452" t="s">
        <v>74</v>
      </c>
      <c r="BH452" t="s">
        <v>74</v>
      </c>
      <c r="BI452">
        <v>9</v>
      </c>
      <c r="BJ452" t="s">
        <v>1880</v>
      </c>
      <c r="BK452" t="s">
        <v>102</v>
      </c>
      <c r="BL452" t="s">
        <v>1881</v>
      </c>
      <c r="BM452" t="s">
        <v>8617</v>
      </c>
      <c r="BN452">
        <v>23717471</v>
      </c>
      <c r="BO452" t="s">
        <v>5003</v>
      </c>
      <c r="BP452" t="s">
        <v>74</v>
      </c>
      <c r="BQ452" t="s">
        <v>74</v>
      </c>
      <c r="BR452" t="s">
        <v>105</v>
      </c>
      <c r="BS452" t="s">
        <v>8618</v>
      </c>
      <c r="BT452" t="str">
        <f>HYPERLINK("https%3A%2F%2Fwww.webofscience.com%2Fwos%2Fwoscc%2Ffull-record%2FWOS:000320362700052","View Full Record in Web of Science")</f>
        <v>View Full Record in Web of Science</v>
      </c>
    </row>
    <row r="453" spans="1:72" x14ac:dyDescent="0.15">
      <c r="A453" t="s">
        <v>72</v>
      </c>
      <c r="B453" t="s">
        <v>8619</v>
      </c>
      <c r="C453" t="s">
        <v>74</v>
      </c>
      <c r="D453" t="s">
        <v>74</v>
      </c>
      <c r="E453" t="s">
        <v>74</v>
      </c>
      <c r="F453" t="s">
        <v>8620</v>
      </c>
      <c r="G453" t="s">
        <v>74</v>
      </c>
      <c r="H453" t="s">
        <v>74</v>
      </c>
      <c r="I453" t="s">
        <v>8621</v>
      </c>
      <c r="J453" t="s">
        <v>8622</v>
      </c>
      <c r="K453" t="s">
        <v>74</v>
      </c>
      <c r="L453" t="s">
        <v>74</v>
      </c>
      <c r="M453" t="s">
        <v>78</v>
      </c>
      <c r="N453" t="s">
        <v>1459</v>
      </c>
      <c r="O453" t="s">
        <v>74</v>
      </c>
      <c r="P453" t="s">
        <v>74</v>
      </c>
      <c r="Q453" t="s">
        <v>74</v>
      </c>
      <c r="R453" t="s">
        <v>74</v>
      </c>
      <c r="S453" t="s">
        <v>74</v>
      </c>
      <c r="T453" t="s">
        <v>8623</v>
      </c>
      <c r="U453" t="s">
        <v>8624</v>
      </c>
      <c r="V453" t="s">
        <v>8625</v>
      </c>
      <c r="W453" t="s">
        <v>8626</v>
      </c>
      <c r="X453" t="s">
        <v>8627</v>
      </c>
      <c r="Y453" t="s">
        <v>8628</v>
      </c>
      <c r="Z453" t="s">
        <v>8629</v>
      </c>
      <c r="AA453" t="s">
        <v>8630</v>
      </c>
      <c r="AB453" t="s">
        <v>8631</v>
      </c>
      <c r="AC453" t="s">
        <v>8632</v>
      </c>
      <c r="AD453" t="s">
        <v>8633</v>
      </c>
      <c r="AE453" t="s">
        <v>8634</v>
      </c>
      <c r="AF453" t="s">
        <v>74</v>
      </c>
      <c r="AG453">
        <v>41</v>
      </c>
      <c r="AH453">
        <v>55</v>
      </c>
      <c r="AI453">
        <v>61</v>
      </c>
      <c r="AJ453">
        <v>3</v>
      </c>
      <c r="AK453">
        <v>128</v>
      </c>
      <c r="AL453" t="s">
        <v>2741</v>
      </c>
      <c r="AM453" t="s">
        <v>643</v>
      </c>
      <c r="AN453" t="s">
        <v>2742</v>
      </c>
      <c r="AO453" t="s">
        <v>8635</v>
      </c>
      <c r="AP453" t="s">
        <v>8636</v>
      </c>
      <c r="AQ453" t="s">
        <v>74</v>
      </c>
      <c r="AR453" t="s">
        <v>8637</v>
      </c>
      <c r="AS453" t="s">
        <v>8638</v>
      </c>
      <c r="AT453" t="s">
        <v>8614</v>
      </c>
      <c r="AU453">
        <v>2013</v>
      </c>
      <c r="AV453">
        <v>280</v>
      </c>
      <c r="AW453">
        <v>1759</v>
      </c>
      <c r="AX453" t="s">
        <v>74</v>
      </c>
      <c r="AY453" t="s">
        <v>74</v>
      </c>
      <c r="AZ453" t="s">
        <v>74</v>
      </c>
      <c r="BA453" t="s">
        <v>74</v>
      </c>
      <c r="BB453" t="s">
        <v>74</v>
      </c>
      <c r="BC453" t="s">
        <v>74</v>
      </c>
      <c r="BD453">
        <v>20130327</v>
      </c>
      <c r="BE453" t="s">
        <v>8639</v>
      </c>
      <c r="BF453" t="str">
        <f>HYPERLINK("http://dx.doi.org/10.1098/rspb.2013.0327","http://dx.doi.org/10.1098/rspb.2013.0327")</f>
        <v>http://dx.doi.org/10.1098/rspb.2013.0327</v>
      </c>
      <c r="BG453" t="s">
        <v>74</v>
      </c>
      <c r="BH453" t="s">
        <v>74</v>
      </c>
      <c r="BI453">
        <v>9</v>
      </c>
      <c r="BJ453" t="s">
        <v>5051</v>
      </c>
      <c r="BK453" t="s">
        <v>102</v>
      </c>
      <c r="BL453" t="s">
        <v>5052</v>
      </c>
      <c r="BM453" t="s">
        <v>8640</v>
      </c>
      <c r="BN453">
        <v>23516247</v>
      </c>
      <c r="BO453" t="s">
        <v>5403</v>
      </c>
      <c r="BP453" t="s">
        <v>74</v>
      </c>
      <c r="BQ453" t="s">
        <v>74</v>
      </c>
      <c r="BR453" t="s">
        <v>105</v>
      </c>
      <c r="BS453" t="s">
        <v>8641</v>
      </c>
      <c r="BT453" t="str">
        <f>HYPERLINK("https%3A%2F%2Fwww.webofscience.com%2Fwos%2Fwoscc%2Ffull-record%2FWOS:000317482100023","View Full Record in Web of Science")</f>
        <v>View Full Record in Web of Science</v>
      </c>
    </row>
    <row r="454" spans="1:72" x14ac:dyDescent="0.15">
      <c r="A454" t="s">
        <v>72</v>
      </c>
      <c r="B454" t="s">
        <v>8642</v>
      </c>
      <c r="C454" t="s">
        <v>74</v>
      </c>
      <c r="D454" t="s">
        <v>74</v>
      </c>
      <c r="E454" t="s">
        <v>74</v>
      </c>
      <c r="F454" t="s">
        <v>8643</v>
      </c>
      <c r="G454" t="s">
        <v>74</v>
      </c>
      <c r="H454" t="s">
        <v>74</v>
      </c>
      <c r="I454" t="s">
        <v>8644</v>
      </c>
      <c r="J454" t="s">
        <v>2343</v>
      </c>
      <c r="K454" t="s">
        <v>74</v>
      </c>
      <c r="L454" t="s">
        <v>74</v>
      </c>
      <c r="M454" t="s">
        <v>78</v>
      </c>
      <c r="N454" t="s">
        <v>79</v>
      </c>
      <c r="O454" t="s">
        <v>74</v>
      </c>
      <c r="P454" t="s">
        <v>74</v>
      </c>
      <c r="Q454" t="s">
        <v>74</v>
      </c>
      <c r="R454" t="s">
        <v>74</v>
      </c>
      <c r="S454" t="s">
        <v>74</v>
      </c>
      <c r="T454" t="s">
        <v>74</v>
      </c>
      <c r="U454" t="s">
        <v>8645</v>
      </c>
      <c r="V454" t="s">
        <v>8646</v>
      </c>
      <c r="W454" t="s">
        <v>8647</v>
      </c>
      <c r="X454" t="s">
        <v>8648</v>
      </c>
      <c r="Y454" t="s">
        <v>8649</v>
      </c>
      <c r="Z454" t="s">
        <v>8650</v>
      </c>
      <c r="AA454" t="s">
        <v>8651</v>
      </c>
      <c r="AB454" t="s">
        <v>8652</v>
      </c>
      <c r="AC454" t="s">
        <v>8653</v>
      </c>
      <c r="AD454" t="s">
        <v>8654</v>
      </c>
      <c r="AE454" t="s">
        <v>8655</v>
      </c>
      <c r="AF454" t="s">
        <v>74</v>
      </c>
      <c r="AG454">
        <v>75</v>
      </c>
      <c r="AH454">
        <v>78</v>
      </c>
      <c r="AI454">
        <v>79</v>
      </c>
      <c r="AJ454">
        <v>4</v>
      </c>
      <c r="AK454">
        <v>54</v>
      </c>
      <c r="AL454" t="s">
        <v>2355</v>
      </c>
      <c r="AM454" t="s">
        <v>2356</v>
      </c>
      <c r="AN454" t="s">
        <v>2357</v>
      </c>
      <c r="AO454" t="s">
        <v>2358</v>
      </c>
      <c r="AP454" t="s">
        <v>74</v>
      </c>
      <c r="AQ454" t="s">
        <v>74</v>
      </c>
      <c r="AR454" t="s">
        <v>2343</v>
      </c>
      <c r="AS454" t="s">
        <v>2359</v>
      </c>
      <c r="AT454" t="s">
        <v>8656</v>
      </c>
      <c r="AU454">
        <v>2013</v>
      </c>
      <c r="AV454">
        <v>8</v>
      </c>
      <c r="AW454">
        <v>5</v>
      </c>
      <c r="AX454" t="s">
        <v>74</v>
      </c>
      <c r="AY454" t="s">
        <v>74</v>
      </c>
      <c r="AZ454" t="s">
        <v>74</v>
      </c>
      <c r="BA454" t="s">
        <v>74</v>
      </c>
      <c r="BB454" t="s">
        <v>74</v>
      </c>
      <c r="BC454" t="s">
        <v>74</v>
      </c>
      <c r="BD454" t="s">
        <v>8657</v>
      </c>
      <c r="BE454" t="s">
        <v>8658</v>
      </c>
      <c r="BF454" t="str">
        <f>HYPERLINK("http://dx.doi.org/10.1371/journal.pone.0064756","http://dx.doi.org/10.1371/journal.pone.0064756")</f>
        <v>http://dx.doi.org/10.1371/journal.pone.0064756</v>
      </c>
      <c r="BG454" t="s">
        <v>74</v>
      </c>
      <c r="BH454" t="s">
        <v>74</v>
      </c>
      <c r="BI454">
        <v>14</v>
      </c>
      <c r="BJ454" t="s">
        <v>1880</v>
      </c>
      <c r="BK454" t="s">
        <v>102</v>
      </c>
      <c r="BL454" t="s">
        <v>1881</v>
      </c>
      <c r="BM454" t="s">
        <v>8659</v>
      </c>
      <c r="BN454">
        <v>23705008</v>
      </c>
      <c r="BO454" t="s">
        <v>8660</v>
      </c>
      <c r="BP454" t="s">
        <v>74</v>
      </c>
      <c r="BQ454" t="s">
        <v>74</v>
      </c>
      <c r="BR454" t="s">
        <v>105</v>
      </c>
      <c r="BS454" t="s">
        <v>8661</v>
      </c>
      <c r="BT454" t="str">
        <f>HYPERLINK("https%3A%2F%2Fwww.webofscience.com%2Fwos%2Fwoscc%2Ffull-record%2FWOS:000319330200162","View Full Record in Web of Science")</f>
        <v>View Full Record in Web of Science</v>
      </c>
    </row>
    <row r="455" spans="1:72" x14ac:dyDescent="0.15">
      <c r="A455" t="s">
        <v>72</v>
      </c>
      <c r="B455" t="s">
        <v>8662</v>
      </c>
      <c r="C455" t="s">
        <v>74</v>
      </c>
      <c r="D455" t="s">
        <v>74</v>
      </c>
      <c r="E455" t="s">
        <v>74</v>
      </c>
      <c r="F455" t="s">
        <v>8663</v>
      </c>
      <c r="G455" t="s">
        <v>74</v>
      </c>
      <c r="H455" t="s">
        <v>74</v>
      </c>
      <c r="I455" t="s">
        <v>8664</v>
      </c>
      <c r="J455" t="s">
        <v>8665</v>
      </c>
      <c r="K455" t="s">
        <v>74</v>
      </c>
      <c r="L455" t="s">
        <v>74</v>
      </c>
      <c r="M455" t="s">
        <v>78</v>
      </c>
      <c r="N455" t="s">
        <v>79</v>
      </c>
      <c r="O455" t="s">
        <v>74</v>
      </c>
      <c r="P455" t="s">
        <v>74</v>
      </c>
      <c r="Q455" t="s">
        <v>74</v>
      </c>
      <c r="R455" t="s">
        <v>74</v>
      </c>
      <c r="S455" t="s">
        <v>74</v>
      </c>
      <c r="T455" t="s">
        <v>8666</v>
      </c>
      <c r="U455" t="s">
        <v>8667</v>
      </c>
      <c r="V455" t="s">
        <v>8668</v>
      </c>
      <c r="W455" t="s">
        <v>8669</v>
      </c>
      <c r="X455" t="s">
        <v>8670</v>
      </c>
      <c r="Y455" t="s">
        <v>8671</v>
      </c>
      <c r="Z455" t="s">
        <v>8672</v>
      </c>
      <c r="AA455" t="s">
        <v>8673</v>
      </c>
      <c r="AB455" t="s">
        <v>8674</v>
      </c>
      <c r="AC455" t="s">
        <v>8675</v>
      </c>
      <c r="AD455" t="s">
        <v>8676</v>
      </c>
      <c r="AE455" t="s">
        <v>8677</v>
      </c>
      <c r="AF455" t="s">
        <v>74</v>
      </c>
      <c r="AG455">
        <v>20</v>
      </c>
      <c r="AH455">
        <v>133</v>
      </c>
      <c r="AI455">
        <v>167</v>
      </c>
      <c r="AJ455">
        <v>2</v>
      </c>
      <c r="AK455">
        <v>25</v>
      </c>
      <c r="AL455" t="s">
        <v>154</v>
      </c>
      <c r="AM455" t="s">
        <v>155</v>
      </c>
      <c r="AN455" t="s">
        <v>156</v>
      </c>
      <c r="AO455" t="s">
        <v>8678</v>
      </c>
      <c r="AP455" t="s">
        <v>74</v>
      </c>
      <c r="AQ455" t="s">
        <v>74</v>
      </c>
      <c r="AR455" t="s">
        <v>8679</v>
      </c>
      <c r="AS455" t="s">
        <v>8680</v>
      </c>
      <c r="AT455" t="s">
        <v>8656</v>
      </c>
      <c r="AU455">
        <v>2013</v>
      </c>
      <c r="AV455">
        <v>711</v>
      </c>
      <c r="AW455" t="s">
        <v>74</v>
      </c>
      <c r="AX455" t="s">
        <v>74</v>
      </c>
      <c r="AY455" t="s">
        <v>74</v>
      </c>
      <c r="AZ455" t="s">
        <v>74</v>
      </c>
      <c r="BA455" t="s">
        <v>74</v>
      </c>
      <c r="BB455">
        <v>73</v>
      </c>
      <c r="BC455">
        <v>89</v>
      </c>
      <c r="BD455" t="s">
        <v>74</v>
      </c>
      <c r="BE455" t="s">
        <v>8681</v>
      </c>
      <c r="BF455" t="str">
        <f>HYPERLINK("http://dx.doi.org/10.1016/j.nima.2013.01.054","http://dx.doi.org/10.1016/j.nima.2013.01.054")</f>
        <v>http://dx.doi.org/10.1016/j.nima.2013.01.054</v>
      </c>
      <c r="BG455" t="s">
        <v>74</v>
      </c>
      <c r="BH455" t="s">
        <v>74</v>
      </c>
      <c r="BI455">
        <v>17</v>
      </c>
      <c r="BJ455" t="s">
        <v>8682</v>
      </c>
      <c r="BK455" t="s">
        <v>102</v>
      </c>
      <c r="BL455" t="s">
        <v>8683</v>
      </c>
      <c r="BM455" t="s">
        <v>8684</v>
      </c>
      <c r="BN455" t="s">
        <v>74</v>
      </c>
      <c r="BO455" t="s">
        <v>8685</v>
      </c>
      <c r="BP455" t="s">
        <v>74</v>
      </c>
      <c r="BQ455" t="s">
        <v>74</v>
      </c>
      <c r="BR455" t="s">
        <v>105</v>
      </c>
      <c r="BS455" t="s">
        <v>8686</v>
      </c>
      <c r="BT455" t="str">
        <f>HYPERLINK("https%3A%2F%2Fwww.webofscience.com%2Fwos%2Fwoscc%2Ffull-record%2FWOS:000318321300010","View Full Record in Web of Science")</f>
        <v>View Full Record in Web of Science</v>
      </c>
    </row>
    <row r="456" spans="1:72" x14ac:dyDescent="0.15">
      <c r="A456" t="s">
        <v>72</v>
      </c>
      <c r="B456" t="s">
        <v>8687</v>
      </c>
      <c r="C456" t="s">
        <v>74</v>
      </c>
      <c r="D456" t="s">
        <v>74</v>
      </c>
      <c r="E456" t="s">
        <v>74</v>
      </c>
      <c r="F456" t="s">
        <v>8688</v>
      </c>
      <c r="G456" t="s">
        <v>74</v>
      </c>
      <c r="H456" t="s">
        <v>74</v>
      </c>
      <c r="I456" t="s">
        <v>8689</v>
      </c>
      <c r="J456" t="s">
        <v>2343</v>
      </c>
      <c r="K456" t="s">
        <v>74</v>
      </c>
      <c r="L456" t="s">
        <v>74</v>
      </c>
      <c r="M456" t="s">
        <v>78</v>
      </c>
      <c r="N456" t="s">
        <v>79</v>
      </c>
      <c r="O456" t="s">
        <v>74</v>
      </c>
      <c r="P456" t="s">
        <v>74</v>
      </c>
      <c r="Q456" t="s">
        <v>74</v>
      </c>
      <c r="R456" t="s">
        <v>74</v>
      </c>
      <c r="S456" t="s">
        <v>74</v>
      </c>
      <c r="T456" t="s">
        <v>74</v>
      </c>
      <c r="U456" t="s">
        <v>8690</v>
      </c>
      <c r="V456" t="s">
        <v>8691</v>
      </c>
      <c r="W456" t="s">
        <v>8692</v>
      </c>
      <c r="X456" t="s">
        <v>8693</v>
      </c>
      <c r="Y456" t="s">
        <v>8694</v>
      </c>
      <c r="Z456" t="s">
        <v>8695</v>
      </c>
      <c r="AA456" t="s">
        <v>8696</v>
      </c>
      <c r="AB456" t="s">
        <v>8697</v>
      </c>
      <c r="AC456" t="s">
        <v>8698</v>
      </c>
      <c r="AD456" t="s">
        <v>8699</v>
      </c>
      <c r="AE456" t="s">
        <v>8700</v>
      </c>
      <c r="AF456" t="s">
        <v>74</v>
      </c>
      <c r="AG456">
        <v>105</v>
      </c>
      <c r="AH456">
        <v>229</v>
      </c>
      <c r="AI456">
        <v>258</v>
      </c>
      <c r="AJ456">
        <v>8</v>
      </c>
      <c r="AK456">
        <v>204</v>
      </c>
      <c r="AL456" t="s">
        <v>2355</v>
      </c>
      <c r="AM456" t="s">
        <v>2356</v>
      </c>
      <c r="AN456" t="s">
        <v>2357</v>
      </c>
      <c r="AO456" t="s">
        <v>2358</v>
      </c>
      <c r="AP456" t="s">
        <v>74</v>
      </c>
      <c r="AQ456" t="s">
        <v>74</v>
      </c>
      <c r="AR456" t="s">
        <v>2343</v>
      </c>
      <c r="AS456" t="s">
        <v>2359</v>
      </c>
      <c r="AT456" t="s">
        <v>8656</v>
      </c>
      <c r="AU456">
        <v>2013</v>
      </c>
      <c r="AV456">
        <v>8</v>
      </c>
      <c r="AW456">
        <v>5</v>
      </c>
      <c r="AX456" t="s">
        <v>74</v>
      </c>
      <c r="AY456" t="s">
        <v>74</v>
      </c>
      <c r="AZ456" t="s">
        <v>74</v>
      </c>
      <c r="BA456" t="s">
        <v>74</v>
      </c>
      <c r="BB456" t="s">
        <v>74</v>
      </c>
      <c r="BC456" t="s">
        <v>74</v>
      </c>
      <c r="BD456" t="s">
        <v>8701</v>
      </c>
      <c r="BE456" t="s">
        <v>8702</v>
      </c>
      <c r="BF456" t="str">
        <f>HYPERLINK("http://dx.doi.org/10.1371/journal.pone.0063091","http://dx.doi.org/10.1371/journal.pone.0063091")</f>
        <v>http://dx.doi.org/10.1371/journal.pone.0063091</v>
      </c>
      <c r="BG456" t="s">
        <v>74</v>
      </c>
      <c r="BH456" t="s">
        <v>74</v>
      </c>
      <c r="BI456">
        <v>17</v>
      </c>
      <c r="BJ456" t="s">
        <v>1880</v>
      </c>
      <c r="BK456" t="s">
        <v>102</v>
      </c>
      <c r="BL456" t="s">
        <v>1881</v>
      </c>
      <c r="BM456" t="s">
        <v>8659</v>
      </c>
      <c r="BN456">
        <v>23704890</v>
      </c>
      <c r="BO456" t="s">
        <v>4189</v>
      </c>
      <c r="BP456" t="s">
        <v>74</v>
      </c>
      <c r="BQ456" t="s">
        <v>74</v>
      </c>
      <c r="BR456" t="s">
        <v>105</v>
      </c>
      <c r="BS456" t="s">
        <v>8703</v>
      </c>
      <c r="BT456" t="str">
        <f>HYPERLINK("https%3A%2F%2Fwww.webofscience.com%2Fwos%2Fwoscc%2Ffull-record%2FWOS:000319330200019","View Full Record in Web of Science")</f>
        <v>View Full Record in Web of Science</v>
      </c>
    </row>
    <row r="457" spans="1:72" x14ac:dyDescent="0.15">
      <c r="A457" t="s">
        <v>72</v>
      </c>
      <c r="B457" t="s">
        <v>8704</v>
      </c>
      <c r="C457" t="s">
        <v>74</v>
      </c>
      <c r="D457" t="s">
        <v>74</v>
      </c>
      <c r="E457" t="s">
        <v>74</v>
      </c>
      <c r="F457" t="s">
        <v>8705</v>
      </c>
      <c r="G457" t="s">
        <v>74</v>
      </c>
      <c r="H457" t="s">
        <v>74</v>
      </c>
      <c r="I457" t="s">
        <v>8706</v>
      </c>
      <c r="J457" t="s">
        <v>2101</v>
      </c>
      <c r="K457" t="s">
        <v>74</v>
      </c>
      <c r="L457" t="s">
        <v>74</v>
      </c>
      <c r="M457" t="s">
        <v>78</v>
      </c>
      <c r="N457" t="s">
        <v>5323</v>
      </c>
      <c r="O457" t="s">
        <v>74</v>
      </c>
      <c r="P457" t="s">
        <v>74</v>
      </c>
      <c r="Q457" t="s">
        <v>74</v>
      </c>
      <c r="R457" t="s">
        <v>74</v>
      </c>
      <c r="S457" t="s">
        <v>74</v>
      </c>
      <c r="T457" t="s">
        <v>74</v>
      </c>
      <c r="U457" t="s">
        <v>8707</v>
      </c>
      <c r="V457" t="s">
        <v>74</v>
      </c>
      <c r="W457" t="s">
        <v>8708</v>
      </c>
      <c r="X457" t="s">
        <v>1300</v>
      </c>
      <c r="Y457" t="s">
        <v>8709</v>
      </c>
      <c r="Z457" t="s">
        <v>74</v>
      </c>
      <c r="AA457" t="s">
        <v>8710</v>
      </c>
      <c r="AB457" t="s">
        <v>8711</v>
      </c>
      <c r="AC457" t="s">
        <v>74</v>
      </c>
      <c r="AD457" t="s">
        <v>74</v>
      </c>
      <c r="AE457" t="s">
        <v>74</v>
      </c>
      <c r="AF457" t="s">
        <v>74</v>
      </c>
      <c r="AG457">
        <v>17</v>
      </c>
      <c r="AH457">
        <v>0</v>
      </c>
      <c r="AI457">
        <v>0</v>
      </c>
      <c r="AJ457">
        <v>0</v>
      </c>
      <c r="AK457">
        <v>3</v>
      </c>
      <c r="AL457" t="s">
        <v>2112</v>
      </c>
      <c r="AM457" t="s">
        <v>2113</v>
      </c>
      <c r="AN457" t="s">
        <v>2114</v>
      </c>
      <c r="AO457" t="s">
        <v>2115</v>
      </c>
      <c r="AP457" t="s">
        <v>2116</v>
      </c>
      <c r="AQ457" t="s">
        <v>74</v>
      </c>
      <c r="AR457" t="s">
        <v>2101</v>
      </c>
      <c r="AS457" t="s">
        <v>2117</v>
      </c>
      <c r="AT457" t="s">
        <v>8712</v>
      </c>
      <c r="AU457">
        <v>2013</v>
      </c>
      <c r="AV457">
        <v>3652</v>
      </c>
      <c r="AW457">
        <v>4</v>
      </c>
      <c r="AX457" t="s">
        <v>74</v>
      </c>
      <c r="AY457" t="s">
        <v>74</v>
      </c>
      <c r="AZ457" t="s">
        <v>74</v>
      </c>
      <c r="BA457" t="s">
        <v>74</v>
      </c>
      <c r="BB457">
        <v>497</v>
      </c>
      <c r="BC457">
        <v>500</v>
      </c>
      <c r="BD457" t="s">
        <v>74</v>
      </c>
      <c r="BE457" t="s">
        <v>8713</v>
      </c>
      <c r="BF457" t="str">
        <f>HYPERLINK("http://dx.doi.org/10.11646/zootaxa.3652.4.8","http://dx.doi.org/10.11646/zootaxa.3652.4.8")</f>
        <v>http://dx.doi.org/10.11646/zootaxa.3652.4.8</v>
      </c>
      <c r="BG457" t="s">
        <v>74</v>
      </c>
      <c r="BH457" t="s">
        <v>74</v>
      </c>
      <c r="BI457">
        <v>4</v>
      </c>
      <c r="BJ457" t="s">
        <v>2120</v>
      </c>
      <c r="BK457" t="s">
        <v>102</v>
      </c>
      <c r="BL457" t="s">
        <v>2120</v>
      </c>
      <c r="BM457" t="s">
        <v>8714</v>
      </c>
      <c r="BN457">
        <v>26269850</v>
      </c>
      <c r="BO457" t="s">
        <v>2011</v>
      </c>
      <c r="BP457" t="s">
        <v>74</v>
      </c>
      <c r="BQ457" t="s">
        <v>74</v>
      </c>
      <c r="BR457" t="s">
        <v>105</v>
      </c>
      <c r="BS457" t="s">
        <v>8715</v>
      </c>
      <c r="BT457" t="str">
        <f>HYPERLINK("https%3A%2F%2Fwww.webofscience.com%2Fwos%2Fwoscc%2Ffull-record%2FWOS:000319190200008","View Full Record in Web of Science")</f>
        <v>View Full Record in Web of Science</v>
      </c>
    </row>
    <row r="458" spans="1:72" x14ac:dyDescent="0.15">
      <c r="A458" t="s">
        <v>72</v>
      </c>
      <c r="B458" t="s">
        <v>8716</v>
      </c>
      <c r="C458" t="s">
        <v>74</v>
      </c>
      <c r="D458" t="s">
        <v>74</v>
      </c>
      <c r="E458" t="s">
        <v>74</v>
      </c>
      <c r="F458" t="s">
        <v>8717</v>
      </c>
      <c r="G458" t="s">
        <v>74</v>
      </c>
      <c r="H458" t="s">
        <v>74</v>
      </c>
      <c r="I458" t="s">
        <v>8718</v>
      </c>
      <c r="J458" t="s">
        <v>2090</v>
      </c>
      <c r="K458" t="s">
        <v>74</v>
      </c>
      <c r="L458" t="s">
        <v>74</v>
      </c>
      <c r="M458" t="s">
        <v>78</v>
      </c>
      <c r="N458" t="s">
        <v>79</v>
      </c>
      <c r="O458" t="s">
        <v>74</v>
      </c>
      <c r="P458" t="s">
        <v>74</v>
      </c>
      <c r="Q458" t="s">
        <v>74</v>
      </c>
      <c r="R458" t="s">
        <v>74</v>
      </c>
      <c r="S458" t="s">
        <v>74</v>
      </c>
      <c r="T458" t="s">
        <v>74</v>
      </c>
      <c r="U458" t="s">
        <v>8719</v>
      </c>
      <c r="V458" t="s">
        <v>8720</v>
      </c>
      <c r="W458" t="s">
        <v>8721</v>
      </c>
      <c r="X458" t="s">
        <v>8722</v>
      </c>
      <c r="Y458" t="s">
        <v>8723</v>
      </c>
      <c r="Z458" t="s">
        <v>8724</v>
      </c>
      <c r="AA458" t="s">
        <v>8725</v>
      </c>
      <c r="AB458" t="s">
        <v>8726</v>
      </c>
      <c r="AC458" t="s">
        <v>8727</v>
      </c>
      <c r="AD458" t="s">
        <v>8728</v>
      </c>
      <c r="AE458" t="s">
        <v>8729</v>
      </c>
      <c r="AF458" t="s">
        <v>74</v>
      </c>
      <c r="AG458">
        <v>35</v>
      </c>
      <c r="AH458">
        <v>945</v>
      </c>
      <c r="AI458">
        <v>1074</v>
      </c>
      <c r="AJ458">
        <v>15</v>
      </c>
      <c r="AK458">
        <v>479</v>
      </c>
      <c r="AL458" t="s">
        <v>2091</v>
      </c>
      <c r="AM458" t="s">
        <v>93</v>
      </c>
      <c r="AN458" t="s">
        <v>2092</v>
      </c>
      <c r="AO458" t="s">
        <v>2093</v>
      </c>
      <c r="AP458" t="s">
        <v>74</v>
      </c>
      <c r="AQ458" t="s">
        <v>74</v>
      </c>
      <c r="AR458" t="s">
        <v>2090</v>
      </c>
      <c r="AS458" t="s">
        <v>2094</v>
      </c>
      <c r="AT458" t="s">
        <v>8730</v>
      </c>
      <c r="AU458">
        <v>2013</v>
      </c>
      <c r="AV458">
        <v>340</v>
      </c>
      <c r="AW458">
        <v>6134</v>
      </c>
      <c r="AX458" t="s">
        <v>74</v>
      </c>
      <c r="AY458" t="s">
        <v>74</v>
      </c>
      <c r="AZ458" t="s">
        <v>74</v>
      </c>
      <c r="BA458" t="s">
        <v>74</v>
      </c>
      <c r="BB458">
        <v>852</v>
      </c>
      <c r="BC458">
        <v>857</v>
      </c>
      <c r="BD458" t="s">
        <v>74</v>
      </c>
      <c r="BE458" t="s">
        <v>8731</v>
      </c>
      <c r="BF458" t="str">
        <f>HYPERLINK("http://dx.doi.org/10.1126/science.1234532","http://dx.doi.org/10.1126/science.1234532")</f>
        <v>http://dx.doi.org/10.1126/science.1234532</v>
      </c>
      <c r="BG458" t="s">
        <v>74</v>
      </c>
      <c r="BH458" t="s">
        <v>74</v>
      </c>
      <c r="BI458">
        <v>6</v>
      </c>
      <c r="BJ458" t="s">
        <v>1880</v>
      </c>
      <c r="BK458" t="s">
        <v>102</v>
      </c>
      <c r="BL458" t="s">
        <v>1881</v>
      </c>
      <c r="BM458" t="s">
        <v>8732</v>
      </c>
      <c r="BN458">
        <v>23687045</v>
      </c>
      <c r="BO458" t="s">
        <v>74</v>
      </c>
      <c r="BP458" t="s">
        <v>2451</v>
      </c>
      <c r="BQ458" t="s">
        <v>2452</v>
      </c>
      <c r="BR458" t="s">
        <v>105</v>
      </c>
      <c r="BS458" t="s">
        <v>8733</v>
      </c>
      <c r="BT458" t="str">
        <f>HYPERLINK("https%3A%2F%2Fwww.webofscience.com%2Fwos%2Fwoscc%2Ffull-record%2FWOS:000318997400041","View Full Record in Web of Science")</f>
        <v>View Full Record in Web of Science</v>
      </c>
    </row>
    <row r="459" spans="1:72" x14ac:dyDescent="0.15">
      <c r="A459" t="s">
        <v>72</v>
      </c>
      <c r="B459" t="s">
        <v>8734</v>
      </c>
      <c r="C459" t="s">
        <v>74</v>
      </c>
      <c r="D459" t="s">
        <v>74</v>
      </c>
      <c r="E459" t="s">
        <v>74</v>
      </c>
      <c r="F459" t="s">
        <v>8735</v>
      </c>
      <c r="G459" t="s">
        <v>74</v>
      </c>
      <c r="H459" t="s">
        <v>74</v>
      </c>
      <c r="I459" t="s">
        <v>8736</v>
      </c>
      <c r="J459" t="s">
        <v>2016</v>
      </c>
      <c r="K459" t="s">
        <v>74</v>
      </c>
      <c r="L459" t="s">
        <v>74</v>
      </c>
      <c r="M459" t="s">
        <v>78</v>
      </c>
      <c r="N459" t="s">
        <v>79</v>
      </c>
      <c r="O459" t="s">
        <v>74</v>
      </c>
      <c r="P459" t="s">
        <v>74</v>
      </c>
      <c r="Q459" t="s">
        <v>74</v>
      </c>
      <c r="R459" t="s">
        <v>74</v>
      </c>
      <c r="S459" t="s">
        <v>74</v>
      </c>
      <c r="T459" t="s">
        <v>74</v>
      </c>
      <c r="U459" t="s">
        <v>8737</v>
      </c>
      <c r="V459" t="s">
        <v>8738</v>
      </c>
      <c r="W459" t="s">
        <v>8739</v>
      </c>
      <c r="X459" t="s">
        <v>8740</v>
      </c>
      <c r="Y459" t="s">
        <v>8741</v>
      </c>
      <c r="Z459" t="s">
        <v>8742</v>
      </c>
      <c r="AA459" t="s">
        <v>8743</v>
      </c>
      <c r="AB459" t="s">
        <v>8744</v>
      </c>
      <c r="AC459" t="s">
        <v>8745</v>
      </c>
      <c r="AD459" t="s">
        <v>8746</v>
      </c>
      <c r="AE459" t="s">
        <v>8747</v>
      </c>
      <c r="AF459" t="s">
        <v>74</v>
      </c>
      <c r="AG459">
        <v>83</v>
      </c>
      <c r="AH459">
        <v>70</v>
      </c>
      <c r="AI459">
        <v>74</v>
      </c>
      <c r="AJ459">
        <v>2</v>
      </c>
      <c r="AK459">
        <v>41</v>
      </c>
      <c r="AL459" t="s">
        <v>92</v>
      </c>
      <c r="AM459" t="s">
        <v>93</v>
      </c>
      <c r="AN459" t="s">
        <v>94</v>
      </c>
      <c r="AO459" t="s">
        <v>2029</v>
      </c>
      <c r="AP459" t="s">
        <v>2030</v>
      </c>
      <c r="AQ459" t="s">
        <v>74</v>
      </c>
      <c r="AR459" t="s">
        <v>2031</v>
      </c>
      <c r="AS459" t="s">
        <v>2032</v>
      </c>
      <c r="AT459" t="s">
        <v>8748</v>
      </c>
      <c r="AU459">
        <v>2013</v>
      </c>
      <c r="AV459">
        <v>118</v>
      </c>
      <c r="AW459">
        <v>9</v>
      </c>
      <c r="AX459" t="s">
        <v>74</v>
      </c>
      <c r="AY459" t="s">
        <v>74</v>
      </c>
      <c r="AZ459" t="s">
        <v>74</v>
      </c>
      <c r="BA459" t="s">
        <v>74</v>
      </c>
      <c r="BB459">
        <v>3817</v>
      </c>
      <c r="BC459">
        <v>3831</v>
      </c>
      <c r="BD459" t="s">
        <v>74</v>
      </c>
      <c r="BE459" t="s">
        <v>8749</v>
      </c>
      <c r="BF459" t="str">
        <f>HYPERLINK("http://dx.doi.org/10.1002/jgrd.50036","http://dx.doi.org/10.1002/jgrd.50036")</f>
        <v>http://dx.doi.org/10.1002/jgrd.50036</v>
      </c>
      <c r="BG459" t="s">
        <v>74</v>
      </c>
      <c r="BH459" t="s">
        <v>74</v>
      </c>
      <c r="BI459">
        <v>15</v>
      </c>
      <c r="BJ459" t="s">
        <v>305</v>
      </c>
      <c r="BK459" t="s">
        <v>102</v>
      </c>
      <c r="BL459" t="s">
        <v>305</v>
      </c>
      <c r="BM459" t="s">
        <v>8750</v>
      </c>
      <c r="BN459" t="s">
        <v>74</v>
      </c>
      <c r="BO459" t="s">
        <v>426</v>
      </c>
      <c r="BP459" t="s">
        <v>74</v>
      </c>
      <c r="BQ459" t="s">
        <v>74</v>
      </c>
      <c r="BR459" t="s">
        <v>105</v>
      </c>
      <c r="BS459" t="s">
        <v>8751</v>
      </c>
      <c r="BT459" t="str">
        <f>HYPERLINK("https%3A%2F%2Fwww.webofscience.com%2Fwos%2Fwoscc%2Ffull-record%2FWOS:000319744700027","View Full Record in Web of Science")</f>
        <v>View Full Record in Web of Science</v>
      </c>
    </row>
    <row r="460" spans="1:72" x14ac:dyDescent="0.15">
      <c r="A460" t="s">
        <v>72</v>
      </c>
      <c r="B460" t="s">
        <v>8752</v>
      </c>
      <c r="C460" t="s">
        <v>74</v>
      </c>
      <c r="D460" t="s">
        <v>74</v>
      </c>
      <c r="E460" t="s">
        <v>74</v>
      </c>
      <c r="F460" t="s">
        <v>8753</v>
      </c>
      <c r="G460" t="s">
        <v>74</v>
      </c>
      <c r="H460" t="s">
        <v>74</v>
      </c>
      <c r="I460" t="s">
        <v>8754</v>
      </c>
      <c r="J460" t="s">
        <v>1957</v>
      </c>
      <c r="K460" t="s">
        <v>74</v>
      </c>
      <c r="L460" t="s">
        <v>74</v>
      </c>
      <c r="M460" t="s">
        <v>78</v>
      </c>
      <c r="N460" t="s">
        <v>79</v>
      </c>
      <c r="O460" t="s">
        <v>74</v>
      </c>
      <c r="P460" t="s">
        <v>74</v>
      </c>
      <c r="Q460" t="s">
        <v>74</v>
      </c>
      <c r="R460" t="s">
        <v>74</v>
      </c>
      <c r="S460" t="s">
        <v>74</v>
      </c>
      <c r="T460" t="s">
        <v>74</v>
      </c>
      <c r="U460" t="s">
        <v>8755</v>
      </c>
      <c r="V460" t="s">
        <v>8756</v>
      </c>
      <c r="W460" t="s">
        <v>8757</v>
      </c>
      <c r="X460" t="s">
        <v>8758</v>
      </c>
      <c r="Y460" t="s">
        <v>8759</v>
      </c>
      <c r="Z460" t="s">
        <v>8760</v>
      </c>
      <c r="AA460" t="s">
        <v>8761</v>
      </c>
      <c r="AB460" t="s">
        <v>8762</v>
      </c>
      <c r="AC460" t="s">
        <v>8763</v>
      </c>
      <c r="AD460" t="s">
        <v>8764</v>
      </c>
      <c r="AE460" t="s">
        <v>8765</v>
      </c>
      <c r="AF460" t="s">
        <v>74</v>
      </c>
      <c r="AG460">
        <v>23</v>
      </c>
      <c r="AH460">
        <v>24</v>
      </c>
      <c r="AI460">
        <v>24</v>
      </c>
      <c r="AJ460">
        <v>0</v>
      </c>
      <c r="AK460">
        <v>13</v>
      </c>
      <c r="AL460" t="s">
        <v>92</v>
      </c>
      <c r="AM460" t="s">
        <v>93</v>
      </c>
      <c r="AN460" t="s">
        <v>94</v>
      </c>
      <c r="AO460" t="s">
        <v>1970</v>
      </c>
      <c r="AP460" t="s">
        <v>1971</v>
      </c>
      <c r="AQ460" t="s">
        <v>74</v>
      </c>
      <c r="AR460" t="s">
        <v>1972</v>
      </c>
      <c r="AS460" t="s">
        <v>1973</v>
      </c>
      <c r="AT460" t="s">
        <v>8748</v>
      </c>
      <c r="AU460">
        <v>2013</v>
      </c>
      <c r="AV460">
        <v>40</v>
      </c>
      <c r="AW460">
        <v>9</v>
      </c>
      <c r="AX460" t="s">
        <v>74</v>
      </c>
      <c r="AY460" t="s">
        <v>74</v>
      </c>
      <c r="AZ460" t="s">
        <v>74</v>
      </c>
      <c r="BA460" t="s">
        <v>74</v>
      </c>
      <c r="BB460">
        <v>1850</v>
      </c>
      <c r="BC460">
        <v>1855</v>
      </c>
      <c r="BD460" t="s">
        <v>74</v>
      </c>
      <c r="BE460" t="s">
        <v>8766</v>
      </c>
      <c r="BF460" t="str">
        <f>HYPERLINK("http://dx.doi.org/10.1002/grl.50378","http://dx.doi.org/10.1002/grl.50378")</f>
        <v>http://dx.doi.org/10.1002/grl.50378</v>
      </c>
      <c r="BG460" t="s">
        <v>74</v>
      </c>
      <c r="BH460" t="s">
        <v>74</v>
      </c>
      <c r="BI460">
        <v>6</v>
      </c>
      <c r="BJ460" t="s">
        <v>1426</v>
      </c>
      <c r="BK460" t="s">
        <v>102</v>
      </c>
      <c r="BL460" t="s">
        <v>219</v>
      </c>
      <c r="BM460" t="s">
        <v>8767</v>
      </c>
      <c r="BN460" t="s">
        <v>74</v>
      </c>
      <c r="BO460" t="s">
        <v>74</v>
      </c>
      <c r="BP460" t="s">
        <v>74</v>
      </c>
      <c r="BQ460" t="s">
        <v>74</v>
      </c>
      <c r="BR460" t="s">
        <v>105</v>
      </c>
      <c r="BS460" t="s">
        <v>8768</v>
      </c>
      <c r="BT460" t="str">
        <f>HYPERLINK("https%3A%2F%2Fwww.webofscience.com%2Fwos%2Fwoscc%2Ffull-record%2FWOS:000320317500033","View Full Record in Web of Science")</f>
        <v>View Full Record in Web of Science</v>
      </c>
    </row>
    <row r="461" spans="1:72" x14ac:dyDescent="0.15">
      <c r="A461" t="s">
        <v>72</v>
      </c>
      <c r="B461" t="s">
        <v>8769</v>
      </c>
      <c r="C461" t="s">
        <v>74</v>
      </c>
      <c r="D461" t="s">
        <v>74</v>
      </c>
      <c r="E461" t="s">
        <v>74</v>
      </c>
      <c r="F461" t="s">
        <v>8770</v>
      </c>
      <c r="G461" t="s">
        <v>74</v>
      </c>
      <c r="H461" t="s">
        <v>74</v>
      </c>
      <c r="I461" t="s">
        <v>8771</v>
      </c>
      <c r="J461" t="s">
        <v>5531</v>
      </c>
      <c r="K461" t="s">
        <v>74</v>
      </c>
      <c r="L461" t="s">
        <v>74</v>
      </c>
      <c r="M461" t="s">
        <v>78</v>
      </c>
      <c r="N461" t="s">
        <v>79</v>
      </c>
      <c r="O461" t="s">
        <v>74</v>
      </c>
      <c r="P461" t="s">
        <v>74</v>
      </c>
      <c r="Q461" t="s">
        <v>74</v>
      </c>
      <c r="R461" t="s">
        <v>74</v>
      </c>
      <c r="S461" t="s">
        <v>74</v>
      </c>
      <c r="T461" t="s">
        <v>74</v>
      </c>
      <c r="U461" t="s">
        <v>8772</v>
      </c>
      <c r="V461" t="s">
        <v>8773</v>
      </c>
      <c r="W461" t="s">
        <v>8774</v>
      </c>
      <c r="X461" t="s">
        <v>8775</v>
      </c>
      <c r="Y461" t="s">
        <v>8776</v>
      </c>
      <c r="Z461" t="s">
        <v>8777</v>
      </c>
      <c r="AA461" t="s">
        <v>8778</v>
      </c>
      <c r="AB461" t="s">
        <v>8779</v>
      </c>
      <c r="AC461" t="s">
        <v>8780</v>
      </c>
      <c r="AD461" t="s">
        <v>8781</v>
      </c>
      <c r="AE461" t="s">
        <v>8782</v>
      </c>
      <c r="AF461" t="s">
        <v>74</v>
      </c>
      <c r="AG461">
        <v>30</v>
      </c>
      <c r="AH461">
        <v>581</v>
      </c>
      <c r="AI461">
        <v>641</v>
      </c>
      <c r="AJ461">
        <v>19</v>
      </c>
      <c r="AK461">
        <v>571</v>
      </c>
      <c r="AL461" t="s">
        <v>8783</v>
      </c>
      <c r="AM461" t="s">
        <v>1851</v>
      </c>
      <c r="AN461" t="s">
        <v>1852</v>
      </c>
      <c r="AO461" t="s">
        <v>5543</v>
      </c>
      <c r="AP461" t="s">
        <v>5544</v>
      </c>
      <c r="AQ461" t="s">
        <v>74</v>
      </c>
      <c r="AR461" t="s">
        <v>5531</v>
      </c>
      <c r="AS461" t="s">
        <v>5545</v>
      </c>
      <c r="AT461" t="s">
        <v>8748</v>
      </c>
      <c r="AU461">
        <v>2013</v>
      </c>
      <c r="AV461">
        <v>497</v>
      </c>
      <c r="AW461">
        <v>7449</v>
      </c>
      <c r="AX461" t="s">
        <v>74</v>
      </c>
      <c r="AY461" t="s">
        <v>74</v>
      </c>
      <c r="AZ461" t="s">
        <v>74</v>
      </c>
      <c r="BA461" t="s">
        <v>74</v>
      </c>
      <c r="BB461">
        <v>365</v>
      </c>
      <c r="BC461" t="s">
        <v>7715</v>
      </c>
      <c r="BD461" t="s">
        <v>74</v>
      </c>
      <c r="BE461" t="s">
        <v>8784</v>
      </c>
      <c r="BF461" t="str">
        <f>HYPERLINK("http://dx.doi.org/10.1038/nature12156","http://dx.doi.org/10.1038/nature12156")</f>
        <v>http://dx.doi.org/10.1038/nature12156</v>
      </c>
      <c r="BG461" t="s">
        <v>74</v>
      </c>
      <c r="BH461" t="s">
        <v>74</v>
      </c>
      <c r="BI461">
        <v>5</v>
      </c>
      <c r="BJ461" t="s">
        <v>1880</v>
      </c>
      <c r="BK461" t="s">
        <v>102</v>
      </c>
      <c r="BL461" t="s">
        <v>1881</v>
      </c>
      <c r="BM461" t="s">
        <v>8785</v>
      </c>
      <c r="BN461">
        <v>23676754</v>
      </c>
      <c r="BO461" t="s">
        <v>74</v>
      </c>
      <c r="BP461" t="s">
        <v>2451</v>
      </c>
      <c r="BQ461" t="s">
        <v>2452</v>
      </c>
      <c r="BR461" t="s">
        <v>105</v>
      </c>
      <c r="BS461" t="s">
        <v>8786</v>
      </c>
      <c r="BT461" t="str">
        <f>HYPERLINK("https%3A%2F%2Fwww.webofscience.com%2Fwos%2Fwoscc%2Ffull-record%2FWOS:000318952000037","View Full Record in Web of Science")</f>
        <v>View Full Record in Web of Science</v>
      </c>
    </row>
    <row r="462" spans="1:72" x14ac:dyDescent="0.15">
      <c r="A462" t="s">
        <v>72</v>
      </c>
      <c r="B462" t="s">
        <v>8787</v>
      </c>
      <c r="C462" t="s">
        <v>74</v>
      </c>
      <c r="D462" t="s">
        <v>74</v>
      </c>
      <c r="E462" t="s">
        <v>74</v>
      </c>
      <c r="F462" t="s">
        <v>8788</v>
      </c>
      <c r="G462" t="s">
        <v>74</v>
      </c>
      <c r="H462" t="s">
        <v>74</v>
      </c>
      <c r="I462" t="s">
        <v>8789</v>
      </c>
      <c r="J462" t="s">
        <v>8790</v>
      </c>
      <c r="K462" t="s">
        <v>74</v>
      </c>
      <c r="L462" t="s">
        <v>74</v>
      </c>
      <c r="M462" t="s">
        <v>78</v>
      </c>
      <c r="N462" t="s">
        <v>79</v>
      </c>
      <c r="O462" t="s">
        <v>74</v>
      </c>
      <c r="P462" t="s">
        <v>74</v>
      </c>
      <c r="Q462" t="s">
        <v>74</v>
      </c>
      <c r="R462" t="s">
        <v>74</v>
      </c>
      <c r="S462" t="s">
        <v>74</v>
      </c>
      <c r="T462" t="s">
        <v>8791</v>
      </c>
      <c r="U462" t="s">
        <v>8792</v>
      </c>
      <c r="V462" t="s">
        <v>8793</v>
      </c>
      <c r="W462" t="s">
        <v>8794</v>
      </c>
      <c r="X462" t="s">
        <v>8795</v>
      </c>
      <c r="Y462" t="s">
        <v>8796</v>
      </c>
      <c r="Z462" t="s">
        <v>8797</v>
      </c>
      <c r="AA462" t="s">
        <v>74</v>
      </c>
      <c r="AB462" t="s">
        <v>8798</v>
      </c>
      <c r="AC462" t="s">
        <v>8799</v>
      </c>
      <c r="AD462" t="s">
        <v>8800</v>
      </c>
      <c r="AE462" t="s">
        <v>8801</v>
      </c>
      <c r="AF462" t="s">
        <v>74</v>
      </c>
      <c r="AG462">
        <v>71</v>
      </c>
      <c r="AH462">
        <v>19</v>
      </c>
      <c r="AI462">
        <v>19</v>
      </c>
      <c r="AJ462">
        <v>0</v>
      </c>
      <c r="AK462">
        <v>10</v>
      </c>
      <c r="AL462" t="s">
        <v>195</v>
      </c>
      <c r="AM462" t="s">
        <v>155</v>
      </c>
      <c r="AN462" t="s">
        <v>196</v>
      </c>
      <c r="AO462" t="s">
        <v>8802</v>
      </c>
      <c r="AP462" t="s">
        <v>8803</v>
      </c>
      <c r="AQ462" t="s">
        <v>74</v>
      </c>
      <c r="AR462" t="s">
        <v>8804</v>
      </c>
      <c r="AS462" t="s">
        <v>8805</v>
      </c>
      <c r="AT462" t="s">
        <v>8806</v>
      </c>
      <c r="AU462">
        <v>2013</v>
      </c>
      <c r="AV462">
        <v>192</v>
      </c>
      <c r="AW462" t="s">
        <v>74</v>
      </c>
      <c r="AX462" t="s">
        <v>74</v>
      </c>
      <c r="AY462" t="s">
        <v>74</v>
      </c>
      <c r="AZ462" t="s">
        <v>74</v>
      </c>
      <c r="BA462" t="s">
        <v>74</v>
      </c>
      <c r="BB462">
        <v>79</v>
      </c>
      <c r="BC462">
        <v>102</v>
      </c>
      <c r="BD462" t="s">
        <v>74</v>
      </c>
      <c r="BE462" t="s">
        <v>8807</v>
      </c>
      <c r="BF462" t="str">
        <f>HYPERLINK("http://dx.doi.org/10.1016/j.revpalbo.2012.12.008","http://dx.doi.org/10.1016/j.revpalbo.2012.12.008")</f>
        <v>http://dx.doi.org/10.1016/j.revpalbo.2012.12.008</v>
      </c>
      <c r="BG462" t="s">
        <v>74</v>
      </c>
      <c r="BH462" t="s">
        <v>74</v>
      </c>
      <c r="BI462">
        <v>24</v>
      </c>
      <c r="BJ462" t="s">
        <v>8182</v>
      </c>
      <c r="BK462" t="s">
        <v>102</v>
      </c>
      <c r="BL462" t="s">
        <v>8182</v>
      </c>
      <c r="BM462" t="s">
        <v>8808</v>
      </c>
      <c r="BN462" t="s">
        <v>74</v>
      </c>
      <c r="BO462" t="s">
        <v>74</v>
      </c>
      <c r="BP462" t="s">
        <v>74</v>
      </c>
      <c r="BQ462" t="s">
        <v>74</v>
      </c>
      <c r="BR462" t="s">
        <v>105</v>
      </c>
      <c r="BS462" t="s">
        <v>8809</v>
      </c>
      <c r="BT462" t="str">
        <f>HYPERLINK("https%3A%2F%2Fwww.webofscience.com%2Fwos%2Fwoscc%2Ffull-record%2FWOS:000320492600007","View Full Record in Web of Science")</f>
        <v>View Full Record in Web of Science</v>
      </c>
    </row>
    <row r="463" spans="1:72" x14ac:dyDescent="0.15">
      <c r="A463" t="s">
        <v>72</v>
      </c>
      <c r="B463" t="s">
        <v>8810</v>
      </c>
      <c r="C463" t="s">
        <v>74</v>
      </c>
      <c r="D463" t="s">
        <v>74</v>
      </c>
      <c r="E463" t="s">
        <v>74</v>
      </c>
      <c r="F463" t="s">
        <v>8811</v>
      </c>
      <c r="G463" t="s">
        <v>74</v>
      </c>
      <c r="H463" t="s">
        <v>74</v>
      </c>
      <c r="I463" t="s">
        <v>8812</v>
      </c>
      <c r="J463" t="s">
        <v>8813</v>
      </c>
      <c r="K463" t="s">
        <v>74</v>
      </c>
      <c r="L463" t="s">
        <v>74</v>
      </c>
      <c r="M463" t="s">
        <v>78</v>
      </c>
      <c r="N463" t="s">
        <v>79</v>
      </c>
      <c r="O463" t="s">
        <v>74</v>
      </c>
      <c r="P463" t="s">
        <v>74</v>
      </c>
      <c r="Q463" t="s">
        <v>74</v>
      </c>
      <c r="R463" t="s">
        <v>74</v>
      </c>
      <c r="S463" t="s">
        <v>74</v>
      </c>
      <c r="T463" t="s">
        <v>8814</v>
      </c>
      <c r="U463" t="s">
        <v>8815</v>
      </c>
      <c r="V463" t="s">
        <v>8816</v>
      </c>
      <c r="W463" t="s">
        <v>8817</v>
      </c>
      <c r="X463" t="s">
        <v>8818</v>
      </c>
      <c r="Y463" t="s">
        <v>8819</v>
      </c>
      <c r="Z463" t="s">
        <v>8820</v>
      </c>
      <c r="AA463" t="s">
        <v>8821</v>
      </c>
      <c r="AB463" t="s">
        <v>8822</v>
      </c>
      <c r="AC463" t="s">
        <v>8823</v>
      </c>
      <c r="AD463" t="s">
        <v>8824</v>
      </c>
      <c r="AE463" t="s">
        <v>8825</v>
      </c>
      <c r="AF463" t="s">
        <v>74</v>
      </c>
      <c r="AG463">
        <v>48</v>
      </c>
      <c r="AH463">
        <v>34</v>
      </c>
      <c r="AI463">
        <v>34</v>
      </c>
      <c r="AJ463">
        <v>1</v>
      </c>
      <c r="AK463">
        <v>177</v>
      </c>
      <c r="AL463" t="s">
        <v>506</v>
      </c>
      <c r="AM463" t="s">
        <v>442</v>
      </c>
      <c r="AN463" t="s">
        <v>507</v>
      </c>
      <c r="AO463" t="s">
        <v>8826</v>
      </c>
      <c r="AP463" t="s">
        <v>8827</v>
      </c>
      <c r="AQ463" t="s">
        <v>74</v>
      </c>
      <c r="AR463" t="s">
        <v>8828</v>
      </c>
      <c r="AS463" t="s">
        <v>8829</v>
      </c>
      <c r="AT463" t="s">
        <v>8806</v>
      </c>
      <c r="AU463">
        <v>2013</v>
      </c>
      <c r="AV463">
        <v>70</v>
      </c>
      <c r="AW463" t="s">
        <v>8830</v>
      </c>
      <c r="AX463" t="s">
        <v>74</v>
      </c>
      <c r="AY463" t="s">
        <v>74</v>
      </c>
      <c r="AZ463" t="s">
        <v>74</v>
      </c>
      <c r="BA463" t="s">
        <v>74</v>
      </c>
      <c r="BB463">
        <v>171</v>
      </c>
      <c r="BC463">
        <v>175</v>
      </c>
      <c r="BD463" t="s">
        <v>74</v>
      </c>
      <c r="BE463" t="s">
        <v>8831</v>
      </c>
      <c r="BF463" t="str">
        <f>HYPERLINK("http://dx.doi.org/10.1016/j.marpolbul.2013.02.030","http://dx.doi.org/10.1016/j.marpolbul.2013.02.030")</f>
        <v>http://dx.doi.org/10.1016/j.marpolbul.2013.02.030</v>
      </c>
      <c r="BG463" t="s">
        <v>74</v>
      </c>
      <c r="BH463" t="s">
        <v>74</v>
      </c>
      <c r="BI463">
        <v>5</v>
      </c>
      <c r="BJ463" t="s">
        <v>4060</v>
      </c>
      <c r="BK463" t="s">
        <v>102</v>
      </c>
      <c r="BL463" t="s">
        <v>163</v>
      </c>
      <c r="BM463" t="s">
        <v>8832</v>
      </c>
      <c r="BN463">
        <v>23507234</v>
      </c>
      <c r="BO463" t="s">
        <v>74</v>
      </c>
      <c r="BP463" t="s">
        <v>74</v>
      </c>
      <c r="BQ463" t="s">
        <v>74</v>
      </c>
      <c r="BR463" t="s">
        <v>105</v>
      </c>
      <c r="BS463" t="s">
        <v>8833</v>
      </c>
      <c r="BT463" t="str">
        <f>HYPERLINK("https%3A%2F%2Fwww.webofscience.com%2Fwos%2Fwoscc%2Ffull-record%2FWOS:000320072400033","View Full Record in Web of Science")</f>
        <v>View Full Record in Web of Science</v>
      </c>
    </row>
    <row r="464" spans="1:72" x14ac:dyDescent="0.15">
      <c r="A464" t="s">
        <v>72</v>
      </c>
      <c r="B464" t="s">
        <v>8834</v>
      </c>
      <c r="C464" t="s">
        <v>74</v>
      </c>
      <c r="D464" t="s">
        <v>74</v>
      </c>
      <c r="E464" t="s">
        <v>74</v>
      </c>
      <c r="F464" t="s">
        <v>8835</v>
      </c>
      <c r="G464" t="s">
        <v>74</v>
      </c>
      <c r="H464" t="s">
        <v>74</v>
      </c>
      <c r="I464" t="s">
        <v>8836</v>
      </c>
      <c r="J464" t="s">
        <v>4690</v>
      </c>
      <c r="K464" t="s">
        <v>74</v>
      </c>
      <c r="L464" t="s">
        <v>74</v>
      </c>
      <c r="M464" t="s">
        <v>78</v>
      </c>
      <c r="N464" t="s">
        <v>79</v>
      </c>
      <c r="O464" t="s">
        <v>74</v>
      </c>
      <c r="P464" t="s">
        <v>74</v>
      </c>
      <c r="Q464" t="s">
        <v>74</v>
      </c>
      <c r="R464" t="s">
        <v>74</v>
      </c>
      <c r="S464" t="s">
        <v>74</v>
      </c>
      <c r="T464" t="s">
        <v>8837</v>
      </c>
      <c r="U464" t="s">
        <v>8838</v>
      </c>
      <c r="V464" t="s">
        <v>8839</v>
      </c>
      <c r="W464" t="s">
        <v>8840</v>
      </c>
      <c r="X464" t="s">
        <v>8841</v>
      </c>
      <c r="Y464" t="s">
        <v>8842</v>
      </c>
      <c r="Z464" t="s">
        <v>8843</v>
      </c>
      <c r="AA464" t="s">
        <v>74</v>
      </c>
      <c r="AB464" t="s">
        <v>8844</v>
      </c>
      <c r="AC464" t="s">
        <v>8845</v>
      </c>
      <c r="AD464" t="s">
        <v>8846</v>
      </c>
      <c r="AE464" t="s">
        <v>8847</v>
      </c>
      <c r="AF464" t="s">
        <v>74</v>
      </c>
      <c r="AG464">
        <v>50</v>
      </c>
      <c r="AH464">
        <v>43</v>
      </c>
      <c r="AI464">
        <v>59</v>
      </c>
      <c r="AJ464">
        <v>3</v>
      </c>
      <c r="AK464">
        <v>74</v>
      </c>
      <c r="AL464" t="s">
        <v>506</v>
      </c>
      <c r="AM464" t="s">
        <v>442</v>
      </c>
      <c r="AN464" t="s">
        <v>507</v>
      </c>
      <c r="AO464" t="s">
        <v>4703</v>
      </c>
      <c r="AP464" t="s">
        <v>74</v>
      </c>
      <c r="AQ464" t="s">
        <v>74</v>
      </c>
      <c r="AR464" t="s">
        <v>4704</v>
      </c>
      <c r="AS464" t="s">
        <v>4705</v>
      </c>
      <c r="AT464" t="s">
        <v>8806</v>
      </c>
      <c r="AU464">
        <v>2013</v>
      </c>
      <c r="AV464">
        <v>68</v>
      </c>
      <c r="AW464" t="s">
        <v>74</v>
      </c>
      <c r="AX464" t="s">
        <v>74</v>
      </c>
      <c r="AY464" t="s">
        <v>74</v>
      </c>
      <c r="AZ464" t="s">
        <v>74</v>
      </c>
      <c r="BA464" t="s">
        <v>74</v>
      </c>
      <c r="BB464">
        <v>142</v>
      </c>
      <c r="BC464">
        <v>153</v>
      </c>
      <c r="BD464" t="s">
        <v>74</v>
      </c>
      <c r="BE464" t="s">
        <v>8848</v>
      </c>
      <c r="BF464" t="str">
        <f>HYPERLINK("http://dx.doi.org/10.1016/j.quascirev.2013.02.014","http://dx.doi.org/10.1016/j.quascirev.2013.02.014")</f>
        <v>http://dx.doi.org/10.1016/j.quascirev.2013.02.014</v>
      </c>
      <c r="BG464" t="s">
        <v>74</v>
      </c>
      <c r="BH464" t="s">
        <v>74</v>
      </c>
      <c r="BI464">
        <v>12</v>
      </c>
      <c r="BJ464" t="s">
        <v>650</v>
      </c>
      <c r="BK464" t="s">
        <v>102</v>
      </c>
      <c r="BL464" t="s">
        <v>651</v>
      </c>
      <c r="BM464" t="s">
        <v>8849</v>
      </c>
      <c r="BN464" t="s">
        <v>74</v>
      </c>
      <c r="BO464" t="s">
        <v>74</v>
      </c>
      <c r="BP464" t="s">
        <v>74</v>
      </c>
      <c r="BQ464" t="s">
        <v>74</v>
      </c>
      <c r="BR464" t="s">
        <v>105</v>
      </c>
      <c r="BS464" t="s">
        <v>8850</v>
      </c>
      <c r="BT464" t="str">
        <f>HYPERLINK("https%3A%2F%2Fwww.webofscience.com%2Fwos%2Fwoscc%2Ffull-record%2FWOS:000318383900009","View Full Record in Web of Science")</f>
        <v>View Full Record in Web of Science</v>
      </c>
    </row>
    <row r="465" spans="1:72" x14ac:dyDescent="0.15">
      <c r="A465" t="s">
        <v>72</v>
      </c>
      <c r="B465" t="s">
        <v>8851</v>
      </c>
      <c r="C465" t="s">
        <v>74</v>
      </c>
      <c r="D465" t="s">
        <v>74</v>
      </c>
      <c r="E465" t="s">
        <v>74</v>
      </c>
      <c r="F465" t="s">
        <v>8852</v>
      </c>
      <c r="G465" t="s">
        <v>74</v>
      </c>
      <c r="H465" t="s">
        <v>74</v>
      </c>
      <c r="I465" t="s">
        <v>8853</v>
      </c>
      <c r="J465" t="s">
        <v>4690</v>
      </c>
      <c r="K465" t="s">
        <v>74</v>
      </c>
      <c r="L465" t="s">
        <v>74</v>
      </c>
      <c r="M465" t="s">
        <v>78</v>
      </c>
      <c r="N465" t="s">
        <v>79</v>
      </c>
      <c r="O465" t="s">
        <v>74</v>
      </c>
      <c r="P465" t="s">
        <v>74</v>
      </c>
      <c r="Q465" t="s">
        <v>74</v>
      </c>
      <c r="R465" t="s">
        <v>74</v>
      </c>
      <c r="S465" t="s">
        <v>74</v>
      </c>
      <c r="T465" t="s">
        <v>8854</v>
      </c>
      <c r="U465" t="s">
        <v>8855</v>
      </c>
      <c r="V465" t="s">
        <v>8856</v>
      </c>
      <c r="W465" t="s">
        <v>8857</v>
      </c>
      <c r="X465" t="s">
        <v>8858</v>
      </c>
      <c r="Y465" t="s">
        <v>8859</v>
      </c>
      <c r="Z465" t="s">
        <v>8860</v>
      </c>
      <c r="AA465" t="s">
        <v>8861</v>
      </c>
      <c r="AB465" t="s">
        <v>8862</v>
      </c>
      <c r="AC465" t="s">
        <v>74</v>
      </c>
      <c r="AD465" t="s">
        <v>74</v>
      </c>
      <c r="AE465" t="s">
        <v>74</v>
      </c>
      <c r="AF465" t="s">
        <v>74</v>
      </c>
      <c r="AG465">
        <v>72</v>
      </c>
      <c r="AH465">
        <v>43</v>
      </c>
      <c r="AI465">
        <v>46</v>
      </c>
      <c r="AJ465">
        <v>0</v>
      </c>
      <c r="AK465">
        <v>17</v>
      </c>
      <c r="AL465" t="s">
        <v>506</v>
      </c>
      <c r="AM465" t="s">
        <v>442</v>
      </c>
      <c r="AN465" t="s">
        <v>507</v>
      </c>
      <c r="AO465" t="s">
        <v>4703</v>
      </c>
      <c r="AP465" t="s">
        <v>8863</v>
      </c>
      <c r="AQ465" t="s">
        <v>74</v>
      </c>
      <c r="AR465" t="s">
        <v>4704</v>
      </c>
      <c r="AS465" t="s">
        <v>4705</v>
      </c>
      <c r="AT465" t="s">
        <v>8806</v>
      </c>
      <c r="AU465">
        <v>2013</v>
      </c>
      <c r="AV465">
        <v>68</v>
      </c>
      <c r="AW465" t="s">
        <v>74</v>
      </c>
      <c r="AX465" t="s">
        <v>74</v>
      </c>
      <c r="AY465" t="s">
        <v>74</v>
      </c>
      <c r="AZ465" t="s">
        <v>74</v>
      </c>
      <c r="BA465" t="s">
        <v>74</v>
      </c>
      <c r="BB465">
        <v>191</v>
      </c>
      <c r="BC465">
        <v>199</v>
      </c>
      <c r="BD465" t="s">
        <v>74</v>
      </c>
      <c r="BE465" t="s">
        <v>8864</v>
      </c>
      <c r="BF465" t="str">
        <f>HYPERLINK("http://dx.doi.org/10.1016/j.quascirev.2013.02.016","http://dx.doi.org/10.1016/j.quascirev.2013.02.016")</f>
        <v>http://dx.doi.org/10.1016/j.quascirev.2013.02.016</v>
      </c>
      <c r="BG465" t="s">
        <v>74</v>
      </c>
      <c r="BH465" t="s">
        <v>74</v>
      </c>
      <c r="BI465">
        <v>9</v>
      </c>
      <c r="BJ465" t="s">
        <v>650</v>
      </c>
      <c r="BK465" t="s">
        <v>102</v>
      </c>
      <c r="BL465" t="s">
        <v>651</v>
      </c>
      <c r="BM465" t="s">
        <v>8849</v>
      </c>
      <c r="BN465" t="s">
        <v>74</v>
      </c>
      <c r="BO465" t="s">
        <v>74</v>
      </c>
      <c r="BP465" t="s">
        <v>74</v>
      </c>
      <c r="BQ465" t="s">
        <v>74</v>
      </c>
      <c r="BR465" t="s">
        <v>105</v>
      </c>
      <c r="BS465" t="s">
        <v>8865</v>
      </c>
      <c r="BT465" t="str">
        <f>HYPERLINK("https%3A%2F%2Fwww.webofscience.com%2Fwos%2Fwoscc%2Ffull-record%2FWOS:000318383900012","View Full Record in Web of Science")</f>
        <v>View Full Record in Web of Science</v>
      </c>
    </row>
    <row r="466" spans="1:72" x14ac:dyDescent="0.15">
      <c r="A466" t="s">
        <v>72</v>
      </c>
      <c r="B466" t="s">
        <v>8866</v>
      </c>
      <c r="C466" t="s">
        <v>74</v>
      </c>
      <c r="D466" t="s">
        <v>74</v>
      </c>
      <c r="E466" t="s">
        <v>74</v>
      </c>
      <c r="F466" t="s">
        <v>8867</v>
      </c>
      <c r="G466" t="s">
        <v>74</v>
      </c>
      <c r="H466" t="s">
        <v>74</v>
      </c>
      <c r="I466" t="s">
        <v>8868</v>
      </c>
      <c r="J466" t="s">
        <v>8869</v>
      </c>
      <c r="K466" t="s">
        <v>74</v>
      </c>
      <c r="L466" t="s">
        <v>74</v>
      </c>
      <c r="M466" t="s">
        <v>78</v>
      </c>
      <c r="N466" t="s">
        <v>79</v>
      </c>
      <c r="O466" t="s">
        <v>74</v>
      </c>
      <c r="P466" t="s">
        <v>74</v>
      </c>
      <c r="Q466" t="s">
        <v>74</v>
      </c>
      <c r="R466" t="s">
        <v>74</v>
      </c>
      <c r="S466" t="s">
        <v>74</v>
      </c>
      <c r="T466" t="s">
        <v>8870</v>
      </c>
      <c r="U466" t="s">
        <v>8871</v>
      </c>
      <c r="V466" t="s">
        <v>8872</v>
      </c>
      <c r="W466" t="s">
        <v>8873</v>
      </c>
      <c r="X466" t="s">
        <v>8874</v>
      </c>
      <c r="Y466" t="s">
        <v>8875</v>
      </c>
      <c r="Z466" t="s">
        <v>8876</v>
      </c>
      <c r="AA466" t="s">
        <v>8877</v>
      </c>
      <c r="AB466" t="s">
        <v>8878</v>
      </c>
      <c r="AC466" t="s">
        <v>74</v>
      </c>
      <c r="AD466" t="s">
        <v>74</v>
      </c>
      <c r="AE466" t="s">
        <v>74</v>
      </c>
      <c r="AF466" t="s">
        <v>74</v>
      </c>
      <c r="AG466">
        <v>99</v>
      </c>
      <c r="AH466">
        <v>30</v>
      </c>
      <c r="AI466">
        <v>30</v>
      </c>
      <c r="AJ466">
        <v>0</v>
      </c>
      <c r="AK466">
        <v>41</v>
      </c>
      <c r="AL466" t="s">
        <v>195</v>
      </c>
      <c r="AM466" t="s">
        <v>155</v>
      </c>
      <c r="AN466" t="s">
        <v>196</v>
      </c>
      <c r="AO466" t="s">
        <v>8879</v>
      </c>
      <c r="AP466" t="s">
        <v>8880</v>
      </c>
      <c r="AQ466" t="s">
        <v>74</v>
      </c>
      <c r="AR466" t="s">
        <v>8869</v>
      </c>
      <c r="AS466" t="s">
        <v>8881</v>
      </c>
      <c r="AT466" t="s">
        <v>8806</v>
      </c>
      <c r="AU466">
        <v>2013</v>
      </c>
      <c r="AV466">
        <v>190</v>
      </c>
      <c r="AW466" t="s">
        <v>74</v>
      </c>
      <c r="AX466" t="s">
        <v>74</v>
      </c>
      <c r="AY466" t="s">
        <v>74</v>
      </c>
      <c r="AZ466" t="s">
        <v>74</v>
      </c>
      <c r="BA466" t="s">
        <v>74</v>
      </c>
      <c r="BB466">
        <v>82</v>
      </c>
      <c r="BC466">
        <v>91</v>
      </c>
      <c r="BD466" t="s">
        <v>74</v>
      </c>
      <c r="BE466" t="s">
        <v>8882</v>
      </c>
      <c r="BF466" t="str">
        <f>HYPERLINK("http://dx.doi.org/10.1016/j.geomorph.2013.02.017","http://dx.doi.org/10.1016/j.geomorph.2013.02.017")</f>
        <v>http://dx.doi.org/10.1016/j.geomorph.2013.02.017</v>
      </c>
      <c r="BG466" t="s">
        <v>74</v>
      </c>
      <c r="BH466" t="s">
        <v>74</v>
      </c>
      <c r="BI466">
        <v>10</v>
      </c>
      <c r="BJ466" t="s">
        <v>650</v>
      </c>
      <c r="BK466" t="s">
        <v>102</v>
      </c>
      <c r="BL466" t="s">
        <v>651</v>
      </c>
      <c r="BM466" t="s">
        <v>8883</v>
      </c>
      <c r="BN466" t="s">
        <v>74</v>
      </c>
      <c r="BO466" t="s">
        <v>4895</v>
      </c>
      <c r="BP466" t="s">
        <v>74</v>
      </c>
      <c r="BQ466" t="s">
        <v>74</v>
      </c>
      <c r="BR466" t="s">
        <v>105</v>
      </c>
      <c r="BS466" t="s">
        <v>8884</v>
      </c>
      <c r="BT466" t="str">
        <f>HYPERLINK("https%3A%2F%2Fwww.webofscience.com%2Fwos%2Fwoscc%2Ffull-record%2FWOS:000318458300008","View Full Record in Web of Science")</f>
        <v>View Full Record in Web of Science</v>
      </c>
    </row>
    <row r="467" spans="1:72" x14ac:dyDescent="0.15">
      <c r="A467" t="s">
        <v>72</v>
      </c>
      <c r="B467" t="s">
        <v>8885</v>
      </c>
      <c r="C467" t="s">
        <v>74</v>
      </c>
      <c r="D467" t="s">
        <v>74</v>
      </c>
      <c r="E467" t="s">
        <v>74</v>
      </c>
      <c r="F467" t="s">
        <v>8886</v>
      </c>
      <c r="G467" t="s">
        <v>74</v>
      </c>
      <c r="H467" t="s">
        <v>74</v>
      </c>
      <c r="I467" t="s">
        <v>8887</v>
      </c>
      <c r="J467" t="s">
        <v>4690</v>
      </c>
      <c r="K467" t="s">
        <v>74</v>
      </c>
      <c r="L467" t="s">
        <v>74</v>
      </c>
      <c r="M467" t="s">
        <v>78</v>
      </c>
      <c r="N467" t="s">
        <v>79</v>
      </c>
      <c r="O467" t="s">
        <v>74</v>
      </c>
      <c r="P467" t="s">
        <v>74</v>
      </c>
      <c r="Q467" t="s">
        <v>74</v>
      </c>
      <c r="R467" t="s">
        <v>74</v>
      </c>
      <c r="S467" t="s">
        <v>74</v>
      </c>
      <c r="T467" t="s">
        <v>8888</v>
      </c>
      <c r="U467" t="s">
        <v>8889</v>
      </c>
      <c r="V467" t="s">
        <v>8890</v>
      </c>
      <c r="W467" t="s">
        <v>8891</v>
      </c>
      <c r="X467" t="s">
        <v>8892</v>
      </c>
      <c r="Y467" t="s">
        <v>8893</v>
      </c>
      <c r="Z467" t="s">
        <v>8894</v>
      </c>
      <c r="AA467" t="s">
        <v>8895</v>
      </c>
      <c r="AB467" t="s">
        <v>8896</v>
      </c>
      <c r="AC467" t="s">
        <v>8897</v>
      </c>
      <c r="AD467" t="s">
        <v>8898</v>
      </c>
      <c r="AE467" t="s">
        <v>8899</v>
      </c>
      <c r="AF467" t="s">
        <v>74</v>
      </c>
      <c r="AG467">
        <v>338</v>
      </c>
      <c r="AH467">
        <v>223</v>
      </c>
      <c r="AI467">
        <v>243</v>
      </c>
      <c r="AJ467">
        <v>2</v>
      </c>
      <c r="AK467">
        <v>160</v>
      </c>
      <c r="AL467" t="s">
        <v>506</v>
      </c>
      <c r="AM467" t="s">
        <v>442</v>
      </c>
      <c r="AN467" t="s">
        <v>507</v>
      </c>
      <c r="AO467" t="s">
        <v>4703</v>
      </c>
      <c r="AP467" t="s">
        <v>8863</v>
      </c>
      <c r="AQ467" t="s">
        <v>74</v>
      </c>
      <c r="AR467" t="s">
        <v>4704</v>
      </c>
      <c r="AS467" t="s">
        <v>4705</v>
      </c>
      <c r="AT467" t="s">
        <v>8806</v>
      </c>
      <c r="AU467">
        <v>2013</v>
      </c>
      <c r="AV467">
        <v>68</v>
      </c>
      <c r="AW467" t="s">
        <v>74</v>
      </c>
      <c r="AX467" t="s">
        <v>74</v>
      </c>
      <c r="AY467" t="s">
        <v>74</v>
      </c>
      <c r="AZ467" t="s">
        <v>74</v>
      </c>
      <c r="BA467" t="s">
        <v>74</v>
      </c>
      <c r="BB467">
        <v>76</v>
      </c>
      <c r="BC467">
        <v>95</v>
      </c>
      <c r="BD467" t="s">
        <v>74</v>
      </c>
      <c r="BE467" t="s">
        <v>8900</v>
      </c>
      <c r="BF467" t="str">
        <f>HYPERLINK("http://dx.doi.org/10.1016/j.quascirev.2013.01.017","http://dx.doi.org/10.1016/j.quascirev.2013.01.017")</f>
        <v>http://dx.doi.org/10.1016/j.quascirev.2013.01.017</v>
      </c>
      <c r="BG467" t="s">
        <v>74</v>
      </c>
      <c r="BH467" t="s">
        <v>74</v>
      </c>
      <c r="BI467">
        <v>20</v>
      </c>
      <c r="BJ467" t="s">
        <v>650</v>
      </c>
      <c r="BK467" t="s">
        <v>102</v>
      </c>
      <c r="BL467" t="s">
        <v>651</v>
      </c>
      <c r="BM467" t="s">
        <v>8849</v>
      </c>
      <c r="BN467" t="s">
        <v>74</v>
      </c>
      <c r="BO467" t="s">
        <v>74</v>
      </c>
      <c r="BP467" t="s">
        <v>74</v>
      </c>
      <c r="BQ467" t="s">
        <v>74</v>
      </c>
      <c r="BR467" t="s">
        <v>105</v>
      </c>
      <c r="BS467" t="s">
        <v>8901</v>
      </c>
      <c r="BT467" t="str">
        <f>HYPERLINK("https%3A%2F%2Fwww.webofscience.com%2Fwos%2Fwoscc%2Ffull-record%2FWOS:000318383900005","View Full Record in Web of Science")</f>
        <v>View Full Record in Web of Science</v>
      </c>
    </row>
    <row r="468" spans="1:72" x14ac:dyDescent="0.15">
      <c r="A468" t="s">
        <v>72</v>
      </c>
      <c r="B468" t="s">
        <v>8902</v>
      </c>
      <c r="C468" t="s">
        <v>74</v>
      </c>
      <c r="D468" t="s">
        <v>74</v>
      </c>
      <c r="E468" t="s">
        <v>74</v>
      </c>
      <c r="F468" t="s">
        <v>8903</v>
      </c>
      <c r="G468" t="s">
        <v>74</v>
      </c>
      <c r="H468" t="s">
        <v>74</v>
      </c>
      <c r="I468" t="s">
        <v>8904</v>
      </c>
      <c r="J468" t="s">
        <v>4690</v>
      </c>
      <c r="K468" t="s">
        <v>74</v>
      </c>
      <c r="L468" t="s">
        <v>74</v>
      </c>
      <c r="M468" t="s">
        <v>78</v>
      </c>
      <c r="N468" t="s">
        <v>79</v>
      </c>
      <c r="O468" t="s">
        <v>74</v>
      </c>
      <c r="P468" t="s">
        <v>74</v>
      </c>
      <c r="Q468" t="s">
        <v>74</v>
      </c>
      <c r="R468" t="s">
        <v>74</v>
      </c>
      <c r="S468" t="s">
        <v>74</v>
      </c>
      <c r="T468" t="s">
        <v>8905</v>
      </c>
      <c r="U468" t="s">
        <v>8906</v>
      </c>
      <c r="V468" t="s">
        <v>8907</v>
      </c>
      <c r="W468" t="s">
        <v>8908</v>
      </c>
      <c r="X468" t="s">
        <v>8909</v>
      </c>
      <c r="Y468" t="s">
        <v>8910</v>
      </c>
      <c r="Z468" t="s">
        <v>8911</v>
      </c>
      <c r="AA468" t="s">
        <v>8912</v>
      </c>
      <c r="AB468" t="s">
        <v>8913</v>
      </c>
      <c r="AC468" t="s">
        <v>8914</v>
      </c>
      <c r="AD468" t="s">
        <v>8915</v>
      </c>
      <c r="AE468" t="s">
        <v>8916</v>
      </c>
      <c r="AF468" t="s">
        <v>74</v>
      </c>
      <c r="AG468">
        <v>87</v>
      </c>
      <c r="AH468">
        <v>35</v>
      </c>
      <c r="AI468">
        <v>37</v>
      </c>
      <c r="AJ468">
        <v>2</v>
      </c>
      <c r="AK468">
        <v>55</v>
      </c>
      <c r="AL468" t="s">
        <v>506</v>
      </c>
      <c r="AM468" t="s">
        <v>442</v>
      </c>
      <c r="AN468" t="s">
        <v>507</v>
      </c>
      <c r="AO468" t="s">
        <v>4703</v>
      </c>
      <c r="AP468" t="s">
        <v>8863</v>
      </c>
      <c r="AQ468" t="s">
        <v>74</v>
      </c>
      <c r="AR468" t="s">
        <v>4704</v>
      </c>
      <c r="AS468" t="s">
        <v>4705</v>
      </c>
      <c r="AT468" t="s">
        <v>8806</v>
      </c>
      <c r="AU468">
        <v>2013</v>
      </c>
      <c r="AV468">
        <v>68</v>
      </c>
      <c r="AW468" t="s">
        <v>74</v>
      </c>
      <c r="AX468" t="s">
        <v>74</v>
      </c>
      <c r="AY468" t="s">
        <v>74</v>
      </c>
      <c r="AZ468" t="s">
        <v>74</v>
      </c>
      <c r="BA468" t="s">
        <v>74</v>
      </c>
      <c r="BB468">
        <v>216</v>
      </c>
      <c r="BC468">
        <v>236</v>
      </c>
      <c r="BD468" t="s">
        <v>74</v>
      </c>
      <c r="BE468" t="s">
        <v>8917</v>
      </c>
      <c r="BF468" t="str">
        <f>HYPERLINK("http://dx.doi.org/10.1016/j.quascirev.2013.02.002","http://dx.doi.org/10.1016/j.quascirev.2013.02.002")</f>
        <v>http://dx.doi.org/10.1016/j.quascirev.2013.02.002</v>
      </c>
      <c r="BG468" t="s">
        <v>74</v>
      </c>
      <c r="BH468" t="s">
        <v>74</v>
      </c>
      <c r="BI468">
        <v>21</v>
      </c>
      <c r="BJ468" t="s">
        <v>650</v>
      </c>
      <c r="BK468" t="s">
        <v>102</v>
      </c>
      <c r="BL468" t="s">
        <v>651</v>
      </c>
      <c r="BM468" t="s">
        <v>8849</v>
      </c>
      <c r="BN468" t="s">
        <v>74</v>
      </c>
      <c r="BO468" t="s">
        <v>1063</v>
      </c>
      <c r="BP468" t="s">
        <v>74</v>
      </c>
      <c r="BQ468" t="s">
        <v>74</v>
      </c>
      <c r="BR468" t="s">
        <v>105</v>
      </c>
      <c r="BS468" t="s">
        <v>8918</v>
      </c>
      <c r="BT468" t="str">
        <f>HYPERLINK("https%3A%2F%2Fwww.webofscience.com%2Fwos%2Fwoscc%2Ffull-record%2FWOS:000318383900014","View Full Record in Web of Science")</f>
        <v>View Full Record in Web of Science</v>
      </c>
    </row>
    <row r="469" spans="1:72" x14ac:dyDescent="0.15">
      <c r="A469" t="s">
        <v>72</v>
      </c>
      <c r="B469" t="s">
        <v>8919</v>
      </c>
      <c r="C469" t="s">
        <v>74</v>
      </c>
      <c r="D469" t="s">
        <v>74</v>
      </c>
      <c r="E469" t="s">
        <v>74</v>
      </c>
      <c r="F469" t="s">
        <v>8920</v>
      </c>
      <c r="G469" t="s">
        <v>74</v>
      </c>
      <c r="H469" t="s">
        <v>74</v>
      </c>
      <c r="I469" t="s">
        <v>8921</v>
      </c>
      <c r="J469" t="s">
        <v>8922</v>
      </c>
      <c r="K469" t="s">
        <v>74</v>
      </c>
      <c r="L469" t="s">
        <v>74</v>
      </c>
      <c r="M469" t="s">
        <v>78</v>
      </c>
      <c r="N469" t="s">
        <v>79</v>
      </c>
      <c r="O469" t="s">
        <v>74</v>
      </c>
      <c r="P469" t="s">
        <v>74</v>
      </c>
      <c r="Q469" t="s">
        <v>74</v>
      </c>
      <c r="R469" t="s">
        <v>74</v>
      </c>
      <c r="S469" t="s">
        <v>74</v>
      </c>
      <c r="T469" t="s">
        <v>8923</v>
      </c>
      <c r="U469" t="s">
        <v>8924</v>
      </c>
      <c r="V469" t="s">
        <v>8925</v>
      </c>
      <c r="W469" t="s">
        <v>8926</v>
      </c>
      <c r="X469" t="s">
        <v>8927</v>
      </c>
      <c r="Y469" t="s">
        <v>8928</v>
      </c>
      <c r="Z469" t="s">
        <v>8929</v>
      </c>
      <c r="AA469" t="s">
        <v>8930</v>
      </c>
      <c r="AB469" t="s">
        <v>8931</v>
      </c>
      <c r="AC469" t="s">
        <v>8932</v>
      </c>
      <c r="AD469" t="s">
        <v>8933</v>
      </c>
      <c r="AE469" t="s">
        <v>8934</v>
      </c>
      <c r="AF469" t="s">
        <v>74</v>
      </c>
      <c r="AG469">
        <v>76</v>
      </c>
      <c r="AH469">
        <v>166</v>
      </c>
      <c r="AI469">
        <v>193</v>
      </c>
      <c r="AJ469">
        <v>9</v>
      </c>
      <c r="AK469">
        <v>318</v>
      </c>
      <c r="AL469" t="s">
        <v>1244</v>
      </c>
      <c r="AM469" t="s">
        <v>391</v>
      </c>
      <c r="AN469" t="s">
        <v>1245</v>
      </c>
      <c r="AO469" t="s">
        <v>8935</v>
      </c>
      <c r="AP469" t="s">
        <v>8936</v>
      </c>
      <c r="AQ469" t="s">
        <v>74</v>
      </c>
      <c r="AR469" t="s">
        <v>8937</v>
      </c>
      <c r="AS469" t="s">
        <v>8938</v>
      </c>
      <c r="AT469" t="s">
        <v>8806</v>
      </c>
      <c r="AU469">
        <v>2013</v>
      </c>
      <c r="AV469">
        <v>132</v>
      </c>
      <c r="AW469" t="s">
        <v>74</v>
      </c>
      <c r="AX469" t="s">
        <v>74</v>
      </c>
      <c r="AY469" t="s">
        <v>74</v>
      </c>
      <c r="AZ469" t="s">
        <v>74</v>
      </c>
      <c r="BA469" t="s">
        <v>74</v>
      </c>
      <c r="BB469">
        <v>131</v>
      </c>
      <c r="BC469">
        <v>144</v>
      </c>
      <c r="BD469" t="s">
        <v>74</v>
      </c>
      <c r="BE469" t="s">
        <v>8939</v>
      </c>
      <c r="BF469" t="str">
        <f>HYPERLINK("http://dx.doi.org/10.1016/j.rse.2013.01.005","http://dx.doi.org/10.1016/j.rse.2013.01.005")</f>
        <v>http://dx.doi.org/10.1016/j.rse.2013.01.005</v>
      </c>
      <c r="BG469" t="s">
        <v>74</v>
      </c>
      <c r="BH469" t="s">
        <v>74</v>
      </c>
      <c r="BI469">
        <v>14</v>
      </c>
      <c r="BJ469" t="s">
        <v>8940</v>
      </c>
      <c r="BK469" t="s">
        <v>102</v>
      </c>
      <c r="BL469" t="s">
        <v>8941</v>
      </c>
      <c r="BM469" t="s">
        <v>8942</v>
      </c>
      <c r="BN469" t="s">
        <v>74</v>
      </c>
      <c r="BO469" t="s">
        <v>74</v>
      </c>
      <c r="BP469" t="s">
        <v>74</v>
      </c>
      <c r="BQ469" t="s">
        <v>74</v>
      </c>
      <c r="BR469" t="s">
        <v>105</v>
      </c>
      <c r="BS469" t="s">
        <v>8943</v>
      </c>
      <c r="BT469" t="str">
        <f>HYPERLINK("https%3A%2F%2Fwww.webofscience.com%2Fwos%2Fwoscc%2Ffull-record%2FWOS:000316831400011","View Full Record in Web of Science")</f>
        <v>View Full Record in Web of Science</v>
      </c>
    </row>
    <row r="470" spans="1:72" x14ac:dyDescent="0.15">
      <c r="A470" t="s">
        <v>72</v>
      </c>
      <c r="B470" t="s">
        <v>8944</v>
      </c>
      <c r="C470" t="s">
        <v>74</v>
      </c>
      <c r="D470" t="s">
        <v>74</v>
      </c>
      <c r="E470" t="s">
        <v>74</v>
      </c>
      <c r="F470" t="s">
        <v>8945</v>
      </c>
      <c r="G470" t="s">
        <v>74</v>
      </c>
      <c r="H470" t="s">
        <v>74</v>
      </c>
      <c r="I470" t="s">
        <v>8946</v>
      </c>
      <c r="J470" t="s">
        <v>8922</v>
      </c>
      <c r="K470" t="s">
        <v>74</v>
      </c>
      <c r="L470" t="s">
        <v>74</v>
      </c>
      <c r="M470" t="s">
        <v>78</v>
      </c>
      <c r="N470" t="s">
        <v>79</v>
      </c>
      <c r="O470" t="s">
        <v>74</v>
      </c>
      <c r="P470" t="s">
        <v>74</v>
      </c>
      <c r="Q470" t="s">
        <v>74</v>
      </c>
      <c r="R470" t="s">
        <v>74</v>
      </c>
      <c r="S470" t="s">
        <v>74</v>
      </c>
      <c r="T470" t="s">
        <v>8947</v>
      </c>
      <c r="U470" t="s">
        <v>8948</v>
      </c>
      <c r="V470" t="s">
        <v>8949</v>
      </c>
      <c r="W470" t="s">
        <v>8950</v>
      </c>
      <c r="X470" t="s">
        <v>8951</v>
      </c>
      <c r="Y470" t="s">
        <v>8952</v>
      </c>
      <c r="Z470" t="s">
        <v>8953</v>
      </c>
      <c r="AA470" t="s">
        <v>8954</v>
      </c>
      <c r="AB470" t="s">
        <v>8955</v>
      </c>
      <c r="AC470" t="s">
        <v>8956</v>
      </c>
      <c r="AD470" t="s">
        <v>8957</v>
      </c>
      <c r="AE470" t="s">
        <v>8958</v>
      </c>
      <c r="AF470" t="s">
        <v>74</v>
      </c>
      <c r="AG470">
        <v>66</v>
      </c>
      <c r="AH470">
        <v>38</v>
      </c>
      <c r="AI470">
        <v>40</v>
      </c>
      <c r="AJ470">
        <v>1</v>
      </c>
      <c r="AK470">
        <v>107</v>
      </c>
      <c r="AL470" t="s">
        <v>1244</v>
      </c>
      <c r="AM470" t="s">
        <v>391</v>
      </c>
      <c r="AN470" t="s">
        <v>8959</v>
      </c>
      <c r="AO470" t="s">
        <v>8935</v>
      </c>
      <c r="AP470" t="s">
        <v>8936</v>
      </c>
      <c r="AQ470" t="s">
        <v>74</v>
      </c>
      <c r="AR470" t="s">
        <v>8937</v>
      </c>
      <c r="AS470" t="s">
        <v>8938</v>
      </c>
      <c r="AT470" t="s">
        <v>8806</v>
      </c>
      <c r="AU470">
        <v>2013</v>
      </c>
      <c r="AV470">
        <v>132</v>
      </c>
      <c r="AW470" t="s">
        <v>74</v>
      </c>
      <c r="AX470" t="s">
        <v>74</v>
      </c>
      <c r="AY470" t="s">
        <v>74</v>
      </c>
      <c r="AZ470" t="s">
        <v>74</v>
      </c>
      <c r="BA470" t="s">
        <v>74</v>
      </c>
      <c r="BB470">
        <v>195</v>
      </c>
      <c r="BC470">
        <v>201</v>
      </c>
      <c r="BD470" t="s">
        <v>74</v>
      </c>
      <c r="BE470" t="s">
        <v>8960</v>
      </c>
      <c r="BF470" t="str">
        <f>HYPERLINK("http://dx.doi.org/10.1016/j.rse.2013.01.014","http://dx.doi.org/10.1016/j.rse.2013.01.014")</f>
        <v>http://dx.doi.org/10.1016/j.rse.2013.01.014</v>
      </c>
      <c r="BG470" t="s">
        <v>74</v>
      </c>
      <c r="BH470" t="s">
        <v>74</v>
      </c>
      <c r="BI470">
        <v>7</v>
      </c>
      <c r="BJ470" t="s">
        <v>8940</v>
      </c>
      <c r="BK470" t="s">
        <v>102</v>
      </c>
      <c r="BL470" t="s">
        <v>8941</v>
      </c>
      <c r="BM470" t="s">
        <v>8942</v>
      </c>
      <c r="BN470" t="s">
        <v>74</v>
      </c>
      <c r="BO470" t="s">
        <v>74</v>
      </c>
      <c r="BP470" t="s">
        <v>74</v>
      </c>
      <c r="BQ470" t="s">
        <v>74</v>
      </c>
      <c r="BR470" t="s">
        <v>105</v>
      </c>
      <c r="BS470" t="s">
        <v>8961</v>
      </c>
      <c r="BT470" t="str">
        <f>HYPERLINK("https%3A%2F%2Fwww.webofscience.com%2Fwos%2Fwoscc%2Ffull-record%2FWOS:000316831400016","View Full Record in Web of Science")</f>
        <v>View Full Record in Web of Science</v>
      </c>
    </row>
    <row r="471" spans="1:72" x14ac:dyDescent="0.15">
      <c r="A471" t="s">
        <v>72</v>
      </c>
      <c r="B471" t="s">
        <v>8962</v>
      </c>
      <c r="C471" t="s">
        <v>74</v>
      </c>
      <c r="D471" t="s">
        <v>74</v>
      </c>
      <c r="E471" t="s">
        <v>74</v>
      </c>
      <c r="F471" t="s">
        <v>8963</v>
      </c>
      <c r="G471" t="s">
        <v>74</v>
      </c>
      <c r="H471" t="s">
        <v>74</v>
      </c>
      <c r="I471" t="s">
        <v>8964</v>
      </c>
      <c r="J471" t="s">
        <v>8922</v>
      </c>
      <c r="K471" t="s">
        <v>74</v>
      </c>
      <c r="L471" t="s">
        <v>74</v>
      </c>
      <c r="M471" t="s">
        <v>78</v>
      </c>
      <c r="N471" t="s">
        <v>79</v>
      </c>
      <c r="O471" t="s">
        <v>74</v>
      </c>
      <c r="P471" t="s">
        <v>74</v>
      </c>
      <c r="Q471" t="s">
        <v>74</v>
      </c>
      <c r="R471" t="s">
        <v>74</v>
      </c>
      <c r="S471" t="s">
        <v>74</v>
      </c>
      <c r="T471" t="s">
        <v>8965</v>
      </c>
      <c r="U471" t="s">
        <v>8966</v>
      </c>
      <c r="V471" t="s">
        <v>8967</v>
      </c>
      <c r="W471" t="s">
        <v>8968</v>
      </c>
      <c r="X471" t="s">
        <v>8969</v>
      </c>
      <c r="Y471" t="s">
        <v>8970</v>
      </c>
      <c r="Z471" t="s">
        <v>8971</v>
      </c>
      <c r="AA471" t="s">
        <v>8972</v>
      </c>
      <c r="AB471" t="s">
        <v>8973</v>
      </c>
      <c r="AC471" t="s">
        <v>8974</v>
      </c>
      <c r="AD471" t="s">
        <v>8975</v>
      </c>
      <c r="AE471" t="s">
        <v>8976</v>
      </c>
      <c r="AF471" t="s">
        <v>74</v>
      </c>
      <c r="AG471">
        <v>61</v>
      </c>
      <c r="AH471">
        <v>19</v>
      </c>
      <c r="AI471">
        <v>26</v>
      </c>
      <c r="AJ471">
        <v>2</v>
      </c>
      <c r="AK471">
        <v>70</v>
      </c>
      <c r="AL471" t="s">
        <v>1244</v>
      </c>
      <c r="AM471" t="s">
        <v>391</v>
      </c>
      <c r="AN471" t="s">
        <v>8959</v>
      </c>
      <c r="AO471" t="s">
        <v>8935</v>
      </c>
      <c r="AP471" t="s">
        <v>8936</v>
      </c>
      <c r="AQ471" t="s">
        <v>74</v>
      </c>
      <c r="AR471" t="s">
        <v>8937</v>
      </c>
      <c r="AS471" t="s">
        <v>8938</v>
      </c>
      <c r="AT471" t="s">
        <v>8806</v>
      </c>
      <c r="AU471">
        <v>2013</v>
      </c>
      <c r="AV471">
        <v>132</v>
      </c>
      <c r="AW471" t="s">
        <v>74</v>
      </c>
      <c r="AX471" t="s">
        <v>74</v>
      </c>
      <c r="AY471" t="s">
        <v>74</v>
      </c>
      <c r="AZ471" t="s">
        <v>74</v>
      </c>
      <c r="BA471" t="s">
        <v>74</v>
      </c>
      <c r="BB471">
        <v>40</v>
      </c>
      <c r="BC471">
        <v>48</v>
      </c>
      <c r="BD471" t="s">
        <v>74</v>
      </c>
      <c r="BE471" t="s">
        <v>8977</v>
      </c>
      <c r="BF471" t="str">
        <f>HYPERLINK("http://dx.doi.org/10.1016/j.rse.2013.01.007","http://dx.doi.org/10.1016/j.rse.2013.01.007")</f>
        <v>http://dx.doi.org/10.1016/j.rse.2013.01.007</v>
      </c>
      <c r="BG471" t="s">
        <v>74</v>
      </c>
      <c r="BH471" t="s">
        <v>74</v>
      </c>
      <c r="BI471">
        <v>9</v>
      </c>
      <c r="BJ471" t="s">
        <v>8940</v>
      </c>
      <c r="BK471" t="s">
        <v>102</v>
      </c>
      <c r="BL471" t="s">
        <v>8941</v>
      </c>
      <c r="BM471" t="s">
        <v>8942</v>
      </c>
      <c r="BN471" t="s">
        <v>74</v>
      </c>
      <c r="BO471" t="s">
        <v>74</v>
      </c>
      <c r="BP471" t="s">
        <v>74</v>
      </c>
      <c r="BQ471" t="s">
        <v>74</v>
      </c>
      <c r="BR471" t="s">
        <v>105</v>
      </c>
      <c r="BS471" t="s">
        <v>8978</v>
      </c>
      <c r="BT471" t="str">
        <f>HYPERLINK("https%3A%2F%2Fwww.webofscience.com%2Fwos%2Fwoscc%2Ffull-record%2FWOS:000316831400004","View Full Record in Web of Science")</f>
        <v>View Full Record in Web of Science</v>
      </c>
    </row>
    <row r="472" spans="1:72" x14ac:dyDescent="0.15">
      <c r="A472" t="s">
        <v>72</v>
      </c>
      <c r="B472" t="s">
        <v>8979</v>
      </c>
      <c r="C472" t="s">
        <v>74</v>
      </c>
      <c r="D472" t="s">
        <v>74</v>
      </c>
      <c r="E472" t="s">
        <v>74</v>
      </c>
      <c r="F472" t="s">
        <v>8980</v>
      </c>
      <c r="G472" t="s">
        <v>74</v>
      </c>
      <c r="H472" t="s">
        <v>74</v>
      </c>
      <c r="I472" t="s">
        <v>8981</v>
      </c>
      <c r="J472" t="s">
        <v>2343</v>
      </c>
      <c r="K472" t="s">
        <v>74</v>
      </c>
      <c r="L472" t="s">
        <v>74</v>
      </c>
      <c r="M472" t="s">
        <v>78</v>
      </c>
      <c r="N472" t="s">
        <v>79</v>
      </c>
      <c r="O472" t="s">
        <v>74</v>
      </c>
      <c r="P472" t="s">
        <v>74</v>
      </c>
      <c r="Q472" t="s">
        <v>74</v>
      </c>
      <c r="R472" t="s">
        <v>74</v>
      </c>
      <c r="S472" t="s">
        <v>74</v>
      </c>
      <c r="T472" t="s">
        <v>74</v>
      </c>
      <c r="U472" t="s">
        <v>8982</v>
      </c>
      <c r="V472" t="s">
        <v>8983</v>
      </c>
      <c r="W472" t="s">
        <v>8984</v>
      </c>
      <c r="X472" t="s">
        <v>2548</v>
      </c>
      <c r="Y472" t="s">
        <v>8985</v>
      </c>
      <c r="Z472" t="s">
        <v>2550</v>
      </c>
      <c r="AA472" t="s">
        <v>8986</v>
      </c>
      <c r="AB472" t="s">
        <v>8987</v>
      </c>
      <c r="AC472" t="s">
        <v>8988</v>
      </c>
      <c r="AD472" t="s">
        <v>8989</v>
      </c>
      <c r="AE472" t="s">
        <v>8990</v>
      </c>
      <c r="AF472" t="s">
        <v>74</v>
      </c>
      <c r="AG472">
        <v>73</v>
      </c>
      <c r="AH472">
        <v>10</v>
      </c>
      <c r="AI472">
        <v>10</v>
      </c>
      <c r="AJ472">
        <v>0</v>
      </c>
      <c r="AK472">
        <v>24</v>
      </c>
      <c r="AL472" t="s">
        <v>2355</v>
      </c>
      <c r="AM472" t="s">
        <v>2356</v>
      </c>
      <c r="AN472" t="s">
        <v>2357</v>
      </c>
      <c r="AO472" t="s">
        <v>2358</v>
      </c>
      <c r="AP472" t="s">
        <v>74</v>
      </c>
      <c r="AQ472" t="s">
        <v>74</v>
      </c>
      <c r="AR472" t="s">
        <v>2343</v>
      </c>
      <c r="AS472" t="s">
        <v>2359</v>
      </c>
      <c r="AT472" t="s">
        <v>8991</v>
      </c>
      <c r="AU472">
        <v>2013</v>
      </c>
      <c r="AV472">
        <v>8</v>
      </c>
      <c r="AW472">
        <v>5</v>
      </c>
      <c r="AX472" t="s">
        <v>74</v>
      </c>
      <c r="AY472" t="s">
        <v>74</v>
      </c>
      <c r="AZ472" t="s">
        <v>74</v>
      </c>
      <c r="BA472" t="s">
        <v>74</v>
      </c>
      <c r="BB472" t="s">
        <v>74</v>
      </c>
      <c r="BC472" t="s">
        <v>74</v>
      </c>
      <c r="BD472" t="s">
        <v>8992</v>
      </c>
      <c r="BE472" t="s">
        <v>8993</v>
      </c>
      <c r="BF472" t="str">
        <f>HYPERLINK("http://dx.doi.org/10.1371/journal.pone.0063954","http://dx.doi.org/10.1371/journal.pone.0063954")</f>
        <v>http://dx.doi.org/10.1371/journal.pone.0063954</v>
      </c>
      <c r="BG472" t="s">
        <v>74</v>
      </c>
      <c r="BH472" t="s">
        <v>74</v>
      </c>
      <c r="BI472">
        <v>8</v>
      </c>
      <c r="BJ472" t="s">
        <v>1880</v>
      </c>
      <c r="BK472" t="s">
        <v>102</v>
      </c>
      <c r="BL472" t="s">
        <v>1881</v>
      </c>
      <c r="BM472" t="s">
        <v>8994</v>
      </c>
      <c r="BN472">
        <v>23691125</v>
      </c>
      <c r="BO472" t="s">
        <v>8995</v>
      </c>
      <c r="BP472" t="s">
        <v>74</v>
      </c>
      <c r="BQ472" t="s">
        <v>74</v>
      </c>
      <c r="BR472" t="s">
        <v>105</v>
      </c>
      <c r="BS472" t="s">
        <v>8996</v>
      </c>
      <c r="BT472" t="str">
        <f>HYPERLINK("https%3A%2F%2Fwww.webofscience.com%2Fwos%2Fwoscc%2Ffull-record%2FWOS:000319107400091","View Full Record in Web of Science")</f>
        <v>View Full Record in Web of Science</v>
      </c>
    </row>
    <row r="473" spans="1:72" x14ac:dyDescent="0.15">
      <c r="A473" t="s">
        <v>72</v>
      </c>
      <c r="B473" t="s">
        <v>8997</v>
      </c>
      <c r="C473" t="s">
        <v>74</v>
      </c>
      <c r="D473" t="s">
        <v>74</v>
      </c>
      <c r="E473" t="s">
        <v>74</v>
      </c>
      <c r="F473" t="s">
        <v>8998</v>
      </c>
      <c r="G473" t="s">
        <v>74</v>
      </c>
      <c r="H473" t="s">
        <v>74</v>
      </c>
      <c r="I473" t="s">
        <v>8999</v>
      </c>
      <c r="J473" t="s">
        <v>2343</v>
      </c>
      <c r="K473" t="s">
        <v>74</v>
      </c>
      <c r="L473" t="s">
        <v>74</v>
      </c>
      <c r="M473" t="s">
        <v>78</v>
      </c>
      <c r="N473" t="s">
        <v>79</v>
      </c>
      <c r="O473" t="s">
        <v>74</v>
      </c>
      <c r="P473" t="s">
        <v>74</v>
      </c>
      <c r="Q473" t="s">
        <v>74</v>
      </c>
      <c r="R473" t="s">
        <v>74</v>
      </c>
      <c r="S473" t="s">
        <v>74</v>
      </c>
      <c r="T473" t="s">
        <v>74</v>
      </c>
      <c r="U473" t="s">
        <v>9000</v>
      </c>
      <c r="V473" t="s">
        <v>9001</v>
      </c>
      <c r="W473" t="s">
        <v>9002</v>
      </c>
      <c r="X473" t="s">
        <v>9003</v>
      </c>
      <c r="Y473" t="s">
        <v>9004</v>
      </c>
      <c r="Z473" t="s">
        <v>9005</v>
      </c>
      <c r="AA473" t="s">
        <v>9006</v>
      </c>
      <c r="AB473" t="s">
        <v>9007</v>
      </c>
      <c r="AC473" t="s">
        <v>9008</v>
      </c>
      <c r="AD473" t="s">
        <v>9009</v>
      </c>
      <c r="AE473" t="s">
        <v>9010</v>
      </c>
      <c r="AF473" t="s">
        <v>74</v>
      </c>
      <c r="AG473">
        <v>39</v>
      </c>
      <c r="AH473">
        <v>43</v>
      </c>
      <c r="AI473">
        <v>44</v>
      </c>
      <c r="AJ473">
        <v>1</v>
      </c>
      <c r="AK473">
        <v>47</v>
      </c>
      <c r="AL473" t="s">
        <v>2355</v>
      </c>
      <c r="AM473" t="s">
        <v>2356</v>
      </c>
      <c r="AN473" t="s">
        <v>2357</v>
      </c>
      <c r="AO473" t="s">
        <v>2358</v>
      </c>
      <c r="AP473" t="s">
        <v>74</v>
      </c>
      <c r="AQ473" t="s">
        <v>74</v>
      </c>
      <c r="AR473" t="s">
        <v>2343</v>
      </c>
      <c r="AS473" t="s">
        <v>2359</v>
      </c>
      <c r="AT473" t="s">
        <v>9011</v>
      </c>
      <c r="AU473">
        <v>2013</v>
      </c>
      <c r="AV473">
        <v>8</v>
      </c>
      <c r="AW473">
        <v>5</v>
      </c>
      <c r="AX473" t="s">
        <v>74</v>
      </c>
      <c r="AY473" t="s">
        <v>74</v>
      </c>
      <c r="AZ473" t="s">
        <v>74</v>
      </c>
      <c r="BA473" t="s">
        <v>74</v>
      </c>
      <c r="BB473" t="s">
        <v>74</v>
      </c>
      <c r="BC473" t="s">
        <v>74</v>
      </c>
      <c r="BD473" t="s">
        <v>9012</v>
      </c>
      <c r="BE473" t="s">
        <v>9013</v>
      </c>
      <c r="BF473" t="str">
        <f>HYPERLINK("http://dx.doi.org/10.1371/journal.pone.0059548","http://dx.doi.org/10.1371/journal.pone.0059548")</f>
        <v>http://dx.doi.org/10.1371/journal.pone.0059548</v>
      </c>
      <c r="BG473" t="s">
        <v>74</v>
      </c>
      <c r="BH473" t="s">
        <v>74</v>
      </c>
      <c r="BI473">
        <v>9</v>
      </c>
      <c r="BJ473" t="s">
        <v>1880</v>
      </c>
      <c r="BK473" t="s">
        <v>102</v>
      </c>
      <c r="BL473" t="s">
        <v>1881</v>
      </c>
      <c r="BM473" t="s">
        <v>9014</v>
      </c>
      <c r="BN473">
        <v>23667421</v>
      </c>
      <c r="BO473" t="s">
        <v>9015</v>
      </c>
      <c r="BP473" t="s">
        <v>74</v>
      </c>
      <c r="BQ473" t="s">
        <v>74</v>
      </c>
      <c r="BR473" t="s">
        <v>105</v>
      </c>
      <c r="BS473" t="s">
        <v>9016</v>
      </c>
      <c r="BT473" t="str">
        <f>HYPERLINK("https%3A%2F%2Fwww.webofscience.com%2Fwos%2Fwoscc%2Ffull-record%2FWOS:000319654700004","View Full Record in Web of Science")</f>
        <v>View Full Record in Web of Science</v>
      </c>
    </row>
    <row r="474" spans="1:72" x14ac:dyDescent="0.15">
      <c r="A474" t="s">
        <v>72</v>
      </c>
      <c r="B474" t="s">
        <v>9017</v>
      </c>
      <c r="C474" t="s">
        <v>74</v>
      </c>
      <c r="D474" t="s">
        <v>74</v>
      </c>
      <c r="E474" t="s">
        <v>74</v>
      </c>
      <c r="F474" t="s">
        <v>9018</v>
      </c>
      <c r="G474" t="s">
        <v>74</v>
      </c>
      <c r="H474" t="s">
        <v>74</v>
      </c>
      <c r="I474" t="s">
        <v>9019</v>
      </c>
      <c r="J474" t="s">
        <v>5197</v>
      </c>
      <c r="K474" t="s">
        <v>74</v>
      </c>
      <c r="L474" t="s">
        <v>74</v>
      </c>
      <c r="M474" t="s">
        <v>78</v>
      </c>
      <c r="N474" t="s">
        <v>79</v>
      </c>
      <c r="O474" t="s">
        <v>74</v>
      </c>
      <c r="P474" t="s">
        <v>74</v>
      </c>
      <c r="Q474" t="s">
        <v>74</v>
      </c>
      <c r="R474" t="s">
        <v>74</v>
      </c>
      <c r="S474" t="s">
        <v>74</v>
      </c>
      <c r="T474" t="s">
        <v>74</v>
      </c>
      <c r="U474" t="s">
        <v>9020</v>
      </c>
      <c r="V474" t="s">
        <v>9021</v>
      </c>
      <c r="W474" t="s">
        <v>9022</v>
      </c>
      <c r="X474" t="s">
        <v>9023</v>
      </c>
      <c r="Y474" t="s">
        <v>9024</v>
      </c>
      <c r="Z474" t="s">
        <v>9025</v>
      </c>
      <c r="AA474" t="s">
        <v>9026</v>
      </c>
      <c r="AB474" t="s">
        <v>9027</v>
      </c>
      <c r="AC474" t="s">
        <v>9028</v>
      </c>
      <c r="AD474" t="s">
        <v>9029</v>
      </c>
      <c r="AE474" t="s">
        <v>9030</v>
      </c>
      <c r="AF474" t="s">
        <v>74</v>
      </c>
      <c r="AG474">
        <v>73</v>
      </c>
      <c r="AH474">
        <v>8</v>
      </c>
      <c r="AI474">
        <v>8</v>
      </c>
      <c r="AJ474">
        <v>1</v>
      </c>
      <c r="AK474">
        <v>44</v>
      </c>
      <c r="AL474" t="s">
        <v>5020</v>
      </c>
      <c r="AM474" t="s">
        <v>93</v>
      </c>
      <c r="AN474" t="s">
        <v>5021</v>
      </c>
      <c r="AO474" t="s">
        <v>5209</v>
      </c>
      <c r="AP474" t="s">
        <v>5210</v>
      </c>
      <c r="AQ474" t="s">
        <v>74</v>
      </c>
      <c r="AR474" t="s">
        <v>5211</v>
      </c>
      <c r="AS474" t="s">
        <v>5212</v>
      </c>
      <c r="AT474" t="s">
        <v>9011</v>
      </c>
      <c r="AU474">
        <v>2013</v>
      </c>
      <c r="AV474">
        <v>47</v>
      </c>
      <c r="AW474">
        <v>9</v>
      </c>
      <c r="AX474" t="s">
        <v>74</v>
      </c>
      <c r="AY474" t="s">
        <v>74</v>
      </c>
      <c r="AZ474" t="s">
        <v>74</v>
      </c>
      <c r="BA474" t="s">
        <v>74</v>
      </c>
      <c r="BB474">
        <v>4416</v>
      </c>
      <c r="BC474">
        <v>4425</v>
      </c>
      <c r="BD474" t="s">
        <v>74</v>
      </c>
      <c r="BE474" t="s">
        <v>9031</v>
      </c>
      <c r="BF474" t="str">
        <f>HYPERLINK("http://dx.doi.org/10.1021/es3047087","http://dx.doi.org/10.1021/es3047087")</f>
        <v>http://dx.doi.org/10.1021/es3047087</v>
      </c>
      <c r="BG474" t="s">
        <v>74</v>
      </c>
      <c r="BH474" t="s">
        <v>74</v>
      </c>
      <c r="BI474">
        <v>10</v>
      </c>
      <c r="BJ474" t="s">
        <v>5215</v>
      </c>
      <c r="BK474" t="s">
        <v>102</v>
      </c>
      <c r="BL474" t="s">
        <v>5216</v>
      </c>
      <c r="BM474" t="s">
        <v>9032</v>
      </c>
      <c r="BN474">
        <v>23594184</v>
      </c>
      <c r="BO474" t="s">
        <v>74</v>
      </c>
      <c r="BP474" t="s">
        <v>74</v>
      </c>
      <c r="BQ474" t="s">
        <v>74</v>
      </c>
      <c r="BR474" t="s">
        <v>105</v>
      </c>
      <c r="BS474" t="s">
        <v>9033</v>
      </c>
      <c r="BT474" t="str">
        <f>HYPERLINK("https%3A%2F%2Fwww.webofscience.com%2Fwos%2Fwoscc%2Ffull-record%2FWOS:000318756000059","View Full Record in Web of Science")</f>
        <v>View Full Record in Web of Science</v>
      </c>
    </row>
    <row r="475" spans="1:72" x14ac:dyDescent="0.15">
      <c r="A475" t="s">
        <v>72</v>
      </c>
      <c r="B475" t="s">
        <v>9034</v>
      </c>
      <c r="C475" t="s">
        <v>74</v>
      </c>
      <c r="D475" t="s">
        <v>74</v>
      </c>
      <c r="E475" t="s">
        <v>74</v>
      </c>
      <c r="F475" t="s">
        <v>9035</v>
      </c>
      <c r="G475" t="s">
        <v>74</v>
      </c>
      <c r="H475" t="s">
        <v>74</v>
      </c>
      <c r="I475" t="s">
        <v>9036</v>
      </c>
      <c r="J475" t="s">
        <v>5197</v>
      </c>
      <c r="K475" t="s">
        <v>74</v>
      </c>
      <c r="L475" t="s">
        <v>74</v>
      </c>
      <c r="M475" t="s">
        <v>78</v>
      </c>
      <c r="N475" t="s">
        <v>79</v>
      </c>
      <c r="O475" t="s">
        <v>74</v>
      </c>
      <c r="P475" t="s">
        <v>74</v>
      </c>
      <c r="Q475" t="s">
        <v>74</v>
      </c>
      <c r="R475" t="s">
        <v>74</v>
      </c>
      <c r="S475" t="s">
        <v>74</v>
      </c>
      <c r="T475" t="s">
        <v>74</v>
      </c>
      <c r="U475" t="s">
        <v>9037</v>
      </c>
      <c r="V475" t="s">
        <v>9038</v>
      </c>
      <c r="W475" t="s">
        <v>9039</v>
      </c>
      <c r="X475" t="s">
        <v>9040</v>
      </c>
      <c r="Y475" t="s">
        <v>9041</v>
      </c>
      <c r="Z475" t="s">
        <v>5593</v>
      </c>
      <c r="AA475" t="s">
        <v>9042</v>
      </c>
      <c r="AB475" t="s">
        <v>9043</v>
      </c>
      <c r="AC475" t="s">
        <v>9044</v>
      </c>
      <c r="AD475" t="s">
        <v>9045</v>
      </c>
      <c r="AE475" t="s">
        <v>9046</v>
      </c>
      <c r="AF475" t="s">
        <v>74</v>
      </c>
      <c r="AG475">
        <v>37</v>
      </c>
      <c r="AH475">
        <v>82</v>
      </c>
      <c r="AI475">
        <v>85</v>
      </c>
      <c r="AJ475">
        <v>5</v>
      </c>
      <c r="AK475">
        <v>146</v>
      </c>
      <c r="AL475" t="s">
        <v>5020</v>
      </c>
      <c r="AM475" t="s">
        <v>93</v>
      </c>
      <c r="AN475" t="s">
        <v>5021</v>
      </c>
      <c r="AO475" t="s">
        <v>5209</v>
      </c>
      <c r="AP475" t="s">
        <v>5210</v>
      </c>
      <c r="AQ475" t="s">
        <v>74</v>
      </c>
      <c r="AR475" t="s">
        <v>5211</v>
      </c>
      <c r="AS475" t="s">
        <v>5212</v>
      </c>
      <c r="AT475" t="s">
        <v>9011</v>
      </c>
      <c r="AU475">
        <v>2013</v>
      </c>
      <c r="AV475">
        <v>47</v>
      </c>
      <c r="AW475">
        <v>9</v>
      </c>
      <c r="AX475" t="s">
        <v>74</v>
      </c>
      <c r="AY475" t="s">
        <v>74</v>
      </c>
      <c r="AZ475" t="s">
        <v>74</v>
      </c>
      <c r="BA475" t="s">
        <v>74</v>
      </c>
      <c r="BB475">
        <v>4299</v>
      </c>
      <c r="BC475">
        <v>4306</v>
      </c>
      <c r="BD475" t="s">
        <v>74</v>
      </c>
      <c r="BE475" t="s">
        <v>9047</v>
      </c>
      <c r="BF475" t="str">
        <f>HYPERLINK("http://dx.doi.org/10.1021/es400471c","http://dx.doi.org/10.1021/es400471c")</f>
        <v>http://dx.doi.org/10.1021/es400471c</v>
      </c>
      <c r="BG475" t="s">
        <v>74</v>
      </c>
      <c r="BH475" t="s">
        <v>74</v>
      </c>
      <c r="BI475">
        <v>8</v>
      </c>
      <c r="BJ475" t="s">
        <v>5215</v>
      </c>
      <c r="BK475" t="s">
        <v>102</v>
      </c>
      <c r="BL475" t="s">
        <v>5216</v>
      </c>
      <c r="BM475" t="s">
        <v>9032</v>
      </c>
      <c r="BN475">
        <v>23582096</v>
      </c>
      <c r="BO475" t="s">
        <v>426</v>
      </c>
      <c r="BP475" t="s">
        <v>74</v>
      </c>
      <c r="BQ475" t="s">
        <v>74</v>
      </c>
      <c r="BR475" t="s">
        <v>105</v>
      </c>
      <c r="BS475" t="s">
        <v>9048</v>
      </c>
      <c r="BT475" t="str">
        <f>HYPERLINK("https%3A%2F%2Fwww.webofscience.com%2Fwos%2Fwoscc%2Ffull-record%2FWOS:000318756000045","View Full Record in Web of Science")</f>
        <v>View Full Record in Web of Science</v>
      </c>
    </row>
    <row r="476" spans="1:72" x14ac:dyDescent="0.15">
      <c r="A476" t="s">
        <v>72</v>
      </c>
      <c r="B476" t="s">
        <v>9049</v>
      </c>
      <c r="C476" t="s">
        <v>74</v>
      </c>
      <c r="D476" t="s">
        <v>74</v>
      </c>
      <c r="E476" t="s">
        <v>74</v>
      </c>
      <c r="F476" t="s">
        <v>9050</v>
      </c>
      <c r="G476" t="s">
        <v>74</v>
      </c>
      <c r="H476" t="s">
        <v>74</v>
      </c>
      <c r="I476" t="s">
        <v>9051</v>
      </c>
      <c r="J476" t="s">
        <v>2253</v>
      </c>
      <c r="K476" t="s">
        <v>74</v>
      </c>
      <c r="L476" t="s">
        <v>74</v>
      </c>
      <c r="M476" t="s">
        <v>78</v>
      </c>
      <c r="N476" t="s">
        <v>79</v>
      </c>
      <c r="O476" t="s">
        <v>74</v>
      </c>
      <c r="P476" t="s">
        <v>74</v>
      </c>
      <c r="Q476" t="s">
        <v>74</v>
      </c>
      <c r="R476" t="s">
        <v>74</v>
      </c>
      <c r="S476" t="s">
        <v>74</v>
      </c>
      <c r="T476" t="s">
        <v>9052</v>
      </c>
      <c r="U476" t="s">
        <v>9053</v>
      </c>
      <c r="V476" t="s">
        <v>9054</v>
      </c>
      <c r="W476" t="s">
        <v>9055</v>
      </c>
      <c r="X476" t="s">
        <v>9056</v>
      </c>
      <c r="Y476" t="s">
        <v>9057</v>
      </c>
      <c r="Z476" t="s">
        <v>9058</v>
      </c>
      <c r="AA476" t="s">
        <v>9059</v>
      </c>
      <c r="AB476" t="s">
        <v>9060</v>
      </c>
      <c r="AC476" t="s">
        <v>9061</v>
      </c>
      <c r="AD476" t="s">
        <v>9062</v>
      </c>
      <c r="AE476" t="s">
        <v>9063</v>
      </c>
      <c r="AF476" t="s">
        <v>74</v>
      </c>
      <c r="AG476">
        <v>41</v>
      </c>
      <c r="AH476">
        <v>102</v>
      </c>
      <c r="AI476">
        <v>115</v>
      </c>
      <c r="AJ476">
        <v>1</v>
      </c>
      <c r="AK476">
        <v>81</v>
      </c>
      <c r="AL476" t="s">
        <v>2266</v>
      </c>
      <c r="AM476" t="s">
        <v>93</v>
      </c>
      <c r="AN476" t="s">
        <v>2267</v>
      </c>
      <c r="AO476" t="s">
        <v>2268</v>
      </c>
      <c r="AP476" t="s">
        <v>74</v>
      </c>
      <c r="AQ476" t="s">
        <v>74</v>
      </c>
      <c r="AR476" t="s">
        <v>2269</v>
      </c>
      <c r="AS476" t="s">
        <v>2270</v>
      </c>
      <c r="AT476" t="s">
        <v>9011</v>
      </c>
      <c r="AU476">
        <v>2013</v>
      </c>
      <c r="AV476">
        <v>110</v>
      </c>
      <c r="AW476">
        <v>19</v>
      </c>
      <c r="AX476" t="s">
        <v>74</v>
      </c>
      <c r="AY476" t="s">
        <v>74</v>
      </c>
      <c r="AZ476" t="s">
        <v>74</v>
      </c>
      <c r="BA476" t="s">
        <v>74</v>
      </c>
      <c r="BB476">
        <v>7562</v>
      </c>
      <c r="BC476">
        <v>7567</v>
      </c>
      <c r="BD476" t="s">
        <v>74</v>
      </c>
      <c r="BE476" t="s">
        <v>9064</v>
      </c>
      <c r="BF476" t="str">
        <f>HYPERLINK("http://dx.doi.org/10.1073/pnas.1210930110","http://dx.doi.org/10.1073/pnas.1210930110")</f>
        <v>http://dx.doi.org/10.1073/pnas.1210930110</v>
      </c>
      <c r="BG476" t="s">
        <v>74</v>
      </c>
      <c r="BH476" t="s">
        <v>74</v>
      </c>
      <c r="BI476">
        <v>6</v>
      </c>
      <c r="BJ476" t="s">
        <v>1880</v>
      </c>
      <c r="BK476" t="s">
        <v>102</v>
      </c>
      <c r="BL476" t="s">
        <v>1881</v>
      </c>
      <c r="BM476" t="s">
        <v>9065</v>
      </c>
      <c r="BN476">
        <v>23610424</v>
      </c>
      <c r="BO476" t="s">
        <v>7824</v>
      </c>
      <c r="BP476" t="s">
        <v>74</v>
      </c>
      <c r="BQ476" t="s">
        <v>74</v>
      </c>
      <c r="BR476" t="s">
        <v>105</v>
      </c>
      <c r="BS476" t="s">
        <v>9066</v>
      </c>
      <c r="BT476" t="str">
        <f>HYPERLINK("https%3A%2F%2Fwww.webofscience.com%2Fwos%2Fwoscc%2Ffull-record%2FWOS:000319327700024","View Full Record in Web of Science")</f>
        <v>View Full Record in Web of Science</v>
      </c>
    </row>
    <row r="477" spans="1:72" x14ac:dyDescent="0.15">
      <c r="A477" t="s">
        <v>72</v>
      </c>
      <c r="B477" t="s">
        <v>9067</v>
      </c>
      <c r="C477" t="s">
        <v>74</v>
      </c>
      <c r="D477" t="s">
        <v>74</v>
      </c>
      <c r="E477" t="s">
        <v>74</v>
      </c>
      <c r="F477" t="s">
        <v>9068</v>
      </c>
      <c r="G477" t="s">
        <v>74</v>
      </c>
      <c r="H477" t="s">
        <v>74</v>
      </c>
      <c r="I477" t="s">
        <v>9069</v>
      </c>
      <c r="J477" t="s">
        <v>2343</v>
      </c>
      <c r="K477" t="s">
        <v>74</v>
      </c>
      <c r="L477" t="s">
        <v>74</v>
      </c>
      <c r="M477" t="s">
        <v>78</v>
      </c>
      <c r="N477" t="s">
        <v>79</v>
      </c>
      <c r="O477" t="s">
        <v>74</v>
      </c>
      <c r="P477" t="s">
        <v>74</v>
      </c>
      <c r="Q477" t="s">
        <v>74</v>
      </c>
      <c r="R477" t="s">
        <v>74</v>
      </c>
      <c r="S477" t="s">
        <v>74</v>
      </c>
      <c r="T477" t="s">
        <v>74</v>
      </c>
      <c r="U477" t="s">
        <v>9070</v>
      </c>
      <c r="V477" t="s">
        <v>9071</v>
      </c>
      <c r="W477" t="s">
        <v>9072</v>
      </c>
      <c r="X477" t="s">
        <v>6866</v>
      </c>
      <c r="Y477" t="s">
        <v>9073</v>
      </c>
      <c r="Z477" t="s">
        <v>9074</v>
      </c>
      <c r="AA477" t="s">
        <v>6575</v>
      </c>
      <c r="AB477" t="s">
        <v>6576</v>
      </c>
      <c r="AC477" t="s">
        <v>9075</v>
      </c>
      <c r="AD477" t="s">
        <v>9076</v>
      </c>
      <c r="AE477" t="s">
        <v>9077</v>
      </c>
      <c r="AF477" t="s">
        <v>74</v>
      </c>
      <c r="AG477">
        <v>83</v>
      </c>
      <c r="AH477">
        <v>4</v>
      </c>
      <c r="AI477">
        <v>4</v>
      </c>
      <c r="AJ477">
        <v>0</v>
      </c>
      <c r="AK477">
        <v>35</v>
      </c>
      <c r="AL477" t="s">
        <v>2355</v>
      </c>
      <c r="AM477" t="s">
        <v>2356</v>
      </c>
      <c r="AN477" t="s">
        <v>2357</v>
      </c>
      <c r="AO477" t="s">
        <v>2358</v>
      </c>
      <c r="AP477" t="s">
        <v>74</v>
      </c>
      <c r="AQ477" t="s">
        <v>74</v>
      </c>
      <c r="AR477" t="s">
        <v>2343</v>
      </c>
      <c r="AS477" t="s">
        <v>2359</v>
      </c>
      <c r="AT477" t="s">
        <v>9078</v>
      </c>
      <c r="AU477">
        <v>2013</v>
      </c>
      <c r="AV477">
        <v>8</v>
      </c>
      <c r="AW477">
        <v>5</v>
      </c>
      <c r="AX477" t="s">
        <v>74</v>
      </c>
      <c r="AY477" t="s">
        <v>74</v>
      </c>
      <c r="AZ477" t="s">
        <v>74</v>
      </c>
      <c r="BA477" t="s">
        <v>74</v>
      </c>
      <c r="BB477" t="s">
        <v>74</v>
      </c>
      <c r="BC477" t="s">
        <v>74</v>
      </c>
      <c r="BD477" t="s">
        <v>9079</v>
      </c>
      <c r="BE477" t="s">
        <v>9080</v>
      </c>
      <c r="BF477" t="str">
        <f>HYPERLINK("http://dx.doi.org/10.1371/journal.pone.0062728","http://dx.doi.org/10.1371/journal.pone.0062728")</f>
        <v>http://dx.doi.org/10.1371/journal.pone.0062728</v>
      </c>
      <c r="BG477" t="s">
        <v>74</v>
      </c>
      <c r="BH477" t="s">
        <v>74</v>
      </c>
      <c r="BI477">
        <v>10</v>
      </c>
      <c r="BJ477" t="s">
        <v>1880</v>
      </c>
      <c r="BK477" t="s">
        <v>102</v>
      </c>
      <c r="BL477" t="s">
        <v>1881</v>
      </c>
      <c r="BM477" t="s">
        <v>9081</v>
      </c>
      <c r="BN477">
        <v>23671630</v>
      </c>
      <c r="BO477" t="s">
        <v>9082</v>
      </c>
      <c r="BP477" t="s">
        <v>74</v>
      </c>
      <c r="BQ477" t="s">
        <v>74</v>
      </c>
      <c r="BR477" t="s">
        <v>105</v>
      </c>
      <c r="BS477" t="s">
        <v>9083</v>
      </c>
      <c r="BT477" t="str">
        <f>HYPERLINK("https%3A%2F%2Fwww.webofscience.com%2Fwos%2Fwoscc%2Ffull-record%2FWOS:000321390200036","View Full Record in Web of Science")</f>
        <v>View Full Record in Web of Science</v>
      </c>
    </row>
    <row r="478" spans="1:72" x14ac:dyDescent="0.15">
      <c r="A478" t="s">
        <v>72</v>
      </c>
      <c r="B478" t="s">
        <v>9084</v>
      </c>
      <c r="C478" t="s">
        <v>74</v>
      </c>
      <c r="D478" t="s">
        <v>74</v>
      </c>
      <c r="E478" t="s">
        <v>74</v>
      </c>
      <c r="F478" t="s">
        <v>9085</v>
      </c>
      <c r="G478" t="s">
        <v>74</v>
      </c>
      <c r="H478" t="s">
        <v>74</v>
      </c>
      <c r="I478" t="s">
        <v>9086</v>
      </c>
      <c r="J478" t="s">
        <v>2343</v>
      </c>
      <c r="K478" t="s">
        <v>74</v>
      </c>
      <c r="L478" t="s">
        <v>74</v>
      </c>
      <c r="M478" t="s">
        <v>78</v>
      </c>
      <c r="N478" t="s">
        <v>79</v>
      </c>
      <c r="O478" t="s">
        <v>74</v>
      </c>
      <c r="P478" t="s">
        <v>74</v>
      </c>
      <c r="Q478" t="s">
        <v>74</v>
      </c>
      <c r="R478" t="s">
        <v>74</v>
      </c>
      <c r="S478" t="s">
        <v>74</v>
      </c>
      <c r="T478" t="s">
        <v>74</v>
      </c>
      <c r="U478" t="s">
        <v>9087</v>
      </c>
      <c r="V478" t="s">
        <v>9088</v>
      </c>
      <c r="W478" t="s">
        <v>9089</v>
      </c>
      <c r="X478" t="s">
        <v>9090</v>
      </c>
      <c r="Y478" t="s">
        <v>9091</v>
      </c>
      <c r="Z478" t="s">
        <v>9092</v>
      </c>
      <c r="AA478" t="s">
        <v>9093</v>
      </c>
      <c r="AB478" t="s">
        <v>9094</v>
      </c>
      <c r="AC478" t="s">
        <v>9095</v>
      </c>
      <c r="AD478" t="s">
        <v>9096</v>
      </c>
      <c r="AE478" t="s">
        <v>9097</v>
      </c>
      <c r="AF478" t="s">
        <v>74</v>
      </c>
      <c r="AG478">
        <v>104</v>
      </c>
      <c r="AH478">
        <v>82</v>
      </c>
      <c r="AI478">
        <v>94</v>
      </c>
      <c r="AJ478">
        <v>1</v>
      </c>
      <c r="AK478">
        <v>25</v>
      </c>
      <c r="AL478" t="s">
        <v>2355</v>
      </c>
      <c r="AM478" t="s">
        <v>2356</v>
      </c>
      <c r="AN478" t="s">
        <v>2357</v>
      </c>
      <c r="AO478" t="s">
        <v>2358</v>
      </c>
      <c r="AP478" t="s">
        <v>74</v>
      </c>
      <c r="AQ478" t="s">
        <v>74</v>
      </c>
      <c r="AR478" t="s">
        <v>2343</v>
      </c>
      <c r="AS478" t="s">
        <v>2359</v>
      </c>
      <c r="AT478" t="s">
        <v>9078</v>
      </c>
      <c r="AU478">
        <v>2013</v>
      </c>
      <c r="AV478">
        <v>8</v>
      </c>
      <c r="AW478">
        <v>5</v>
      </c>
      <c r="AX478" t="s">
        <v>74</v>
      </c>
      <c r="AY478" t="s">
        <v>74</v>
      </c>
      <c r="AZ478" t="s">
        <v>74</v>
      </c>
      <c r="BA478" t="s">
        <v>74</v>
      </c>
      <c r="BB478" t="s">
        <v>74</v>
      </c>
      <c r="BC478" t="s">
        <v>74</v>
      </c>
      <c r="BD478" t="s">
        <v>9098</v>
      </c>
      <c r="BE478" t="s">
        <v>9099</v>
      </c>
      <c r="BF478" t="str">
        <f>HYPERLINK("http://dx.doi.org/10.1371/journal.pone.0063422","http://dx.doi.org/10.1371/journal.pone.0063422")</f>
        <v>http://dx.doi.org/10.1371/journal.pone.0063422</v>
      </c>
      <c r="BG478" t="s">
        <v>74</v>
      </c>
      <c r="BH478" t="s">
        <v>74</v>
      </c>
      <c r="BI478">
        <v>16</v>
      </c>
      <c r="BJ478" t="s">
        <v>1880</v>
      </c>
      <c r="BK478" t="s">
        <v>102</v>
      </c>
      <c r="BL478" t="s">
        <v>1881</v>
      </c>
      <c r="BM478" t="s">
        <v>9081</v>
      </c>
      <c r="BN478">
        <v>23671678</v>
      </c>
      <c r="BO478" t="s">
        <v>9015</v>
      </c>
      <c r="BP478" t="s">
        <v>74</v>
      </c>
      <c r="BQ478" t="s">
        <v>74</v>
      </c>
      <c r="BR478" t="s">
        <v>105</v>
      </c>
      <c r="BS478" t="s">
        <v>9100</v>
      </c>
      <c r="BT478" t="str">
        <f>HYPERLINK("https%3A%2F%2Fwww.webofscience.com%2Fwos%2Fwoscc%2Ffull-record%2FWOS:000321390200048","View Full Record in Web of Science")</f>
        <v>View Full Record in Web of Science</v>
      </c>
    </row>
    <row r="479" spans="1:72" x14ac:dyDescent="0.15">
      <c r="A479" t="s">
        <v>72</v>
      </c>
      <c r="B479" t="s">
        <v>9101</v>
      </c>
      <c r="C479" t="s">
        <v>74</v>
      </c>
      <c r="D479" t="s">
        <v>74</v>
      </c>
      <c r="E479" t="s">
        <v>74</v>
      </c>
      <c r="F479" t="s">
        <v>9102</v>
      </c>
      <c r="G479" t="s">
        <v>74</v>
      </c>
      <c r="H479" t="s">
        <v>74</v>
      </c>
      <c r="I479" t="s">
        <v>9103</v>
      </c>
      <c r="J479" t="s">
        <v>9104</v>
      </c>
      <c r="K479" t="s">
        <v>74</v>
      </c>
      <c r="L479" t="s">
        <v>74</v>
      </c>
      <c r="M479" t="s">
        <v>78</v>
      </c>
      <c r="N479" t="s">
        <v>79</v>
      </c>
      <c r="O479" t="s">
        <v>74</v>
      </c>
      <c r="P479" t="s">
        <v>74</v>
      </c>
      <c r="Q479" t="s">
        <v>74</v>
      </c>
      <c r="R479" t="s">
        <v>74</v>
      </c>
      <c r="S479" t="s">
        <v>74</v>
      </c>
      <c r="T479" t="s">
        <v>9105</v>
      </c>
      <c r="U479" t="s">
        <v>74</v>
      </c>
      <c r="V479" t="s">
        <v>9106</v>
      </c>
      <c r="W479" t="s">
        <v>9107</v>
      </c>
      <c r="X479" t="s">
        <v>9108</v>
      </c>
      <c r="Y479" t="s">
        <v>9109</v>
      </c>
      <c r="Z479" t="s">
        <v>9110</v>
      </c>
      <c r="AA479" t="s">
        <v>74</v>
      </c>
      <c r="AB479" t="s">
        <v>74</v>
      </c>
      <c r="AC479" t="s">
        <v>9111</v>
      </c>
      <c r="AD479" t="s">
        <v>9112</v>
      </c>
      <c r="AE479" t="s">
        <v>9113</v>
      </c>
      <c r="AF479" t="s">
        <v>74</v>
      </c>
      <c r="AG479">
        <v>14</v>
      </c>
      <c r="AH479">
        <v>0</v>
      </c>
      <c r="AI479">
        <v>2</v>
      </c>
      <c r="AJ479">
        <v>0</v>
      </c>
      <c r="AK479">
        <v>1</v>
      </c>
      <c r="AL479" t="s">
        <v>2112</v>
      </c>
      <c r="AM479" t="s">
        <v>2113</v>
      </c>
      <c r="AN479" t="s">
        <v>2114</v>
      </c>
      <c r="AO479" t="s">
        <v>9114</v>
      </c>
      <c r="AP479" t="s">
        <v>9115</v>
      </c>
      <c r="AQ479" t="s">
        <v>74</v>
      </c>
      <c r="AR479" t="s">
        <v>9104</v>
      </c>
      <c r="AS479" t="s">
        <v>9116</v>
      </c>
      <c r="AT479" t="s">
        <v>9117</v>
      </c>
      <c r="AU479">
        <v>2013</v>
      </c>
      <c r="AV479">
        <v>98</v>
      </c>
      <c r="AW479">
        <v>1</v>
      </c>
      <c r="AX479" t="s">
        <v>74</v>
      </c>
      <c r="AY479" t="s">
        <v>74</v>
      </c>
      <c r="AZ479" t="s">
        <v>74</v>
      </c>
      <c r="BA479" t="s">
        <v>74</v>
      </c>
      <c r="BB479">
        <v>16</v>
      </c>
      <c r="BC479">
        <v>22</v>
      </c>
      <c r="BD479" t="s">
        <v>74</v>
      </c>
      <c r="BE479" t="s">
        <v>9118</v>
      </c>
      <c r="BF479" t="str">
        <f>HYPERLINK("http://dx.doi.org/10.11646/phytotaxa.98.1.2","http://dx.doi.org/10.11646/phytotaxa.98.1.2")</f>
        <v>http://dx.doi.org/10.11646/phytotaxa.98.1.2</v>
      </c>
      <c r="BG479" t="s">
        <v>74</v>
      </c>
      <c r="BH479" t="s">
        <v>74</v>
      </c>
      <c r="BI479">
        <v>7</v>
      </c>
      <c r="BJ479" t="s">
        <v>3795</v>
      </c>
      <c r="BK479" t="s">
        <v>102</v>
      </c>
      <c r="BL479" t="s">
        <v>3795</v>
      </c>
      <c r="BM479" t="s">
        <v>9119</v>
      </c>
      <c r="BN479" t="s">
        <v>74</v>
      </c>
      <c r="BO479" t="s">
        <v>104</v>
      </c>
      <c r="BP479" t="s">
        <v>74</v>
      </c>
      <c r="BQ479" t="s">
        <v>74</v>
      </c>
      <c r="BR479" t="s">
        <v>105</v>
      </c>
      <c r="BS479" t="s">
        <v>9120</v>
      </c>
      <c r="BT479" t="str">
        <f>HYPERLINK("https%3A%2F%2Fwww.webofscience.com%2Fwos%2Fwoscc%2Ffull-record%2FWOS:000318814500002","View Full Record in Web of Science")</f>
        <v>View Full Record in Web of Science</v>
      </c>
    </row>
    <row r="480" spans="1:72" x14ac:dyDescent="0.15">
      <c r="A480" t="s">
        <v>72</v>
      </c>
      <c r="B480" t="s">
        <v>9121</v>
      </c>
      <c r="C480" t="s">
        <v>74</v>
      </c>
      <c r="D480" t="s">
        <v>74</v>
      </c>
      <c r="E480" t="s">
        <v>74</v>
      </c>
      <c r="F480" t="s">
        <v>9122</v>
      </c>
      <c r="G480" t="s">
        <v>74</v>
      </c>
      <c r="H480" t="s">
        <v>74</v>
      </c>
      <c r="I480" t="s">
        <v>9123</v>
      </c>
      <c r="J480" t="s">
        <v>2343</v>
      </c>
      <c r="K480" t="s">
        <v>74</v>
      </c>
      <c r="L480" t="s">
        <v>74</v>
      </c>
      <c r="M480" t="s">
        <v>78</v>
      </c>
      <c r="N480" t="s">
        <v>79</v>
      </c>
      <c r="O480" t="s">
        <v>74</v>
      </c>
      <c r="P480" t="s">
        <v>74</v>
      </c>
      <c r="Q480" t="s">
        <v>74</v>
      </c>
      <c r="R480" t="s">
        <v>74</v>
      </c>
      <c r="S480" t="s">
        <v>74</v>
      </c>
      <c r="T480" t="s">
        <v>74</v>
      </c>
      <c r="U480" t="s">
        <v>9124</v>
      </c>
      <c r="V480" t="s">
        <v>9125</v>
      </c>
      <c r="W480" t="s">
        <v>9126</v>
      </c>
      <c r="X480" t="s">
        <v>9127</v>
      </c>
      <c r="Y480" t="s">
        <v>9128</v>
      </c>
      <c r="Z480" t="s">
        <v>9129</v>
      </c>
      <c r="AA480" t="s">
        <v>74</v>
      </c>
      <c r="AB480" t="s">
        <v>9130</v>
      </c>
      <c r="AC480" t="s">
        <v>9131</v>
      </c>
      <c r="AD480" t="s">
        <v>9132</v>
      </c>
      <c r="AE480" t="s">
        <v>9133</v>
      </c>
      <c r="AF480" t="s">
        <v>74</v>
      </c>
      <c r="AG480">
        <v>51</v>
      </c>
      <c r="AH480">
        <v>31</v>
      </c>
      <c r="AI480">
        <v>33</v>
      </c>
      <c r="AJ480">
        <v>3</v>
      </c>
      <c r="AK480">
        <v>131</v>
      </c>
      <c r="AL480" t="s">
        <v>2355</v>
      </c>
      <c r="AM480" t="s">
        <v>2356</v>
      </c>
      <c r="AN480" t="s">
        <v>2357</v>
      </c>
      <c r="AO480" t="s">
        <v>2358</v>
      </c>
      <c r="AP480" t="s">
        <v>74</v>
      </c>
      <c r="AQ480" t="s">
        <v>74</v>
      </c>
      <c r="AR480" t="s">
        <v>2343</v>
      </c>
      <c r="AS480" t="s">
        <v>2359</v>
      </c>
      <c r="AT480" t="s">
        <v>9134</v>
      </c>
      <c r="AU480">
        <v>2013</v>
      </c>
      <c r="AV480">
        <v>8</v>
      </c>
      <c r="AW480">
        <v>5</v>
      </c>
      <c r="AX480" t="s">
        <v>74</v>
      </c>
      <c r="AY480" t="s">
        <v>74</v>
      </c>
      <c r="AZ480" t="s">
        <v>74</v>
      </c>
      <c r="BA480" t="s">
        <v>74</v>
      </c>
      <c r="BB480" t="s">
        <v>74</v>
      </c>
      <c r="BC480" t="s">
        <v>74</v>
      </c>
      <c r="BD480" t="s">
        <v>9135</v>
      </c>
      <c r="BE480" t="s">
        <v>9136</v>
      </c>
      <c r="BF480" t="str">
        <f>HYPERLINK("http://dx.doi.org/10.1371/journal.pone.0062730","http://dx.doi.org/10.1371/journal.pone.0062730")</f>
        <v>http://dx.doi.org/10.1371/journal.pone.0062730</v>
      </c>
      <c r="BG480" t="s">
        <v>74</v>
      </c>
      <c r="BH480" t="s">
        <v>74</v>
      </c>
      <c r="BI480">
        <v>11</v>
      </c>
      <c r="BJ480" t="s">
        <v>1880</v>
      </c>
      <c r="BK480" t="s">
        <v>102</v>
      </c>
      <c r="BL480" t="s">
        <v>1881</v>
      </c>
      <c r="BM480" t="s">
        <v>9137</v>
      </c>
      <c r="BN480">
        <v>23658766</v>
      </c>
      <c r="BO480" t="s">
        <v>9138</v>
      </c>
      <c r="BP480" t="s">
        <v>74</v>
      </c>
      <c r="BQ480" t="s">
        <v>74</v>
      </c>
      <c r="BR480" t="s">
        <v>105</v>
      </c>
      <c r="BS480" t="s">
        <v>9139</v>
      </c>
      <c r="BT480" t="str">
        <f>HYPERLINK("https%3A%2F%2Fwww.webofscience.com%2Fwos%2Fwoscc%2Ffull-record%2FWOS:000321200500034","View Full Record in Web of Science")</f>
        <v>View Full Record in Web of Science</v>
      </c>
    </row>
    <row r="481" spans="1:72" x14ac:dyDescent="0.15">
      <c r="A481" t="s">
        <v>72</v>
      </c>
      <c r="B481" t="s">
        <v>9140</v>
      </c>
      <c r="C481" t="s">
        <v>74</v>
      </c>
      <c r="D481" t="s">
        <v>74</v>
      </c>
      <c r="E481" t="s">
        <v>74</v>
      </c>
      <c r="F481" t="s">
        <v>9141</v>
      </c>
      <c r="G481" t="s">
        <v>74</v>
      </c>
      <c r="H481" t="s">
        <v>74</v>
      </c>
      <c r="I481" t="s">
        <v>9142</v>
      </c>
      <c r="J481" t="s">
        <v>2343</v>
      </c>
      <c r="K481" t="s">
        <v>74</v>
      </c>
      <c r="L481" t="s">
        <v>74</v>
      </c>
      <c r="M481" t="s">
        <v>78</v>
      </c>
      <c r="N481" t="s">
        <v>79</v>
      </c>
      <c r="O481" t="s">
        <v>74</v>
      </c>
      <c r="P481" t="s">
        <v>74</v>
      </c>
      <c r="Q481" t="s">
        <v>74</v>
      </c>
      <c r="R481" t="s">
        <v>74</v>
      </c>
      <c r="S481" t="s">
        <v>74</v>
      </c>
      <c r="T481" t="s">
        <v>74</v>
      </c>
      <c r="U481" t="s">
        <v>9143</v>
      </c>
      <c r="V481" t="s">
        <v>9144</v>
      </c>
      <c r="W481" t="s">
        <v>9145</v>
      </c>
      <c r="X481" t="s">
        <v>9146</v>
      </c>
      <c r="Y481" t="s">
        <v>9147</v>
      </c>
      <c r="Z481" t="s">
        <v>9148</v>
      </c>
      <c r="AA481" t="s">
        <v>9149</v>
      </c>
      <c r="AB481" t="s">
        <v>9150</v>
      </c>
      <c r="AC481" t="s">
        <v>9151</v>
      </c>
      <c r="AD481" t="s">
        <v>9152</v>
      </c>
      <c r="AE481" t="s">
        <v>9153</v>
      </c>
      <c r="AF481" t="s">
        <v>74</v>
      </c>
      <c r="AG481">
        <v>55</v>
      </c>
      <c r="AH481">
        <v>59</v>
      </c>
      <c r="AI481">
        <v>63</v>
      </c>
      <c r="AJ481">
        <v>0</v>
      </c>
      <c r="AK481">
        <v>88</v>
      </c>
      <c r="AL481" t="s">
        <v>2355</v>
      </c>
      <c r="AM481" t="s">
        <v>2356</v>
      </c>
      <c r="AN481" t="s">
        <v>2357</v>
      </c>
      <c r="AO481" t="s">
        <v>2358</v>
      </c>
      <c r="AP481" t="s">
        <v>74</v>
      </c>
      <c r="AQ481" t="s">
        <v>74</v>
      </c>
      <c r="AR481" t="s">
        <v>2343</v>
      </c>
      <c r="AS481" t="s">
        <v>2359</v>
      </c>
      <c r="AT481" t="s">
        <v>9134</v>
      </c>
      <c r="AU481">
        <v>2013</v>
      </c>
      <c r="AV481">
        <v>8</v>
      </c>
      <c r="AW481">
        <v>5</v>
      </c>
      <c r="AX481" t="s">
        <v>74</v>
      </c>
      <c r="AY481" t="s">
        <v>74</v>
      </c>
      <c r="AZ481" t="s">
        <v>74</v>
      </c>
      <c r="BA481" t="s">
        <v>74</v>
      </c>
      <c r="BB481" t="s">
        <v>74</v>
      </c>
      <c r="BC481" t="s">
        <v>74</v>
      </c>
      <c r="BD481" t="s">
        <v>9154</v>
      </c>
      <c r="BE481" t="s">
        <v>9155</v>
      </c>
      <c r="BF481" t="str">
        <f>HYPERLINK("http://dx.doi.org/10.1371/journal.pone.0061550","http://dx.doi.org/10.1371/journal.pone.0061550")</f>
        <v>http://dx.doi.org/10.1371/journal.pone.0061550</v>
      </c>
      <c r="BG481" t="s">
        <v>74</v>
      </c>
      <c r="BH481" t="s">
        <v>74</v>
      </c>
      <c r="BI481">
        <v>10</v>
      </c>
      <c r="BJ481" t="s">
        <v>1880</v>
      </c>
      <c r="BK481" t="s">
        <v>102</v>
      </c>
      <c r="BL481" t="s">
        <v>1881</v>
      </c>
      <c r="BM481" t="s">
        <v>9137</v>
      </c>
      <c r="BN481">
        <v>23658696</v>
      </c>
      <c r="BO481" t="s">
        <v>8995</v>
      </c>
      <c r="BP481" t="s">
        <v>74</v>
      </c>
      <c r="BQ481" t="s">
        <v>74</v>
      </c>
      <c r="BR481" t="s">
        <v>105</v>
      </c>
      <c r="BS481" t="s">
        <v>9156</v>
      </c>
      <c r="BT481" t="str">
        <f>HYPERLINK("https%3A%2F%2Fwww.webofscience.com%2Fwos%2Fwoscc%2Ffull-record%2FWOS:000321200500009","View Full Record in Web of Science")</f>
        <v>View Full Record in Web of Science</v>
      </c>
    </row>
    <row r="482" spans="1:72" x14ac:dyDescent="0.15">
      <c r="A482" t="s">
        <v>72</v>
      </c>
      <c r="B482" t="s">
        <v>9157</v>
      </c>
      <c r="C482" t="s">
        <v>74</v>
      </c>
      <c r="D482" t="s">
        <v>74</v>
      </c>
      <c r="E482" t="s">
        <v>74</v>
      </c>
      <c r="F482" t="s">
        <v>9158</v>
      </c>
      <c r="G482" t="s">
        <v>74</v>
      </c>
      <c r="H482" t="s">
        <v>74</v>
      </c>
      <c r="I482" t="s">
        <v>9159</v>
      </c>
      <c r="J482" t="s">
        <v>1068</v>
      </c>
      <c r="K482" t="s">
        <v>74</v>
      </c>
      <c r="L482" t="s">
        <v>74</v>
      </c>
      <c r="M482" t="s">
        <v>78</v>
      </c>
      <c r="N482" t="s">
        <v>79</v>
      </c>
      <c r="O482" t="s">
        <v>74</v>
      </c>
      <c r="P482" t="s">
        <v>74</v>
      </c>
      <c r="Q482" t="s">
        <v>74</v>
      </c>
      <c r="R482" t="s">
        <v>74</v>
      </c>
      <c r="S482" t="s">
        <v>74</v>
      </c>
      <c r="T482" t="s">
        <v>74</v>
      </c>
      <c r="U482" t="s">
        <v>9160</v>
      </c>
      <c r="V482" t="s">
        <v>9161</v>
      </c>
      <c r="W482" t="s">
        <v>9162</v>
      </c>
      <c r="X482" t="s">
        <v>9163</v>
      </c>
      <c r="Y482" t="s">
        <v>9164</v>
      </c>
      <c r="Z482" t="s">
        <v>9165</v>
      </c>
      <c r="AA482" t="s">
        <v>74</v>
      </c>
      <c r="AB482" t="s">
        <v>9166</v>
      </c>
      <c r="AC482" t="s">
        <v>9167</v>
      </c>
      <c r="AD482" t="s">
        <v>9167</v>
      </c>
      <c r="AE482" t="s">
        <v>9168</v>
      </c>
      <c r="AF482" t="s">
        <v>74</v>
      </c>
      <c r="AG482">
        <v>88</v>
      </c>
      <c r="AH482">
        <v>2</v>
      </c>
      <c r="AI482">
        <v>2</v>
      </c>
      <c r="AJ482">
        <v>2</v>
      </c>
      <c r="AK482">
        <v>21</v>
      </c>
      <c r="AL482" t="s">
        <v>1080</v>
      </c>
      <c r="AM482" t="s">
        <v>1081</v>
      </c>
      <c r="AN482" t="s">
        <v>1082</v>
      </c>
      <c r="AO482" t="s">
        <v>1083</v>
      </c>
      <c r="AP482" t="s">
        <v>1084</v>
      </c>
      <c r="AQ482" t="s">
        <v>74</v>
      </c>
      <c r="AR482" t="s">
        <v>1085</v>
      </c>
      <c r="AS482" t="s">
        <v>1086</v>
      </c>
      <c r="AT482" t="s">
        <v>9169</v>
      </c>
      <c r="AU482">
        <v>2013</v>
      </c>
      <c r="AV482">
        <v>45</v>
      </c>
      <c r="AW482">
        <v>2</v>
      </c>
      <c r="AX482" t="s">
        <v>74</v>
      </c>
      <c r="AY482" t="s">
        <v>74</v>
      </c>
      <c r="AZ482" t="s">
        <v>74</v>
      </c>
      <c r="BA482" t="s">
        <v>74</v>
      </c>
      <c r="BB482">
        <v>190</v>
      </c>
      <c r="BC482">
        <v>200</v>
      </c>
      <c r="BD482" t="s">
        <v>74</v>
      </c>
      <c r="BE482" t="s">
        <v>9170</v>
      </c>
      <c r="BF482" t="str">
        <f>HYPERLINK("http://dx.doi.org/10.1657/1938-4246-45.2.190","http://dx.doi.org/10.1657/1938-4246-45.2.190")</f>
        <v>http://dx.doi.org/10.1657/1938-4246-45.2.190</v>
      </c>
      <c r="BG482" t="s">
        <v>74</v>
      </c>
      <c r="BH482" t="s">
        <v>74</v>
      </c>
      <c r="BI482">
        <v>11</v>
      </c>
      <c r="BJ482" t="s">
        <v>1088</v>
      </c>
      <c r="BK482" t="s">
        <v>102</v>
      </c>
      <c r="BL482" t="s">
        <v>1089</v>
      </c>
      <c r="BM482" t="s">
        <v>9171</v>
      </c>
      <c r="BN482" t="s">
        <v>74</v>
      </c>
      <c r="BO482" t="s">
        <v>1014</v>
      </c>
      <c r="BP482" t="s">
        <v>74</v>
      </c>
      <c r="BQ482" t="s">
        <v>74</v>
      </c>
      <c r="BR482" t="s">
        <v>105</v>
      </c>
      <c r="BS482" t="s">
        <v>9172</v>
      </c>
      <c r="BT482" t="str">
        <f>HYPERLINK("https%3A%2F%2Fwww.webofscience.com%2Fwos%2Fwoscc%2Ffull-record%2FWOS:000329533100003","View Full Record in Web of Science")</f>
        <v>View Full Record in Web of Science</v>
      </c>
    </row>
    <row r="483" spans="1:72" x14ac:dyDescent="0.15">
      <c r="A483" t="s">
        <v>72</v>
      </c>
      <c r="B483" t="s">
        <v>9173</v>
      </c>
      <c r="C483" t="s">
        <v>74</v>
      </c>
      <c r="D483" t="s">
        <v>74</v>
      </c>
      <c r="E483" t="s">
        <v>74</v>
      </c>
      <c r="F483" t="s">
        <v>9174</v>
      </c>
      <c r="G483" t="s">
        <v>74</v>
      </c>
      <c r="H483" t="s">
        <v>74</v>
      </c>
      <c r="I483" t="s">
        <v>9175</v>
      </c>
      <c r="J483" t="s">
        <v>1068</v>
      </c>
      <c r="K483" t="s">
        <v>74</v>
      </c>
      <c r="L483" t="s">
        <v>74</v>
      </c>
      <c r="M483" t="s">
        <v>78</v>
      </c>
      <c r="N483" t="s">
        <v>79</v>
      </c>
      <c r="O483" t="s">
        <v>74</v>
      </c>
      <c r="P483" t="s">
        <v>74</v>
      </c>
      <c r="Q483" t="s">
        <v>74</v>
      </c>
      <c r="R483" t="s">
        <v>74</v>
      </c>
      <c r="S483" t="s">
        <v>74</v>
      </c>
      <c r="T483" t="s">
        <v>74</v>
      </c>
      <c r="U483" t="s">
        <v>9176</v>
      </c>
      <c r="V483" t="s">
        <v>9177</v>
      </c>
      <c r="W483" t="s">
        <v>9178</v>
      </c>
      <c r="X483" t="s">
        <v>9179</v>
      </c>
      <c r="Y483" t="s">
        <v>9180</v>
      </c>
      <c r="Z483" t="s">
        <v>9181</v>
      </c>
      <c r="AA483" t="s">
        <v>9182</v>
      </c>
      <c r="AB483" t="s">
        <v>9183</v>
      </c>
      <c r="AC483" t="s">
        <v>74</v>
      </c>
      <c r="AD483" t="s">
        <v>74</v>
      </c>
      <c r="AE483" t="s">
        <v>74</v>
      </c>
      <c r="AF483" t="s">
        <v>74</v>
      </c>
      <c r="AG483">
        <v>37</v>
      </c>
      <c r="AH483">
        <v>10</v>
      </c>
      <c r="AI483">
        <v>11</v>
      </c>
      <c r="AJ483">
        <v>0</v>
      </c>
      <c r="AK483">
        <v>24</v>
      </c>
      <c r="AL483" t="s">
        <v>1106</v>
      </c>
      <c r="AM483" t="s">
        <v>280</v>
      </c>
      <c r="AN483" t="s">
        <v>1107</v>
      </c>
      <c r="AO483" t="s">
        <v>1083</v>
      </c>
      <c r="AP483" t="s">
        <v>1084</v>
      </c>
      <c r="AQ483" t="s">
        <v>74</v>
      </c>
      <c r="AR483" t="s">
        <v>1085</v>
      </c>
      <c r="AS483" t="s">
        <v>1086</v>
      </c>
      <c r="AT483" t="s">
        <v>9169</v>
      </c>
      <c r="AU483">
        <v>2013</v>
      </c>
      <c r="AV483">
        <v>45</v>
      </c>
      <c r="AW483">
        <v>2</v>
      </c>
      <c r="AX483" t="s">
        <v>74</v>
      </c>
      <c r="AY483" t="s">
        <v>74</v>
      </c>
      <c r="AZ483" t="s">
        <v>74</v>
      </c>
      <c r="BA483" t="s">
        <v>74</v>
      </c>
      <c r="BB483">
        <v>201</v>
      </c>
      <c r="BC483">
        <v>210</v>
      </c>
      <c r="BD483" t="s">
        <v>74</v>
      </c>
      <c r="BE483" t="s">
        <v>9184</v>
      </c>
      <c r="BF483" t="str">
        <f>HYPERLINK("http://dx.doi.org/10.1657/1938-4246-45.2.201","http://dx.doi.org/10.1657/1938-4246-45.2.201")</f>
        <v>http://dx.doi.org/10.1657/1938-4246-45.2.201</v>
      </c>
      <c r="BG483" t="s">
        <v>74</v>
      </c>
      <c r="BH483" t="s">
        <v>74</v>
      </c>
      <c r="BI483">
        <v>10</v>
      </c>
      <c r="BJ483" t="s">
        <v>1088</v>
      </c>
      <c r="BK483" t="s">
        <v>102</v>
      </c>
      <c r="BL483" t="s">
        <v>1089</v>
      </c>
      <c r="BM483" t="s">
        <v>9171</v>
      </c>
      <c r="BN483" t="s">
        <v>74</v>
      </c>
      <c r="BO483" t="s">
        <v>1014</v>
      </c>
      <c r="BP483" t="s">
        <v>74</v>
      </c>
      <c r="BQ483" t="s">
        <v>74</v>
      </c>
      <c r="BR483" t="s">
        <v>105</v>
      </c>
      <c r="BS483" t="s">
        <v>9185</v>
      </c>
      <c r="BT483" t="str">
        <f>HYPERLINK("https%3A%2F%2Fwww.webofscience.com%2Fwos%2Fwoscc%2Ffull-record%2FWOS:000329533100004","View Full Record in Web of Science")</f>
        <v>View Full Record in Web of Science</v>
      </c>
    </row>
    <row r="484" spans="1:72" x14ac:dyDescent="0.15">
      <c r="A484" t="s">
        <v>72</v>
      </c>
      <c r="B484" t="s">
        <v>9186</v>
      </c>
      <c r="C484" t="s">
        <v>74</v>
      </c>
      <c r="D484" t="s">
        <v>74</v>
      </c>
      <c r="E484" t="s">
        <v>74</v>
      </c>
      <c r="F484" t="s">
        <v>9187</v>
      </c>
      <c r="G484" t="s">
        <v>74</v>
      </c>
      <c r="H484" t="s">
        <v>74</v>
      </c>
      <c r="I484" t="s">
        <v>9188</v>
      </c>
      <c r="J484" t="s">
        <v>1068</v>
      </c>
      <c r="K484" t="s">
        <v>74</v>
      </c>
      <c r="L484" t="s">
        <v>74</v>
      </c>
      <c r="M484" t="s">
        <v>78</v>
      </c>
      <c r="N484" t="s">
        <v>79</v>
      </c>
      <c r="O484" t="s">
        <v>74</v>
      </c>
      <c r="P484" t="s">
        <v>74</v>
      </c>
      <c r="Q484" t="s">
        <v>74</v>
      </c>
      <c r="R484" t="s">
        <v>74</v>
      </c>
      <c r="S484" t="s">
        <v>74</v>
      </c>
      <c r="T484" t="s">
        <v>74</v>
      </c>
      <c r="U484" t="s">
        <v>9189</v>
      </c>
      <c r="V484" t="s">
        <v>9190</v>
      </c>
      <c r="W484" t="s">
        <v>9191</v>
      </c>
      <c r="X484" t="s">
        <v>9192</v>
      </c>
      <c r="Y484" t="s">
        <v>9193</v>
      </c>
      <c r="Z484" t="s">
        <v>9194</v>
      </c>
      <c r="AA484" t="s">
        <v>74</v>
      </c>
      <c r="AB484" t="s">
        <v>74</v>
      </c>
      <c r="AC484" t="s">
        <v>9195</v>
      </c>
      <c r="AD484" t="s">
        <v>9196</v>
      </c>
      <c r="AE484" t="s">
        <v>9197</v>
      </c>
      <c r="AF484" t="s">
        <v>74</v>
      </c>
      <c r="AG484">
        <v>37</v>
      </c>
      <c r="AH484">
        <v>8</v>
      </c>
      <c r="AI484">
        <v>9</v>
      </c>
      <c r="AJ484">
        <v>0</v>
      </c>
      <c r="AK484">
        <v>24</v>
      </c>
      <c r="AL484" t="s">
        <v>1080</v>
      </c>
      <c r="AM484" t="s">
        <v>1081</v>
      </c>
      <c r="AN484" t="s">
        <v>1082</v>
      </c>
      <c r="AO484" t="s">
        <v>1083</v>
      </c>
      <c r="AP484" t="s">
        <v>1084</v>
      </c>
      <c r="AQ484" t="s">
        <v>74</v>
      </c>
      <c r="AR484" t="s">
        <v>1085</v>
      </c>
      <c r="AS484" t="s">
        <v>1086</v>
      </c>
      <c r="AT484" t="s">
        <v>9169</v>
      </c>
      <c r="AU484">
        <v>2013</v>
      </c>
      <c r="AV484">
        <v>45</v>
      </c>
      <c r="AW484">
        <v>2</v>
      </c>
      <c r="AX484" t="s">
        <v>74</v>
      </c>
      <c r="AY484" t="s">
        <v>74</v>
      </c>
      <c r="AZ484" t="s">
        <v>74</v>
      </c>
      <c r="BA484" t="s">
        <v>74</v>
      </c>
      <c r="BB484">
        <v>211</v>
      </c>
      <c r="BC484">
        <v>218</v>
      </c>
      <c r="BD484" t="s">
        <v>74</v>
      </c>
      <c r="BE484" t="s">
        <v>9198</v>
      </c>
      <c r="BF484" t="str">
        <f>HYPERLINK("http://dx.doi.org/10.1657/1938-4246-45.2","http://dx.doi.org/10.1657/1938-4246-45.2")</f>
        <v>http://dx.doi.org/10.1657/1938-4246-45.2</v>
      </c>
      <c r="BG484" t="s">
        <v>74</v>
      </c>
      <c r="BH484" t="s">
        <v>74</v>
      </c>
      <c r="BI484">
        <v>8</v>
      </c>
      <c r="BJ484" t="s">
        <v>1088</v>
      </c>
      <c r="BK484" t="s">
        <v>102</v>
      </c>
      <c r="BL484" t="s">
        <v>1089</v>
      </c>
      <c r="BM484" t="s">
        <v>9171</v>
      </c>
      <c r="BN484" t="s">
        <v>74</v>
      </c>
      <c r="BO484" t="s">
        <v>997</v>
      </c>
      <c r="BP484" t="s">
        <v>74</v>
      </c>
      <c r="BQ484" t="s">
        <v>74</v>
      </c>
      <c r="BR484" t="s">
        <v>105</v>
      </c>
      <c r="BS484" t="s">
        <v>9199</v>
      </c>
      <c r="BT484" t="str">
        <f>HYPERLINK("https%3A%2F%2Fwww.webofscience.com%2Fwos%2Fwoscc%2Ffull-record%2FWOS:000329533100005","View Full Record in Web of Science")</f>
        <v>View Full Record in Web of Science</v>
      </c>
    </row>
    <row r="485" spans="1:72" x14ac:dyDescent="0.15">
      <c r="A485" t="s">
        <v>72</v>
      </c>
      <c r="B485" t="s">
        <v>9200</v>
      </c>
      <c r="C485" t="s">
        <v>74</v>
      </c>
      <c r="D485" t="s">
        <v>74</v>
      </c>
      <c r="E485" t="s">
        <v>74</v>
      </c>
      <c r="F485" t="s">
        <v>9201</v>
      </c>
      <c r="G485" t="s">
        <v>74</v>
      </c>
      <c r="H485" t="s">
        <v>74</v>
      </c>
      <c r="I485" t="s">
        <v>9202</v>
      </c>
      <c r="J485" t="s">
        <v>1068</v>
      </c>
      <c r="K485" t="s">
        <v>74</v>
      </c>
      <c r="L485" t="s">
        <v>74</v>
      </c>
      <c r="M485" t="s">
        <v>78</v>
      </c>
      <c r="N485" t="s">
        <v>79</v>
      </c>
      <c r="O485" t="s">
        <v>74</v>
      </c>
      <c r="P485" t="s">
        <v>74</v>
      </c>
      <c r="Q485" t="s">
        <v>74</v>
      </c>
      <c r="R485" t="s">
        <v>74</v>
      </c>
      <c r="S485" t="s">
        <v>74</v>
      </c>
      <c r="T485" t="s">
        <v>74</v>
      </c>
      <c r="U485" t="s">
        <v>9203</v>
      </c>
      <c r="V485" t="s">
        <v>9204</v>
      </c>
      <c r="W485" t="s">
        <v>9205</v>
      </c>
      <c r="X485" t="s">
        <v>9206</v>
      </c>
      <c r="Y485" t="s">
        <v>9207</v>
      </c>
      <c r="Z485" t="s">
        <v>9208</v>
      </c>
      <c r="AA485" t="s">
        <v>9209</v>
      </c>
      <c r="AB485" t="s">
        <v>9210</v>
      </c>
      <c r="AC485" t="s">
        <v>9211</v>
      </c>
      <c r="AD485" t="s">
        <v>9212</v>
      </c>
      <c r="AE485" t="s">
        <v>9213</v>
      </c>
      <c r="AF485" t="s">
        <v>74</v>
      </c>
      <c r="AG485">
        <v>48</v>
      </c>
      <c r="AH485">
        <v>6</v>
      </c>
      <c r="AI485">
        <v>7</v>
      </c>
      <c r="AJ485">
        <v>0</v>
      </c>
      <c r="AK485">
        <v>21</v>
      </c>
      <c r="AL485" t="s">
        <v>1106</v>
      </c>
      <c r="AM485" t="s">
        <v>280</v>
      </c>
      <c r="AN485" t="s">
        <v>1107</v>
      </c>
      <c r="AO485" t="s">
        <v>1083</v>
      </c>
      <c r="AP485" t="s">
        <v>1084</v>
      </c>
      <c r="AQ485" t="s">
        <v>74</v>
      </c>
      <c r="AR485" t="s">
        <v>1085</v>
      </c>
      <c r="AS485" t="s">
        <v>1086</v>
      </c>
      <c r="AT485" t="s">
        <v>9169</v>
      </c>
      <c r="AU485">
        <v>2013</v>
      </c>
      <c r="AV485">
        <v>45</v>
      </c>
      <c r="AW485">
        <v>2</v>
      </c>
      <c r="AX485" t="s">
        <v>74</v>
      </c>
      <c r="AY485" t="s">
        <v>74</v>
      </c>
      <c r="AZ485" t="s">
        <v>74</v>
      </c>
      <c r="BA485" t="s">
        <v>74</v>
      </c>
      <c r="BB485">
        <v>219</v>
      </c>
      <c r="BC485">
        <v>228</v>
      </c>
      <c r="BD485" t="s">
        <v>74</v>
      </c>
      <c r="BE485" t="s">
        <v>9214</v>
      </c>
      <c r="BF485" t="str">
        <f>HYPERLINK("http://dx.doi.org/10.1657/1938-4246-45.2.219","http://dx.doi.org/10.1657/1938-4246-45.2.219")</f>
        <v>http://dx.doi.org/10.1657/1938-4246-45.2.219</v>
      </c>
      <c r="BG485" t="s">
        <v>74</v>
      </c>
      <c r="BH485" t="s">
        <v>74</v>
      </c>
      <c r="BI485">
        <v>10</v>
      </c>
      <c r="BJ485" t="s">
        <v>1088</v>
      </c>
      <c r="BK485" t="s">
        <v>102</v>
      </c>
      <c r="BL485" t="s">
        <v>1089</v>
      </c>
      <c r="BM485" t="s">
        <v>9171</v>
      </c>
      <c r="BN485" t="s">
        <v>74</v>
      </c>
      <c r="BO485" t="s">
        <v>74</v>
      </c>
      <c r="BP485" t="s">
        <v>74</v>
      </c>
      <c r="BQ485" t="s">
        <v>74</v>
      </c>
      <c r="BR485" t="s">
        <v>105</v>
      </c>
      <c r="BS485" t="s">
        <v>9215</v>
      </c>
      <c r="BT485" t="str">
        <f>HYPERLINK("https%3A%2F%2Fwww.webofscience.com%2Fwos%2Fwoscc%2Ffull-record%2FWOS:000329533100006","View Full Record in Web of Science")</f>
        <v>View Full Record in Web of Science</v>
      </c>
    </row>
    <row r="486" spans="1:72" x14ac:dyDescent="0.15">
      <c r="A486" t="s">
        <v>72</v>
      </c>
      <c r="B486" t="s">
        <v>9216</v>
      </c>
      <c r="C486" t="s">
        <v>74</v>
      </c>
      <c r="D486" t="s">
        <v>74</v>
      </c>
      <c r="E486" t="s">
        <v>74</v>
      </c>
      <c r="F486" t="s">
        <v>9217</v>
      </c>
      <c r="G486" t="s">
        <v>74</v>
      </c>
      <c r="H486" t="s">
        <v>74</v>
      </c>
      <c r="I486" t="s">
        <v>9218</v>
      </c>
      <c r="J486" t="s">
        <v>1068</v>
      </c>
      <c r="K486" t="s">
        <v>74</v>
      </c>
      <c r="L486" t="s">
        <v>74</v>
      </c>
      <c r="M486" t="s">
        <v>78</v>
      </c>
      <c r="N486" t="s">
        <v>79</v>
      </c>
      <c r="O486" t="s">
        <v>74</v>
      </c>
      <c r="P486" t="s">
        <v>74</v>
      </c>
      <c r="Q486" t="s">
        <v>74</v>
      </c>
      <c r="R486" t="s">
        <v>74</v>
      </c>
      <c r="S486" t="s">
        <v>74</v>
      </c>
      <c r="T486" t="s">
        <v>74</v>
      </c>
      <c r="U486" t="s">
        <v>9219</v>
      </c>
      <c r="V486" t="s">
        <v>9220</v>
      </c>
      <c r="W486" t="s">
        <v>9221</v>
      </c>
      <c r="X486" t="s">
        <v>9222</v>
      </c>
      <c r="Y486" t="s">
        <v>9223</v>
      </c>
      <c r="Z486" t="s">
        <v>9224</v>
      </c>
      <c r="AA486" t="s">
        <v>9225</v>
      </c>
      <c r="AB486" t="s">
        <v>9226</v>
      </c>
      <c r="AC486" t="s">
        <v>9227</v>
      </c>
      <c r="AD486" t="s">
        <v>9228</v>
      </c>
      <c r="AE486" t="s">
        <v>9229</v>
      </c>
      <c r="AF486" t="s">
        <v>74</v>
      </c>
      <c r="AG486">
        <v>31</v>
      </c>
      <c r="AH486">
        <v>6</v>
      </c>
      <c r="AI486">
        <v>7</v>
      </c>
      <c r="AJ486">
        <v>0</v>
      </c>
      <c r="AK486">
        <v>24</v>
      </c>
      <c r="AL486" t="s">
        <v>1106</v>
      </c>
      <c r="AM486" t="s">
        <v>280</v>
      </c>
      <c r="AN486" t="s">
        <v>1107</v>
      </c>
      <c r="AO486" t="s">
        <v>1083</v>
      </c>
      <c r="AP486" t="s">
        <v>1084</v>
      </c>
      <c r="AQ486" t="s">
        <v>74</v>
      </c>
      <c r="AR486" t="s">
        <v>1085</v>
      </c>
      <c r="AS486" t="s">
        <v>1086</v>
      </c>
      <c r="AT486" t="s">
        <v>9169</v>
      </c>
      <c r="AU486">
        <v>2013</v>
      </c>
      <c r="AV486">
        <v>45</v>
      </c>
      <c r="AW486">
        <v>2</v>
      </c>
      <c r="AX486" t="s">
        <v>74</v>
      </c>
      <c r="AY486" t="s">
        <v>74</v>
      </c>
      <c r="AZ486" t="s">
        <v>74</v>
      </c>
      <c r="BA486" t="s">
        <v>74</v>
      </c>
      <c r="BB486">
        <v>229</v>
      </c>
      <c r="BC486">
        <v>237</v>
      </c>
      <c r="BD486" t="s">
        <v>74</v>
      </c>
      <c r="BE486" t="s">
        <v>9230</v>
      </c>
      <c r="BF486" t="str">
        <f>HYPERLINK("http://dx.doi.org/10.1657/1938-4246-45.2.229","http://dx.doi.org/10.1657/1938-4246-45.2.229")</f>
        <v>http://dx.doi.org/10.1657/1938-4246-45.2.229</v>
      </c>
      <c r="BG486" t="s">
        <v>74</v>
      </c>
      <c r="BH486" t="s">
        <v>74</v>
      </c>
      <c r="BI486">
        <v>9</v>
      </c>
      <c r="BJ486" t="s">
        <v>1088</v>
      </c>
      <c r="BK486" t="s">
        <v>102</v>
      </c>
      <c r="BL486" t="s">
        <v>1089</v>
      </c>
      <c r="BM486" t="s">
        <v>9171</v>
      </c>
      <c r="BN486" t="s">
        <v>74</v>
      </c>
      <c r="BO486" t="s">
        <v>577</v>
      </c>
      <c r="BP486" t="s">
        <v>74</v>
      </c>
      <c r="BQ486" t="s">
        <v>74</v>
      </c>
      <c r="BR486" t="s">
        <v>105</v>
      </c>
      <c r="BS486" t="s">
        <v>9231</v>
      </c>
      <c r="BT486" t="str">
        <f>HYPERLINK("https%3A%2F%2Fwww.webofscience.com%2Fwos%2Fwoscc%2Ffull-record%2FWOS:000329533100007","View Full Record in Web of Science")</f>
        <v>View Full Record in Web of Science</v>
      </c>
    </row>
    <row r="487" spans="1:72" x14ac:dyDescent="0.15">
      <c r="A487" t="s">
        <v>72</v>
      </c>
      <c r="B487" t="s">
        <v>9232</v>
      </c>
      <c r="C487" t="s">
        <v>74</v>
      </c>
      <c r="D487" t="s">
        <v>74</v>
      </c>
      <c r="E487" t="s">
        <v>74</v>
      </c>
      <c r="F487" t="s">
        <v>9233</v>
      </c>
      <c r="G487" t="s">
        <v>74</v>
      </c>
      <c r="H487" t="s">
        <v>74</v>
      </c>
      <c r="I487" t="s">
        <v>9234</v>
      </c>
      <c r="J487" t="s">
        <v>1068</v>
      </c>
      <c r="K487" t="s">
        <v>74</v>
      </c>
      <c r="L487" t="s">
        <v>74</v>
      </c>
      <c r="M487" t="s">
        <v>78</v>
      </c>
      <c r="N487" t="s">
        <v>79</v>
      </c>
      <c r="O487" t="s">
        <v>74</v>
      </c>
      <c r="P487" t="s">
        <v>74</v>
      </c>
      <c r="Q487" t="s">
        <v>74</v>
      </c>
      <c r="R487" t="s">
        <v>74</v>
      </c>
      <c r="S487" t="s">
        <v>74</v>
      </c>
      <c r="T487" t="s">
        <v>74</v>
      </c>
      <c r="U487" t="s">
        <v>9235</v>
      </c>
      <c r="V487" t="s">
        <v>9236</v>
      </c>
      <c r="W487" t="s">
        <v>9237</v>
      </c>
      <c r="X487" t="s">
        <v>9238</v>
      </c>
      <c r="Y487" t="s">
        <v>9239</v>
      </c>
      <c r="Z487" t="s">
        <v>9240</v>
      </c>
      <c r="AA487" t="s">
        <v>9241</v>
      </c>
      <c r="AB487" t="s">
        <v>74</v>
      </c>
      <c r="AC487" t="s">
        <v>9242</v>
      </c>
      <c r="AD487" t="s">
        <v>9243</v>
      </c>
      <c r="AE487" t="s">
        <v>9244</v>
      </c>
      <c r="AF487" t="s">
        <v>74</v>
      </c>
      <c r="AG487">
        <v>55</v>
      </c>
      <c r="AH487">
        <v>13</v>
      </c>
      <c r="AI487">
        <v>15</v>
      </c>
      <c r="AJ487">
        <v>0</v>
      </c>
      <c r="AK487">
        <v>22</v>
      </c>
      <c r="AL487" t="s">
        <v>1080</v>
      </c>
      <c r="AM487" t="s">
        <v>1081</v>
      </c>
      <c r="AN487" t="s">
        <v>1082</v>
      </c>
      <c r="AO487" t="s">
        <v>1083</v>
      </c>
      <c r="AP487" t="s">
        <v>1084</v>
      </c>
      <c r="AQ487" t="s">
        <v>74</v>
      </c>
      <c r="AR487" t="s">
        <v>1085</v>
      </c>
      <c r="AS487" t="s">
        <v>1086</v>
      </c>
      <c r="AT487" t="s">
        <v>9169</v>
      </c>
      <c r="AU487">
        <v>2013</v>
      </c>
      <c r="AV487">
        <v>45</v>
      </c>
      <c r="AW487">
        <v>2</v>
      </c>
      <c r="AX487" t="s">
        <v>74</v>
      </c>
      <c r="AY487" t="s">
        <v>74</v>
      </c>
      <c r="AZ487" t="s">
        <v>74</v>
      </c>
      <c r="BA487" t="s">
        <v>74</v>
      </c>
      <c r="BB487">
        <v>238</v>
      </c>
      <c r="BC487">
        <v>248</v>
      </c>
      <c r="BD487" t="s">
        <v>74</v>
      </c>
      <c r="BE487" t="s">
        <v>9245</v>
      </c>
      <c r="BF487" t="str">
        <f>HYPERLINK("http://dx.doi.org/10.1657/1938-4246-45.2.238","http://dx.doi.org/10.1657/1938-4246-45.2.238")</f>
        <v>http://dx.doi.org/10.1657/1938-4246-45.2.238</v>
      </c>
      <c r="BG487" t="s">
        <v>74</v>
      </c>
      <c r="BH487" t="s">
        <v>74</v>
      </c>
      <c r="BI487">
        <v>11</v>
      </c>
      <c r="BJ487" t="s">
        <v>1088</v>
      </c>
      <c r="BK487" t="s">
        <v>102</v>
      </c>
      <c r="BL487" t="s">
        <v>1089</v>
      </c>
      <c r="BM487" t="s">
        <v>9171</v>
      </c>
      <c r="BN487" t="s">
        <v>74</v>
      </c>
      <c r="BO487" t="s">
        <v>74</v>
      </c>
      <c r="BP487" t="s">
        <v>74</v>
      </c>
      <c r="BQ487" t="s">
        <v>74</v>
      </c>
      <c r="BR487" t="s">
        <v>105</v>
      </c>
      <c r="BS487" t="s">
        <v>9246</v>
      </c>
      <c r="BT487" t="str">
        <f>HYPERLINK("https%3A%2F%2Fwww.webofscience.com%2Fwos%2Fwoscc%2Ffull-record%2FWOS:000329533100008","View Full Record in Web of Science")</f>
        <v>View Full Record in Web of Science</v>
      </c>
    </row>
    <row r="488" spans="1:72" x14ac:dyDescent="0.15">
      <c r="A488" t="s">
        <v>72</v>
      </c>
      <c r="B488" t="s">
        <v>9247</v>
      </c>
      <c r="C488" t="s">
        <v>74</v>
      </c>
      <c r="D488" t="s">
        <v>74</v>
      </c>
      <c r="E488" t="s">
        <v>74</v>
      </c>
      <c r="F488" t="s">
        <v>9248</v>
      </c>
      <c r="G488" t="s">
        <v>74</v>
      </c>
      <c r="H488" t="s">
        <v>74</v>
      </c>
      <c r="I488" t="s">
        <v>9249</v>
      </c>
      <c r="J488" t="s">
        <v>1068</v>
      </c>
      <c r="K488" t="s">
        <v>74</v>
      </c>
      <c r="L488" t="s">
        <v>74</v>
      </c>
      <c r="M488" t="s">
        <v>78</v>
      </c>
      <c r="N488" t="s">
        <v>79</v>
      </c>
      <c r="O488" t="s">
        <v>74</v>
      </c>
      <c r="P488" t="s">
        <v>74</v>
      </c>
      <c r="Q488" t="s">
        <v>74</v>
      </c>
      <c r="R488" t="s">
        <v>74</v>
      </c>
      <c r="S488" t="s">
        <v>74</v>
      </c>
      <c r="T488" t="s">
        <v>74</v>
      </c>
      <c r="U488" t="s">
        <v>9250</v>
      </c>
      <c r="V488" t="s">
        <v>9251</v>
      </c>
      <c r="W488" t="s">
        <v>9252</v>
      </c>
      <c r="X488" t="s">
        <v>9253</v>
      </c>
      <c r="Y488" t="s">
        <v>9254</v>
      </c>
      <c r="Z488" t="s">
        <v>9255</v>
      </c>
      <c r="AA488" t="s">
        <v>74</v>
      </c>
      <c r="AB488" t="s">
        <v>9256</v>
      </c>
      <c r="AC488" t="s">
        <v>9257</v>
      </c>
      <c r="AD488" t="s">
        <v>9257</v>
      </c>
      <c r="AE488" t="s">
        <v>9258</v>
      </c>
      <c r="AF488" t="s">
        <v>74</v>
      </c>
      <c r="AG488">
        <v>42</v>
      </c>
      <c r="AH488">
        <v>9</v>
      </c>
      <c r="AI488">
        <v>9</v>
      </c>
      <c r="AJ488">
        <v>0</v>
      </c>
      <c r="AK488">
        <v>9</v>
      </c>
      <c r="AL488" t="s">
        <v>1106</v>
      </c>
      <c r="AM488" t="s">
        <v>280</v>
      </c>
      <c r="AN488" t="s">
        <v>1107</v>
      </c>
      <c r="AO488" t="s">
        <v>1083</v>
      </c>
      <c r="AP488" t="s">
        <v>1084</v>
      </c>
      <c r="AQ488" t="s">
        <v>74</v>
      </c>
      <c r="AR488" t="s">
        <v>1085</v>
      </c>
      <c r="AS488" t="s">
        <v>1086</v>
      </c>
      <c r="AT488" t="s">
        <v>9169</v>
      </c>
      <c r="AU488">
        <v>2013</v>
      </c>
      <c r="AV488">
        <v>45</v>
      </c>
      <c r="AW488">
        <v>2</v>
      </c>
      <c r="AX488" t="s">
        <v>74</v>
      </c>
      <c r="AY488" t="s">
        <v>74</v>
      </c>
      <c r="AZ488" t="s">
        <v>74</v>
      </c>
      <c r="BA488" t="s">
        <v>74</v>
      </c>
      <c r="BB488">
        <v>261</v>
      </c>
      <c r="BC488">
        <v>274</v>
      </c>
      <c r="BD488" t="s">
        <v>74</v>
      </c>
      <c r="BE488" t="s">
        <v>9259</v>
      </c>
      <c r="BF488" t="str">
        <f>HYPERLINK("http://dx.doi.org/10.1657/1938-4246-45.2.261","http://dx.doi.org/10.1657/1938-4246-45.2.261")</f>
        <v>http://dx.doi.org/10.1657/1938-4246-45.2.261</v>
      </c>
      <c r="BG488" t="s">
        <v>74</v>
      </c>
      <c r="BH488" t="s">
        <v>74</v>
      </c>
      <c r="BI488">
        <v>14</v>
      </c>
      <c r="BJ488" t="s">
        <v>1088</v>
      </c>
      <c r="BK488" t="s">
        <v>102</v>
      </c>
      <c r="BL488" t="s">
        <v>1089</v>
      </c>
      <c r="BM488" t="s">
        <v>9171</v>
      </c>
      <c r="BN488" t="s">
        <v>74</v>
      </c>
      <c r="BO488" t="s">
        <v>1014</v>
      </c>
      <c r="BP488" t="s">
        <v>74</v>
      </c>
      <c r="BQ488" t="s">
        <v>74</v>
      </c>
      <c r="BR488" t="s">
        <v>105</v>
      </c>
      <c r="BS488" t="s">
        <v>9260</v>
      </c>
      <c r="BT488" t="str">
        <f>HYPERLINK("https%3A%2F%2Fwww.webofscience.com%2Fwos%2Fwoscc%2Ffull-record%2FWOS:000329533100010","View Full Record in Web of Science")</f>
        <v>View Full Record in Web of Science</v>
      </c>
    </row>
    <row r="489" spans="1:72" x14ac:dyDescent="0.15">
      <c r="A489" t="s">
        <v>72</v>
      </c>
      <c r="B489" t="s">
        <v>9261</v>
      </c>
      <c r="C489" t="s">
        <v>74</v>
      </c>
      <c r="D489" t="s">
        <v>74</v>
      </c>
      <c r="E489" t="s">
        <v>74</v>
      </c>
      <c r="F489" t="s">
        <v>9262</v>
      </c>
      <c r="G489" t="s">
        <v>74</v>
      </c>
      <c r="H489" t="s">
        <v>74</v>
      </c>
      <c r="I489" t="s">
        <v>9263</v>
      </c>
      <c r="J489" t="s">
        <v>1068</v>
      </c>
      <c r="K489" t="s">
        <v>74</v>
      </c>
      <c r="L489" t="s">
        <v>74</v>
      </c>
      <c r="M489" t="s">
        <v>78</v>
      </c>
      <c r="N489" t="s">
        <v>79</v>
      </c>
      <c r="O489" t="s">
        <v>74</v>
      </c>
      <c r="P489" t="s">
        <v>74</v>
      </c>
      <c r="Q489" t="s">
        <v>74</v>
      </c>
      <c r="R489" t="s">
        <v>74</v>
      </c>
      <c r="S489" t="s">
        <v>74</v>
      </c>
      <c r="T489" t="s">
        <v>74</v>
      </c>
      <c r="U489" t="s">
        <v>9264</v>
      </c>
      <c r="V489" t="s">
        <v>9265</v>
      </c>
      <c r="W489" t="s">
        <v>9266</v>
      </c>
      <c r="X489" t="s">
        <v>9267</v>
      </c>
      <c r="Y489" t="s">
        <v>9268</v>
      </c>
      <c r="Z489" t="s">
        <v>9269</v>
      </c>
      <c r="AA489" t="s">
        <v>74</v>
      </c>
      <c r="AB489" t="s">
        <v>74</v>
      </c>
      <c r="AC489" t="s">
        <v>9270</v>
      </c>
      <c r="AD489" t="s">
        <v>4623</v>
      </c>
      <c r="AE489" t="s">
        <v>9271</v>
      </c>
      <c r="AF489" t="s">
        <v>74</v>
      </c>
      <c r="AG489">
        <v>92</v>
      </c>
      <c r="AH489">
        <v>3</v>
      </c>
      <c r="AI489">
        <v>5</v>
      </c>
      <c r="AJ489">
        <v>1</v>
      </c>
      <c r="AK489">
        <v>16</v>
      </c>
      <c r="AL489" t="s">
        <v>1080</v>
      </c>
      <c r="AM489" t="s">
        <v>1081</v>
      </c>
      <c r="AN489" t="s">
        <v>1082</v>
      </c>
      <c r="AO489" t="s">
        <v>1083</v>
      </c>
      <c r="AP489" t="s">
        <v>1084</v>
      </c>
      <c r="AQ489" t="s">
        <v>74</v>
      </c>
      <c r="AR489" t="s">
        <v>1085</v>
      </c>
      <c r="AS489" t="s">
        <v>1086</v>
      </c>
      <c r="AT489" t="s">
        <v>9169</v>
      </c>
      <c r="AU489">
        <v>2013</v>
      </c>
      <c r="AV489">
        <v>45</v>
      </c>
      <c r="AW489">
        <v>2</v>
      </c>
      <c r="AX489" t="s">
        <v>74</v>
      </c>
      <c r="AY489" t="s">
        <v>74</v>
      </c>
      <c r="AZ489" t="s">
        <v>74</v>
      </c>
      <c r="BA489" t="s">
        <v>74</v>
      </c>
      <c r="BB489">
        <v>285</v>
      </c>
      <c r="BC489">
        <v>295</v>
      </c>
      <c r="BD489" t="s">
        <v>74</v>
      </c>
      <c r="BE489" t="s">
        <v>9272</v>
      </c>
      <c r="BF489" t="str">
        <f>HYPERLINK("http://dx.doi.org/10.1657/1938-4246-45.2.285","http://dx.doi.org/10.1657/1938-4246-45.2.285")</f>
        <v>http://dx.doi.org/10.1657/1938-4246-45.2.285</v>
      </c>
      <c r="BG489" t="s">
        <v>74</v>
      </c>
      <c r="BH489" t="s">
        <v>74</v>
      </c>
      <c r="BI489">
        <v>11</v>
      </c>
      <c r="BJ489" t="s">
        <v>1088</v>
      </c>
      <c r="BK489" t="s">
        <v>102</v>
      </c>
      <c r="BL489" t="s">
        <v>1089</v>
      </c>
      <c r="BM489" t="s">
        <v>9171</v>
      </c>
      <c r="BN489" t="s">
        <v>74</v>
      </c>
      <c r="BO489" t="s">
        <v>104</v>
      </c>
      <c r="BP489" t="s">
        <v>74</v>
      </c>
      <c r="BQ489" t="s">
        <v>74</v>
      </c>
      <c r="BR489" t="s">
        <v>105</v>
      </c>
      <c r="BS489" t="s">
        <v>9273</v>
      </c>
      <c r="BT489" t="str">
        <f>HYPERLINK("https%3A%2F%2Fwww.webofscience.com%2Fwos%2Fwoscc%2Ffull-record%2FWOS:000329533100012","View Full Record in Web of Science")</f>
        <v>View Full Record in Web of Science</v>
      </c>
    </row>
    <row r="490" spans="1:72" x14ac:dyDescent="0.15">
      <c r="A490" t="s">
        <v>72</v>
      </c>
      <c r="B490" t="s">
        <v>9274</v>
      </c>
      <c r="C490" t="s">
        <v>74</v>
      </c>
      <c r="D490" t="s">
        <v>74</v>
      </c>
      <c r="E490" t="s">
        <v>74</v>
      </c>
      <c r="F490" t="s">
        <v>9275</v>
      </c>
      <c r="G490" t="s">
        <v>74</v>
      </c>
      <c r="H490" t="s">
        <v>74</v>
      </c>
      <c r="I490" t="s">
        <v>9276</v>
      </c>
      <c r="J490" t="s">
        <v>9277</v>
      </c>
      <c r="K490" t="s">
        <v>74</v>
      </c>
      <c r="L490" t="s">
        <v>74</v>
      </c>
      <c r="M490" t="s">
        <v>78</v>
      </c>
      <c r="N490" t="s">
        <v>79</v>
      </c>
      <c r="O490" t="s">
        <v>74</v>
      </c>
      <c r="P490" t="s">
        <v>74</v>
      </c>
      <c r="Q490" t="s">
        <v>74</v>
      </c>
      <c r="R490" t="s">
        <v>74</v>
      </c>
      <c r="S490" t="s">
        <v>74</v>
      </c>
      <c r="T490" t="s">
        <v>9278</v>
      </c>
      <c r="U490" t="s">
        <v>74</v>
      </c>
      <c r="V490" t="s">
        <v>9279</v>
      </c>
      <c r="W490" t="s">
        <v>9280</v>
      </c>
      <c r="X490" t="s">
        <v>9281</v>
      </c>
      <c r="Y490" t="s">
        <v>9282</v>
      </c>
      <c r="Z490" t="s">
        <v>9283</v>
      </c>
      <c r="AA490" t="s">
        <v>74</v>
      </c>
      <c r="AB490" t="s">
        <v>74</v>
      </c>
      <c r="AC490" t="s">
        <v>74</v>
      </c>
      <c r="AD490" t="s">
        <v>74</v>
      </c>
      <c r="AE490" t="s">
        <v>74</v>
      </c>
      <c r="AF490" t="s">
        <v>74</v>
      </c>
      <c r="AG490">
        <v>61</v>
      </c>
      <c r="AH490">
        <v>4</v>
      </c>
      <c r="AI490">
        <v>6</v>
      </c>
      <c r="AJ490">
        <v>3</v>
      </c>
      <c r="AK490">
        <v>31</v>
      </c>
      <c r="AL490" t="s">
        <v>9284</v>
      </c>
      <c r="AM490" t="s">
        <v>9285</v>
      </c>
      <c r="AN490" t="s">
        <v>9286</v>
      </c>
      <c r="AO490" t="s">
        <v>9287</v>
      </c>
      <c r="AP490" t="s">
        <v>74</v>
      </c>
      <c r="AQ490" t="s">
        <v>74</v>
      </c>
      <c r="AR490" t="s">
        <v>9288</v>
      </c>
      <c r="AS490" t="s">
        <v>9289</v>
      </c>
      <c r="AT490" t="s">
        <v>9290</v>
      </c>
      <c r="AU490">
        <v>2013</v>
      </c>
      <c r="AV490">
        <v>40</v>
      </c>
      <c r="AW490">
        <v>2</v>
      </c>
      <c r="AX490" t="s">
        <v>74</v>
      </c>
      <c r="AY490" t="s">
        <v>74</v>
      </c>
      <c r="AZ490" t="s">
        <v>74</v>
      </c>
      <c r="BA490" t="s">
        <v>74</v>
      </c>
      <c r="BB490">
        <v>461</v>
      </c>
      <c r="BC490">
        <v>488</v>
      </c>
      <c r="BD490" t="s">
        <v>74</v>
      </c>
      <c r="BE490" t="s">
        <v>9291</v>
      </c>
      <c r="BF490" t="str">
        <f>HYPERLINK("http://dx.doi.org/10.4067/S0718-34372013000200005","http://dx.doi.org/10.4067/S0718-34372013000200005")</f>
        <v>http://dx.doi.org/10.4067/S0718-34372013000200005</v>
      </c>
      <c r="BG490" t="s">
        <v>74</v>
      </c>
      <c r="BH490" t="s">
        <v>74</v>
      </c>
      <c r="BI490">
        <v>28</v>
      </c>
      <c r="BJ490" t="s">
        <v>9292</v>
      </c>
      <c r="BK490" t="s">
        <v>3958</v>
      </c>
      <c r="BL490" t="s">
        <v>9293</v>
      </c>
      <c r="BM490" t="s">
        <v>9294</v>
      </c>
      <c r="BN490" t="s">
        <v>74</v>
      </c>
      <c r="BO490" t="s">
        <v>2917</v>
      </c>
      <c r="BP490" t="s">
        <v>74</v>
      </c>
      <c r="BQ490" t="s">
        <v>74</v>
      </c>
      <c r="BR490" t="s">
        <v>105</v>
      </c>
      <c r="BS490" t="s">
        <v>9295</v>
      </c>
      <c r="BT490" t="str">
        <f>HYPERLINK("https%3A%2F%2Fwww.webofscience.com%2Fwos%2Fwoscc%2Ffull-record%2FWOS:000328657100005","View Full Record in Web of Science")</f>
        <v>View Full Record in Web of Science</v>
      </c>
    </row>
    <row r="491" spans="1:72" x14ac:dyDescent="0.15">
      <c r="A491" t="s">
        <v>72</v>
      </c>
      <c r="B491" t="s">
        <v>9296</v>
      </c>
      <c r="C491" t="s">
        <v>74</v>
      </c>
      <c r="D491" t="s">
        <v>74</v>
      </c>
      <c r="E491" t="s">
        <v>74</v>
      </c>
      <c r="F491" t="s">
        <v>9297</v>
      </c>
      <c r="G491" t="s">
        <v>74</v>
      </c>
      <c r="H491" t="s">
        <v>74</v>
      </c>
      <c r="I491" t="s">
        <v>9298</v>
      </c>
      <c r="J491" t="s">
        <v>9299</v>
      </c>
      <c r="K491" t="s">
        <v>74</v>
      </c>
      <c r="L491" t="s">
        <v>74</v>
      </c>
      <c r="M491" t="s">
        <v>78</v>
      </c>
      <c r="N491" t="s">
        <v>79</v>
      </c>
      <c r="O491" t="s">
        <v>74</v>
      </c>
      <c r="P491" t="s">
        <v>74</v>
      </c>
      <c r="Q491" t="s">
        <v>74</v>
      </c>
      <c r="R491" t="s">
        <v>74</v>
      </c>
      <c r="S491" t="s">
        <v>74</v>
      </c>
      <c r="T491" t="s">
        <v>74</v>
      </c>
      <c r="U491" t="s">
        <v>74</v>
      </c>
      <c r="V491" t="s">
        <v>9300</v>
      </c>
      <c r="W491" t="s">
        <v>9301</v>
      </c>
      <c r="X491" t="s">
        <v>9302</v>
      </c>
      <c r="Y491" t="s">
        <v>9303</v>
      </c>
      <c r="Z491" t="s">
        <v>9304</v>
      </c>
      <c r="AA491" t="s">
        <v>74</v>
      </c>
      <c r="AB491" t="s">
        <v>74</v>
      </c>
      <c r="AC491" t="s">
        <v>74</v>
      </c>
      <c r="AD491" t="s">
        <v>74</v>
      </c>
      <c r="AE491" t="s">
        <v>74</v>
      </c>
      <c r="AF491" t="s">
        <v>74</v>
      </c>
      <c r="AG491">
        <v>11</v>
      </c>
      <c r="AH491">
        <v>0</v>
      </c>
      <c r="AI491">
        <v>0</v>
      </c>
      <c r="AJ491">
        <v>0</v>
      </c>
      <c r="AK491">
        <v>0</v>
      </c>
      <c r="AL491" t="s">
        <v>3125</v>
      </c>
      <c r="AM491" t="s">
        <v>391</v>
      </c>
      <c r="AN491" t="s">
        <v>3126</v>
      </c>
      <c r="AO491" t="s">
        <v>9305</v>
      </c>
      <c r="AP491" t="s">
        <v>9306</v>
      </c>
      <c r="AQ491" t="s">
        <v>74</v>
      </c>
      <c r="AR491" t="s">
        <v>9307</v>
      </c>
      <c r="AS491" t="s">
        <v>9308</v>
      </c>
      <c r="AT491" t="s">
        <v>9169</v>
      </c>
      <c r="AU491">
        <v>2013</v>
      </c>
      <c r="AV491">
        <v>53</v>
      </c>
      <c r="AW491">
        <v>3</v>
      </c>
      <c r="AX491" t="s">
        <v>74</v>
      </c>
      <c r="AY491" t="s">
        <v>74</v>
      </c>
      <c r="AZ491" t="s">
        <v>74</v>
      </c>
      <c r="BA491" t="s">
        <v>74</v>
      </c>
      <c r="BB491">
        <v>321</v>
      </c>
      <c r="BC491">
        <v>328</v>
      </c>
      <c r="BD491" t="s">
        <v>74</v>
      </c>
      <c r="BE491" t="s">
        <v>9309</v>
      </c>
      <c r="BF491" t="str">
        <f>HYPERLINK("http://dx.doi.org/10.1134/S0016793213020175","http://dx.doi.org/10.1134/S0016793213020175")</f>
        <v>http://dx.doi.org/10.1134/S0016793213020175</v>
      </c>
      <c r="BG491" t="s">
        <v>74</v>
      </c>
      <c r="BH491" t="s">
        <v>74</v>
      </c>
      <c r="BI491">
        <v>8</v>
      </c>
      <c r="BJ491" t="s">
        <v>766</v>
      </c>
      <c r="BK491" t="s">
        <v>102</v>
      </c>
      <c r="BL491" t="s">
        <v>766</v>
      </c>
      <c r="BM491" t="s">
        <v>9310</v>
      </c>
      <c r="BN491" t="s">
        <v>74</v>
      </c>
      <c r="BO491" t="s">
        <v>74</v>
      </c>
      <c r="BP491" t="s">
        <v>74</v>
      </c>
      <c r="BQ491" t="s">
        <v>74</v>
      </c>
      <c r="BR491" t="s">
        <v>105</v>
      </c>
      <c r="BS491" t="s">
        <v>9311</v>
      </c>
      <c r="BT491" t="str">
        <f>HYPERLINK("https%3A%2F%2Fwww.webofscience.com%2Fwos%2Fwoscc%2Ffull-record%2FWOS:000327074900006","View Full Record in Web of Science")</f>
        <v>View Full Record in Web of Science</v>
      </c>
    </row>
    <row r="492" spans="1:72" x14ac:dyDescent="0.15">
      <c r="A492" t="s">
        <v>72</v>
      </c>
      <c r="B492" t="s">
        <v>9312</v>
      </c>
      <c r="C492" t="s">
        <v>74</v>
      </c>
      <c r="D492" t="s">
        <v>74</v>
      </c>
      <c r="E492" t="s">
        <v>74</v>
      </c>
      <c r="F492" t="s">
        <v>9313</v>
      </c>
      <c r="G492" t="s">
        <v>74</v>
      </c>
      <c r="H492" t="s">
        <v>74</v>
      </c>
      <c r="I492" t="s">
        <v>9314</v>
      </c>
      <c r="J492" t="s">
        <v>9315</v>
      </c>
      <c r="K492" t="s">
        <v>74</v>
      </c>
      <c r="L492" t="s">
        <v>74</v>
      </c>
      <c r="M492" t="s">
        <v>78</v>
      </c>
      <c r="N492" t="s">
        <v>79</v>
      </c>
      <c r="O492" t="s">
        <v>74</v>
      </c>
      <c r="P492" t="s">
        <v>74</v>
      </c>
      <c r="Q492" t="s">
        <v>74</v>
      </c>
      <c r="R492" t="s">
        <v>74</v>
      </c>
      <c r="S492" t="s">
        <v>74</v>
      </c>
      <c r="T492" t="s">
        <v>9316</v>
      </c>
      <c r="U492" t="s">
        <v>74</v>
      </c>
      <c r="V492" t="s">
        <v>9317</v>
      </c>
      <c r="W492" t="s">
        <v>9318</v>
      </c>
      <c r="X492" t="s">
        <v>9319</v>
      </c>
      <c r="Y492" t="s">
        <v>9320</v>
      </c>
      <c r="Z492" t="s">
        <v>74</v>
      </c>
      <c r="AA492" t="s">
        <v>74</v>
      </c>
      <c r="AB492" t="s">
        <v>74</v>
      </c>
      <c r="AC492" t="s">
        <v>74</v>
      </c>
      <c r="AD492" t="s">
        <v>74</v>
      </c>
      <c r="AE492" t="s">
        <v>74</v>
      </c>
      <c r="AF492" t="s">
        <v>74</v>
      </c>
      <c r="AG492">
        <v>35</v>
      </c>
      <c r="AH492">
        <v>1</v>
      </c>
      <c r="AI492">
        <v>1</v>
      </c>
      <c r="AJ492">
        <v>0</v>
      </c>
      <c r="AK492">
        <v>4</v>
      </c>
      <c r="AL492" t="s">
        <v>9321</v>
      </c>
      <c r="AM492" t="s">
        <v>643</v>
      </c>
      <c r="AN492" t="s">
        <v>9322</v>
      </c>
      <c r="AO492" t="s">
        <v>9323</v>
      </c>
      <c r="AP492" t="s">
        <v>74</v>
      </c>
      <c r="AQ492" t="s">
        <v>74</v>
      </c>
      <c r="AR492" t="s">
        <v>9315</v>
      </c>
      <c r="AS492" t="s">
        <v>9324</v>
      </c>
      <c r="AT492" t="s">
        <v>9169</v>
      </c>
      <c r="AU492">
        <v>2013</v>
      </c>
      <c r="AV492">
        <v>99</v>
      </c>
      <c r="AW492">
        <v>2</v>
      </c>
      <c r="AX492" t="s">
        <v>74</v>
      </c>
      <c r="AY492" t="s">
        <v>74</v>
      </c>
      <c r="AZ492" t="s">
        <v>74</v>
      </c>
      <c r="BA492" t="s">
        <v>74</v>
      </c>
      <c r="BB492">
        <v>196</v>
      </c>
      <c r="BC492">
        <v>211</v>
      </c>
      <c r="BD492" t="s">
        <v>74</v>
      </c>
      <c r="BE492" t="s">
        <v>9325</v>
      </c>
      <c r="BF492" t="str">
        <f>HYPERLINK("http://dx.doi.org/10.1080/00253359.2013.785136","http://dx.doi.org/10.1080/00253359.2013.785136")</f>
        <v>http://dx.doi.org/10.1080/00253359.2013.785136</v>
      </c>
      <c r="BG492" t="s">
        <v>74</v>
      </c>
      <c r="BH492" t="s">
        <v>74</v>
      </c>
      <c r="BI492">
        <v>16</v>
      </c>
      <c r="BJ492" t="s">
        <v>7717</v>
      </c>
      <c r="BK492" t="s">
        <v>399</v>
      </c>
      <c r="BL492" t="s">
        <v>7717</v>
      </c>
      <c r="BM492" t="s">
        <v>9326</v>
      </c>
      <c r="BN492" t="s">
        <v>74</v>
      </c>
      <c r="BO492" t="s">
        <v>74</v>
      </c>
      <c r="BP492" t="s">
        <v>74</v>
      </c>
      <c r="BQ492" t="s">
        <v>74</v>
      </c>
      <c r="BR492" t="s">
        <v>105</v>
      </c>
      <c r="BS492" t="s">
        <v>9327</v>
      </c>
      <c r="BT492" t="str">
        <f>HYPERLINK("https%3A%2F%2Fwww.webofscience.com%2Fwos%2Fwoscc%2Ffull-record%2FWOS:000323629300007","View Full Record in Web of Science")</f>
        <v>View Full Record in Web of Science</v>
      </c>
    </row>
    <row r="493" spans="1:72" x14ac:dyDescent="0.15">
      <c r="A493" t="s">
        <v>72</v>
      </c>
      <c r="B493" t="s">
        <v>9328</v>
      </c>
      <c r="C493" t="s">
        <v>74</v>
      </c>
      <c r="D493" t="s">
        <v>74</v>
      </c>
      <c r="E493" t="s">
        <v>74</v>
      </c>
      <c r="F493" t="s">
        <v>9329</v>
      </c>
      <c r="G493" t="s">
        <v>74</v>
      </c>
      <c r="H493" t="s">
        <v>74</v>
      </c>
      <c r="I493" t="s">
        <v>9330</v>
      </c>
      <c r="J493" t="s">
        <v>1710</v>
      </c>
      <c r="K493" t="s">
        <v>74</v>
      </c>
      <c r="L493" t="s">
        <v>74</v>
      </c>
      <c r="M493" t="s">
        <v>78</v>
      </c>
      <c r="N493" t="s">
        <v>79</v>
      </c>
      <c r="O493" t="s">
        <v>74</v>
      </c>
      <c r="P493" t="s">
        <v>74</v>
      </c>
      <c r="Q493" t="s">
        <v>74</v>
      </c>
      <c r="R493" t="s">
        <v>74</v>
      </c>
      <c r="S493" t="s">
        <v>74</v>
      </c>
      <c r="T493" t="s">
        <v>9331</v>
      </c>
      <c r="U493" t="s">
        <v>9332</v>
      </c>
      <c r="V493" t="s">
        <v>9333</v>
      </c>
      <c r="W493" t="s">
        <v>9334</v>
      </c>
      <c r="X493" t="s">
        <v>9335</v>
      </c>
      <c r="Y493" t="s">
        <v>9336</v>
      </c>
      <c r="Z493" t="s">
        <v>9337</v>
      </c>
      <c r="AA493" t="s">
        <v>74</v>
      </c>
      <c r="AB493" t="s">
        <v>9338</v>
      </c>
      <c r="AC493" t="s">
        <v>9339</v>
      </c>
      <c r="AD493" t="s">
        <v>9340</v>
      </c>
      <c r="AE493" t="s">
        <v>9341</v>
      </c>
      <c r="AF493" t="s">
        <v>74</v>
      </c>
      <c r="AG493">
        <v>115</v>
      </c>
      <c r="AH493">
        <v>59</v>
      </c>
      <c r="AI493">
        <v>62</v>
      </c>
      <c r="AJ493">
        <v>6</v>
      </c>
      <c r="AK493">
        <v>66</v>
      </c>
      <c r="AL493" t="s">
        <v>92</v>
      </c>
      <c r="AM493" t="s">
        <v>93</v>
      </c>
      <c r="AN493" t="s">
        <v>94</v>
      </c>
      <c r="AO493" t="s">
        <v>1723</v>
      </c>
      <c r="AP493" t="s">
        <v>1724</v>
      </c>
      <c r="AQ493" t="s">
        <v>74</v>
      </c>
      <c r="AR493" t="s">
        <v>1725</v>
      </c>
      <c r="AS493" t="s">
        <v>1726</v>
      </c>
      <c r="AT493" t="s">
        <v>9169</v>
      </c>
      <c r="AU493">
        <v>2013</v>
      </c>
      <c r="AV493">
        <v>118</v>
      </c>
      <c r="AW493">
        <v>5</v>
      </c>
      <c r="AX493" t="s">
        <v>74</v>
      </c>
      <c r="AY493" t="s">
        <v>74</v>
      </c>
      <c r="AZ493" t="s">
        <v>74</v>
      </c>
      <c r="BA493" t="s">
        <v>74</v>
      </c>
      <c r="BB493">
        <v>2454</v>
      </c>
      <c r="BC493">
        <v>2475</v>
      </c>
      <c r="BD493" t="s">
        <v>74</v>
      </c>
      <c r="BE493" t="s">
        <v>9342</v>
      </c>
      <c r="BF493" t="str">
        <f>HYPERLINK("http://dx.doi.org/10.1002/jgrc.20166","http://dx.doi.org/10.1002/jgrc.20166")</f>
        <v>http://dx.doi.org/10.1002/jgrc.20166</v>
      </c>
      <c r="BG493" t="s">
        <v>74</v>
      </c>
      <c r="BH493" t="s">
        <v>74</v>
      </c>
      <c r="BI493">
        <v>22</v>
      </c>
      <c r="BJ493" t="s">
        <v>327</v>
      </c>
      <c r="BK493" t="s">
        <v>102</v>
      </c>
      <c r="BL493" t="s">
        <v>327</v>
      </c>
      <c r="BM493" t="s">
        <v>9343</v>
      </c>
      <c r="BN493" t="s">
        <v>74</v>
      </c>
      <c r="BO493" t="s">
        <v>4895</v>
      </c>
      <c r="BP493" t="s">
        <v>74</v>
      </c>
      <c r="BQ493" t="s">
        <v>74</v>
      </c>
      <c r="BR493" t="s">
        <v>105</v>
      </c>
      <c r="BS493" t="s">
        <v>9344</v>
      </c>
      <c r="BT493" t="str">
        <f>HYPERLINK("https%3A%2F%2Fwww.webofscience.com%2Fwos%2Fwoscc%2Ffull-record%2FWOS:000324913700015","View Full Record in Web of Science")</f>
        <v>View Full Record in Web of Science</v>
      </c>
    </row>
    <row r="494" spans="1:72" x14ac:dyDescent="0.15">
      <c r="A494" t="s">
        <v>72</v>
      </c>
      <c r="B494" t="s">
        <v>9345</v>
      </c>
      <c r="C494" t="s">
        <v>74</v>
      </c>
      <c r="D494" t="s">
        <v>74</v>
      </c>
      <c r="E494" t="s">
        <v>74</v>
      </c>
      <c r="F494" t="s">
        <v>9346</v>
      </c>
      <c r="G494" t="s">
        <v>74</v>
      </c>
      <c r="H494" t="s">
        <v>74</v>
      </c>
      <c r="I494" t="s">
        <v>9347</v>
      </c>
      <c r="J494" t="s">
        <v>1710</v>
      </c>
      <c r="K494" t="s">
        <v>74</v>
      </c>
      <c r="L494" t="s">
        <v>74</v>
      </c>
      <c r="M494" t="s">
        <v>78</v>
      </c>
      <c r="N494" t="s">
        <v>79</v>
      </c>
      <c r="O494" t="s">
        <v>74</v>
      </c>
      <c r="P494" t="s">
        <v>74</v>
      </c>
      <c r="Q494" t="s">
        <v>74</v>
      </c>
      <c r="R494" t="s">
        <v>74</v>
      </c>
      <c r="S494" t="s">
        <v>74</v>
      </c>
      <c r="T494" t="s">
        <v>9348</v>
      </c>
      <c r="U494" t="s">
        <v>9349</v>
      </c>
      <c r="V494" t="s">
        <v>9350</v>
      </c>
      <c r="W494" t="s">
        <v>9351</v>
      </c>
      <c r="X494" t="s">
        <v>2692</v>
      </c>
      <c r="Y494" t="s">
        <v>9352</v>
      </c>
      <c r="Z494" t="s">
        <v>9353</v>
      </c>
      <c r="AA494" t="s">
        <v>74</v>
      </c>
      <c r="AB494" t="s">
        <v>9354</v>
      </c>
      <c r="AC494" t="s">
        <v>9355</v>
      </c>
      <c r="AD494" t="s">
        <v>9356</v>
      </c>
      <c r="AE494" t="s">
        <v>9357</v>
      </c>
      <c r="AF494" t="s">
        <v>74</v>
      </c>
      <c r="AG494">
        <v>38</v>
      </c>
      <c r="AH494">
        <v>46</v>
      </c>
      <c r="AI494">
        <v>49</v>
      </c>
      <c r="AJ494">
        <v>1</v>
      </c>
      <c r="AK494">
        <v>26</v>
      </c>
      <c r="AL494" t="s">
        <v>92</v>
      </c>
      <c r="AM494" t="s">
        <v>93</v>
      </c>
      <c r="AN494" t="s">
        <v>94</v>
      </c>
      <c r="AO494" t="s">
        <v>1723</v>
      </c>
      <c r="AP494" t="s">
        <v>1724</v>
      </c>
      <c r="AQ494" t="s">
        <v>74</v>
      </c>
      <c r="AR494" t="s">
        <v>1725</v>
      </c>
      <c r="AS494" t="s">
        <v>1726</v>
      </c>
      <c r="AT494" t="s">
        <v>9169</v>
      </c>
      <c r="AU494">
        <v>2013</v>
      </c>
      <c r="AV494">
        <v>118</v>
      </c>
      <c r="AW494">
        <v>5</v>
      </c>
      <c r="AX494" t="s">
        <v>74</v>
      </c>
      <c r="AY494" t="s">
        <v>74</v>
      </c>
      <c r="AZ494" t="s">
        <v>74</v>
      </c>
      <c r="BA494" t="s">
        <v>74</v>
      </c>
      <c r="BB494">
        <v>2640</v>
      </c>
      <c r="BC494">
        <v>2652</v>
      </c>
      <c r="BD494" t="s">
        <v>74</v>
      </c>
      <c r="BE494" t="s">
        <v>9358</v>
      </c>
      <c r="BF494" t="str">
        <f>HYPERLINK("http://dx.doi.org/10.1002/jgrc.20133","http://dx.doi.org/10.1002/jgrc.20133")</f>
        <v>http://dx.doi.org/10.1002/jgrc.20133</v>
      </c>
      <c r="BG494" t="s">
        <v>74</v>
      </c>
      <c r="BH494" t="s">
        <v>74</v>
      </c>
      <c r="BI494">
        <v>13</v>
      </c>
      <c r="BJ494" t="s">
        <v>327</v>
      </c>
      <c r="BK494" t="s">
        <v>102</v>
      </c>
      <c r="BL494" t="s">
        <v>327</v>
      </c>
      <c r="BM494" t="s">
        <v>9343</v>
      </c>
      <c r="BN494" t="s">
        <v>74</v>
      </c>
      <c r="BO494" t="s">
        <v>104</v>
      </c>
      <c r="BP494" t="s">
        <v>74</v>
      </c>
      <c r="BQ494" t="s">
        <v>74</v>
      </c>
      <c r="BR494" t="s">
        <v>105</v>
      </c>
      <c r="BS494" t="s">
        <v>9359</v>
      </c>
      <c r="BT494" t="str">
        <f>HYPERLINK("https%3A%2F%2Fwww.webofscience.com%2Fwos%2Fwoscc%2Ffull-record%2FWOS:000324913700027","View Full Record in Web of Science")</f>
        <v>View Full Record in Web of Science</v>
      </c>
    </row>
    <row r="495" spans="1:72" x14ac:dyDescent="0.15">
      <c r="A495" t="s">
        <v>72</v>
      </c>
      <c r="B495" t="s">
        <v>9360</v>
      </c>
      <c r="C495" t="s">
        <v>74</v>
      </c>
      <c r="D495" t="s">
        <v>74</v>
      </c>
      <c r="E495" t="s">
        <v>74</v>
      </c>
      <c r="F495" t="s">
        <v>9361</v>
      </c>
      <c r="G495" t="s">
        <v>74</v>
      </c>
      <c r="H495" t="s">
        <v>74</v>
      </c>
      <c r="I495" t="s">
        <v>9362</v>
      </c>
      <c r="J495" t="s">
        <v>77</v>
      </c>
      <c r="K495" t="s">
        <v>74</v>
      </c>
      <c r="L495" t="s">
        <v>74</v>
      </c>
      <c r="M495" t="s">
        <v>78</v>
      </c>
      <c r="N495" t="s">
        <v>79</v>
      </c>
      <c r="O495" t="s">
        <v>74</v>
      </c>
      <c r="P495" t="s">
        <v>74</v>
      </c>
      <c r="Q495" t="s">
        <v>74</v>
      </c>
      <c r="R495" t="s">
        <v>74</v>
      </c>
      <c r="S495" t="s">
        <v>74</v>
      </c>
      <c r="T495" t="s">
        <v>9363</v>
      </c>
      <c r="U495" t="s">
        <v>9364</v>
      </c>
      <c r="V495" t="s">
        <v>9365</v>
      </c>
      <c r="W495" t="s">
        <v>9366</v>
      </c>
      <c r="X495" t="s">
        <v>9367</v>
      </c>
      <c r="Y495" t="s">
        <v>9368</v>
      </c>
      <c r="Z495" t="s">
        <v>9369</v>
      </c>
      <c r="AA495" t="s">
        <v>9370</v>
      </c>
      <c r="AB495" t="s">
        <v>9371</v>
      </c>
      <c r="AC495" t="s">
        <v>9372</v>
      </c>
      <c r="AD495" t="s">
        <v>9373</v>
      </c>
      <c r="AE495" t="s">
        <v>9374</v>
      </c>
      <c r="AF495" t="s">
        <v>74</v>
      </c>
      <c r="AG495">
        <v>37</v>
      </c>
      <c r="AH495">
        <v>42</v>
      </c>
      <c r="AI495">
        <v>44</v>
      </c>
      <c r="AJ495">
        <v>0</v>
      </c>
      <c r="AK495">
        <v>16</v>
      </c>
      <c r="AL495" t="s">
        <v>92</v>
      </c>
      <c r="AM495" t="s">
        <v>93</v>
      </c>
      <c r="AN495" t="s">
        <v>94</v>
      </c>
      <c r="AO495" t="s">
        <v>74</v>
      </c>
      <c r="AP495" t="s">
        <v>96</v>
      </c>
      <c r="AQ495" t="s">
        <v>74</v>
      </c>
      <c r="AR495" t="s">
        <v>97</v>
      </c>
      <c r="AS495" t="s">
        <v>98</v>
      </c>
      <c r="AT495" t="s">
        <v>9169</v>
      </c>
      <c r="AU495">
        <v>2013</v>
      </c>
      <c r="AV495">
        <v>118</v>
      </c>
      <c r="AW495">
        <v>5</v>
      </c>
      <c r="AX495" t="s">
        <v>74</v>
      </c>
      <c r="AY495" t="s">
        <v>74</v>
      </c>
      <c r="AZ495" t="s">
        <v>74</v>
      </c>
      <c r="BA495" t="s">
        <v>74</v>
      </c>
      <c r="BB495">
        <v>2490</v>
      </c>
      <c r="BC495">
        <v>2502</v>
      </c>
      <c r="BD495" t="s">
        <v>74</v>
      </c>
      <c r="BE495" t="s">
        <v>9375</v>
      </c>
      <c r="BF495" t="str">
        <f>HYPERLINK("http://dx.doi.org/10.1002/jgra.50214","http://dx.doi.org/10.1002/jgra.50214")</f>
        <v>http://dx.doi.org/10.1002/jgra.50214</v>
      </c>
      <c r="BG495" t="s">
        <v>74</v>
      </c>
      <c r="BH495" t="s">
        <v>74</v>
      </c>
      <c r="BI495">
        <v>13</v>
      </c>
      <c r="BJ495" t="s">
        <v>101</v>
      </c>
      <c r="BK495" t="s">
        <v>102</v>
      </c>
      <c r="BL495" t="s">
        <v>101</v>
      </c>
      <c r="BM495" t="s">
        <v>9376</v>
      </c>
      <c r="BN495" t="s">
        <v>74</v>
      </c>
      <c r="BO495" t="s">
        <v>1688</v>
      </c>
      <c r="BP495" t="s">
        <v>74</v>
      </c>
      <c r="BQ495" t="s">
        <v>74</v>
      </c>
      <c r="BR495" t="s">
        <v>105</v>
      </c>
      <c r="BS495" t="s">
        <v>9377</v>
      </c>
      <c r="BT495" t="str">
        <f>HYPERLINK("https%3A%2F%2Fwww.webofscience.com%2Fwos%2Fwoscc%2Ffull-record%2FWOS:000325215800057","View Full Record in Web of Science")</f>
        <v>View Full Record in Web of Science</v>
      </c>
    </row>
    <row r="496" spans="1:72" x14ac:dyDescent="0.15">
      <c r="A496" t="s">
        <v>72</v>
      </c>
      <c r="B496" t="s">
        <v>9378</v>
      </c>
      <c r="C496" t="s">
        <v>74</v>
      </c>
      <c r="D496" t="s">
        <v>74</v>
      </c>
      <c r="E496" t="s">
        <v>74</v>
      </c>
      <c r="F496" t="s">
        <v>9379</v>
      </c>
      <c r="G496" t="s">
        <v>74</v>
      </c>
      <c r="H496" t="s">
        <v>74</v>
      </c>
      <c r="I496" t="s">
        <v>9380</v>
      </c>
      <c r="J496" t="s">
        <v>9381</v>
      </c>
      <c r="K496" t="s">
        <v>74</v>
      </c>
      <c r="L496" t="s">
        <v>74</v>
      </c>
      <c r="M496" t="s">
        <v>78</v>
      </c>
      <c r="N496" t="s">
        <v>79</v>
      </c>
      <c r="O496" t="s">
        <v>74</v>
      </c>
      <c r="P496" t="s">
        <v>74</v>
      </c>
      <c r="Q496" t="s">
        <v>74</v>
      </c>
      <c r="R496" t="s">
        <v>74</v>
      </c>
      <c r="S496" t="s">
        <v>74</v>
      </c>
      <c r="T496" t="s">
        <v>74</v>
      </c>
      <c r="U496" t="s">
        <v>9382</v>
      </c>
      <c r="V496" t="s">
        <v>9383</v>
      </c>
      <c r="W496" t="s">
        <v>9384</v>
      </c>
      <c r="X496" t="s">
        <v>9385</v>
      </c>
      <c r="Y496" t="s">
        <v>9386</v>
      </c>
      <c r="Z496" t="s">
        <v>9387</v>
      </c>
      <c r="AA496" t="s">
        <v>9388</v>
      </c>
      <c r="AB496" t="s">
        <v>9389</v>
      </c>
      <c r="AC496" t="s">
        <v>9390</v>
      </c>
      <c r="AD496" t="s">
        <v>9391</v>
      </c>
      <c r="AE496" t="s">
        <v>9392</v>
      </c>
      <c r="AF496" t="s">
        <v>74</v>
      </c>
      <c r="AG496">
        <v>130</v>
      </c>
      <c r="AH496">
        <v>11</v>
      </c>
      <c r="AI496">
        <v>12</v>
      </c>
      <c r="AJ496">
        <v>0</v>
      </c>
      <c r="AK496">
        <v>26</v>
      </c>
      <c r="AL496" t="s">
        <v>9393</v>
      </c>
      <c r="AM496" t="s">
        <v>9394</v>
      </c>
      <c r="AN496" t="s">
        <v>9395</v>
      </c>
      <c r="AO496" t="s">
        <v>9396</v>
      </c>
      <c r="AP496" t="s">
        <v>9397</v>
      </c>
      <c r="AQ496" t="s">
        <v>74</v>
      </c>
      <c r="AR496" t="s">
        <v>9381</v>
      </c>
      <c r="AS496" t="s">
        <v>9398</v>
      </c>
      <c r="AT496" t="s">
        <v>9399</v>
      </c>
      <c r="AU496">
        <v>2013</v>
      </c>
      <c r="AV496">
        <v>28</v>
      </c>
      <c r="AW496" t="s">
        <v>9400</v>
      </c>
      <c r="AX496" t="s">
        <v>74</v>
      </c>
      <c r="AY496" t="s">
        <v>74</v>
      </c>
      <c r="AZ496" t="s">
        <v>74</v>
      </c>
      <c r="BA496" t="s">
        <v>74</v>
      </c>
      <c r="BB496">
        <v>317</v>
      </c>
      <c r="BC496">
        <v>332</v>
      </c>
      <c r="BD496" t="s">
        <v>74</v>
      </c>
      <c r="BE496" t="s">
        <v>9401</v>
      </c>
      <c r="BF496" t="str">
        <f>HYPERLINK("http://dx.doi.org/10.2110/palo.2012.p12-100r","http://dx.doi.org/10.2110/palo.2012.p12-100r")</f>
        <v>http://dx.doi.org/10.2110/palo.2012.p12-100r</v>
      </c>
      <c r="BG496" t="s">
        <v>74</v>
      </c>
      <c r="BH496" t="s">
        <v>74</v>
      </c>
      <c r="BI496">
        <v>16</v>
      </c>
      <c r="BJ496" t="s">
        <v>913</v>
      </c>
      <c r="BK496" t="s">
        <v>102</v>
      </c>
      <c r="BL496" t="s">
        <v>913</v>
      </c>
      <c r="BM496" t="s">
        <v>9402</v>
      </c>
      <c r="BN496" t="s">
        <v>74</v>
      </c>
      <c r="BO496" t="s">
        <v>74</v>
      </c>
      <c r="BP496" t="s">
        <v>74</v>
      </c>
      <c r="BQ496" t="s">
        <v>74</v>
      </c>
      <c r="BR496" t="s">
        <v>105</v>
      </c>
      <c r="BS496" t="s">
        <v>9403</v>
      </c>
      <c r="BT496" t="str">
        <f>HYPERLINK("https%3A%2F%2Fwww.webofscience.com%2Fwos%2Fwoscc%2Ffull-record%2FWOS:000322856800007","View Full Record in Web of Science")</f>
        <v>View Full Record in Web of Science</v>
      </c>
    </row>
    <row r="497" spans="1:72" x14ac:dyDescent="0.15">
      <c r="A497" t="s">
        <v>72</v>
      </c>
      <c r="B497" t="s">
        <v>9404</v>
      </c>
      <c r="C497" t="s">
        <v>74</v>
      </c>
      <c r="D497" t="s">
        <v>74</v>
      </c>
      <c r="E497" t="s">
        <v>74</v>
      </c>
      <c r="F497" t="s">
        <v>9405</v>
      </c>
      <c r="G497" t="s">
        <v>74</v>
      </c>
      <c r="H497" t="s">
        <v>74</v>
      </c>
      <c r="I497" t="s">
        <v>9406</v>
      </c>
      <c r="J497" t="s">
        <v>3089</v>
      </c>
      <c r="K497" t="s">
        <v>74</v>
      </c>
      <c r="L497" t="s">
        <v>74</v>
      </c>
      <c r="M497" t="s">
        <v>78</v>
      </c>
      <c r="N497" t="s">
        <v>79</v>
      </c>
      <c r="O497" t="s">
        <v>74</v>
      </c>
      <c r="P497" t="s">
        <v>74</v>
      </c>
      <c r="Q497" t="s">
        <v>74</v>
      </c>
      <c r="R497" t="s">
        <v>74</v>
      </c>
      <c r="S497" t="s">
        <v>74</v>
      </c>
      <c r="T497" t="s">
        <v>74</v>
      </c>
      <c r="U497" t="s">
        <v>9407</v>
      </c>
      <c r="V497" t="s">
        <v>9408</v>
      </c>
      <c r="W497" t="s">
        <v>9409</v>
      </c>
      <c r="X497" t="s">
        <v>360</v>
      </c>
      <c r="Y497" t="s">
        <v>9410</v>
      </c>
      <c r="Z497" t="s">
        <v>9411</v>
      </c>
      <c r="AA497" t="s">
        <v>9412</v>
      </c>
      <c r="AB497" t="s">
        <v>9413</v>
      </c>
      <c r="AC497" t="s">
        <v>9414</v>
      </c>
      <c r="AD497" t="s">
        <v>9415</v>
      </c>
      <c r="AE497" t="s">
        <v>9416</v>
      </c>
      <c r="AF497" t="s">
        <v>74</v>
      </c>
      <c r="AG497">
        <v>27</v>
      </c>
      <c r="AH497">
        <v>28</v>
      </c>
      <c r="AI497">
        <v>29</v>
      </c>
      <c r="AJ497">
        <v>1</v>
      </c>
      <c r="AK497">
        <v>7</v>
      </c>
      <c r="AL497" t="s">
        <v>9417</v>
      </c>
      <c r="AM497" t="s">
        <v>9418</v>
      </c>
      <c r="AN497" t="s">
        <v>9419</v>
      </c>
      <c r="AO497" t="s">
        <v>3102</v>
      </c>
      <c r="AP497" t="s">
        <v>74</v>
      </c>
      <c r="AQ497" t="s">
        <v>74</v>
      </c>
      <c r="AR497" t="s">
        <v>3104</v>
      </c>
      <c r="AS497" t="s">
        <v>3105</v>
      </c>
      <c r="AT497" t="s">
        <v>9169</v>
      </c>
      <c r="AU497">
        <v>2013</v>
      </c>
      <c r="AV497">
        <v>63</v>
      </c>
      <c r="AW497" t="s">
        <v>74</v>
      </c>
      <c r="AX497">
        <v>5</v>
      </c>
      <c r="AY497" t="s">
        <v>74</v>
      </c>
      <c r="AZ497" t="s">
        <v>74</v>
      </c>
      <c r="BA497" t="s">
        <v>74</v>
      </c>
      <c r="BB497">
        <v>1646</v>
      </c>
      <c r="BC497">
        <v>1652</v>
      </c>
      <c r="BD497" t="s">
        <v>74</v>
      </c>
      <c r="BE497" t="s">
        <v>9420</v>
      </c>
      <c r="BF497" t="str">
        <f>HYPERLINK("http://dx.doi.org/10.1099/ijs.0.044669-0","http://dx.doi.org/10.1099/ijs.0.044669-0")</f>
        <v>http://dx.doi.org/10.1099/ijs.0.044669-0</v>
      </c>
      <c r="BG497" t="s">
        <v>74</v>
      </c>
      <c r="BH497" t="s">
        <v>74</v>
      </c>
      <c r="BI497">
        <v>7</v>
      </c>
      <c r="BJ497" t="s">
        <v>3107</v>
      </c>
      <c r="BK497" t="s">
        <v>102</v>
      </c>
      <c r="BL497" t="s">
        <v>3107</v>
      </c>
      <c r="BM497" t="s">
        <v>9421</v>
      </c>
      <c r="BN497">
        <v>22904220</v>
      </c>
      <c r="BO497" t="s">
        <v>74</v>
      </c>
      <c r="BP497" t="s">
        <v>74</v>
      </c>
      <c r="BQ497" t="s">
        <v>74</v>
      </c>
      <c r="BR497" t="s">
        <v>105</v>
      </c>
      <c r="BS497" t="s">
        <v>9422</v>
      </c>
      <c r="BT497" t="str">
        <f>HYPERLINK("https%3A%2F%2Fwww.webofscience.com%2Fwos%2Fwoscc%2Ffull-record%2FWOS:000320741200011","View Full Record in Web of Science")</f>
        <v>View Full Record in Web of Science</v>
      </c>
    </row>
    <row r="498" spans="1:72" x14ac:dyDescent="0.15">
      <c r="A498" t="s">
        <v>72</v>
      </c>
      <c r="B498" t="s">
        <v>9423</v>
      </c>
      <c r="C498" t="s">
        <v>74</v>
      </c>
      <c r="D498" t="s">
        <v>74</v>
      </c>
      <c r="E498" t="s">
        <v>74</v>
      </c>
      <c r="F498" t="s">
        <v>9424</v>
      </c>
      <c r="G498" t="s">
        <v>74</v>
      </c>
      <c r="H498" t="s">
        <v>74</v>
      </c>
      <c r="I498" t="s">
        <v>9425</v>
      </c>
      <c r="J498" t="s">
        <v>9426</v>
      </c>
      <c r="K498" t="s">
        <v>74</v>
      </c>
      <c r="L498" t="s">
        <v>74</v>
      </c>
      <c r="M498" t="s">
        <v>78</v>
      </c>
      <c r="N498" t="s">
        <v>79</v>
      </c>
      <c r="O498" t="s">
        <v>74</v>
      </c>
      <c r="P498" t="s">
        <v>74</v>
      </c>
      <c r="Q498" t="s">
        <v>74</v>
      </c>
      <c r="R498" t="s">
        <v>74</v>
      </c>
      <c r="S498" t="s">
        <v>74</v>
      </c>
      <c r="T498" t="s">
        <v>9427</v>
      </c>
      <c r="U498" t="s">
        <v>9428</v>
      </c>
      <c r="V498" t="s">
        <v>9429</v>
      </c>
      <c r="W498" t="s">
        <v>9430</v>
      </c>
      <c r="X498" t="s">
        <v>9431</v>
      </c>
      <c r="Y498" t="s">
        <v>9432</v>
      </c>
      <c r="Z498" t="s">
        <v>9433</v>
      </c>
      <c r="AA498" t="s">
        <v>9434</v>
      </c>
      <c r="AB498" t="s">
        <v>9435</v>
      </c>
      <c r="AC498" t="s">
        <v>9436</v>
      </c>
      <c r="AD498" t="s">
        <v>9437</v>
      </c>
      <c r="AE498" t="s">
        <v>9438</v>
      </c>
      <c r="AF498" t="s">
        <v>74</v>
      </c>
      <c r="AG498">
        <v>114</v>
      </c>
      <c r="AH498">
        <v>38</v>
      </c>
      <c r="AI498">
        <v>41</v>
      </c>
      <c r="AJ498">
        <v>0</v>
      </c>
      <c r="AK498">
        <v>16</v>
      </c>
      <c r="AL498" t="s">
        <v>195</v>
      </c>
      <c r="AM498" t="s">
        <v>155</v>
      </c>
      <c r="AN498" t="s">
        <v>196</v>
      </c>
      <c r="AO498" t="s">
        <v>9439</v>
      </c>
      <c r="AP498" t="s">
        <v>9440</v>
      </c>
      <c r="AQ498" t="s">
        <v>74</v>
      </c>
      <c r="AR498" t="s">
        <v>9441</v>
      </c>
      <c r="AS498" t="s">
        <v>9442</v>
      </c>
      <c r="AT498" t="s">
        <v>9169</v>
      </c>
      <c r="AU498">
        <v>2013</v>
      </c>
      <c r="AV498">
        <v>101</v>
      </c>
      <c r="AW498" t="s">
        <v>74</v>
      </c>
      <c r="AX498" t="s">
        <v>74</v>
      </c>
      <c r="AY498" t="s">
        <v>74</v>
      </c>
      <c r="AZ498" t="s">
        <v>74</v>
      </c>
      <c r="BA498" t="s">
        <v>74</v>
      </c>
      <c r="BB498">
        <v>33</v>
      </c>
      <c r="BC498">
        <v>48</v>
      </c>
      <c r="BD498" t="s">
        <v>74</v>
      </c>
      <c r="BE498" t="s">
        <v>9443</v>
      </c>
      <c r="BF498" t="str">
        <f>HYPERLINK("http://dx.doi.org/10.1016/j.marmicro.2013.04.004","http://dx.doi.org/10.1016/j.marmicro.2013.04.004")</f>
        <v>http://dx.doi.org/10.1016/j.marmicro.2013.04.004</v>
      </c>
      <c r="BG498" t="s">
        <v>74</v>
      </c>
      <c r="BH498" t="s">
        <v>74</v>
      </c>
      <c r="BI498">
        <v>16</v>
      </c>
      <c r="BJ498" t="s">
        <v>3339</v>
      </c>
      <c r="BK498" t="s">
        <v>102</v>
      </c>
      <c r="BL498" t="s">
        <v>3339</v>
      </c>
      <c r="BM498" t="s">
        <v>9444</v>
      </c>
      <c r="BN498" t="s">
        <v>74</v>
      </c>
      <c r="BO498" t="s">
        <v>74</v>
      </c>
      <c r="BP498" t="s">
        <v>74</v>
      </c>
      <c r="BQ498" t="s">
        <v>74</v>
      </c>
      <c r="BR498" t="s">
        <v>105</v>
      </c>
      <c r="BS498" t="s">
        <v>9445</v>
      </c>
      <c r="BT498" t="str">
        <f>HYPERLINK("https%3A%2F%2Fwww.webofscience.com%2Fwos%2Fwoscc%2Ffull-record%2FWOS:000321536700004","View Full Record in Web of Science")</f>
        <v>View Full Record in Web of Science</v>
      </c>
    </row>
    <row r="499" spans="1:72" x14ac:dyDescent="0.15">
      <c r="A499" t="s">
        <v>72</v>
      </c>
      <c r="B499" t="s">
        <v>9446</v>
      </c>
      <c r="C499" t="s">
        <v>74</v>
      </c>
      <c r="D499" t="s">
        <v>74</v>
      </c>
      <c r="E499" t="s">
        <v>74</v>
      </c>
      <c r="F499" t="s">
        <v>9447</v>
      </c>
      <c r="G499" t="s">
        <v>74</v>
      </c>
      <c r="H499" t="s">
        <v>74</v>
      </c>
      <c r="I499" t="s">
        <v>9448</v>
      </c>
      <c r="J499" t="s">
        <v>3113</v>
      </c>
      <c r="K499" t="s">
        <v>74</v>
      </c>
      <c r="L499" t="s">
        <v>74</v>
      </c>
      <c r="M499" t="s">
        <v>78</v>
      </c>
      <c r="N499" t="s">
        <v>254</v>
      </c>
      <c r="O499" t="s">
        <v>74</v>
      </c>
      <c r="P499" t="s">
        <v>74</v>
      </c>
      <c r="Q499" t="s">
        <v>74</v>
      </c>
      <c r="R499" t="s">
        <v>74</v>
      </c>
      <c r="S499" t="s">
        <v>74</v>
      </c>
      <c r="T499" t="s">
        <v>74</v>
      </c>
      <c r="U499" t="s">
        <v>74</v>
      </c>
      <c r="V499" t="s">
        <v>74</v>
      </c>
      <c r="W499" t="s">
        <v>9449</v>
      </c>
      <c r="X499" t="s">
        <v>9450</v>
      </c>
      <c r="Y499" t="s">
        <v>9451</v>
      </c>
      <c r="Z499" t="s">
        <v>9452</v>
      </c>
      <c r="AA499" t="s">
        <v>9453</v>
      </c>
      <c r="AB499" t="s">
        <v>9454</v>
      </c>
      <c r="AC499" t="s">
        <v>74</v>
      </c>
      <c r="AD499" t="s">
        <v>74</v>
      </c>
      <c r="AE499" t="s">
        <v>74</v>
      </c>
      <c r="AF499" t="s">
        <v>74</v>
      </c>
      <c r="AG499">
        <v>0</v>
      </c>
      <c r="AH499">
        <v>1</v>
      </c>
      <c r="AI499">
        <v>1</v>
      </c>
      <c r="AJ499">
        <v>0</v>
      </c>
      <c r="AK499">
        <v>2</v>
      </c>
      <c r="AL499" t="s">
        <v>3125</v>
      </c>
      <c r="AM499" t="s">
        <v>391</v>
      </c>
      <c r="AN499" t="s">
        <v>3126</v>
      </c>
      <c r="AO499" t="s">
        <v>3127</v>
      </c>
      <c r="AP499" t="s">
        <v>74</v>
      </c>
      <c r="AQ499" t="s">
        <v>74</v>
      </c>
      <c r="AR499" t="s">
        <v>3129</v>
      </c>
      <c r="AS499" t="s">
        <v>3130</v>
      </c>
      <c r="AT499" t="s">
        <v>9169</v>
      </c>
      <c r="AU499">
        <v>2013</v>
      </c>
      <c r="AV499">
        <v>53</v>
      </c>
      <c r="AW499">
        <v>3</v>
      </c>
      <c r="AX499" t="s">
        <v>74</v>
      </c>
      <c r="AY499" t="s">
        <v>74</v>
      </c>
      <c r="AZ499" t="s">
        <v>74</v>
      </c>
      <c r="BA499" t="s">
        <v>74</v>
      </c>
      <c r="BB499">
        <v>377</v>
      </c>
      <c r="BC499">
        <v>380</v>
      </c>
      <c r="BD499" t="s">
        <v>74</v>
      </c>
      <c r="BE499" t="s">
        <v>9455</v>
      </c>
      <c r="BF499" t="str">
        <f>HYPERLINK("http://dx.doi.org/10.1134/S0001437013030016","http://dx.doi.org/10.1134/S0001437013030016")</f>
        <v>http://dx.doi.org/10.1134/S0001437013030016</v>
      </c>
      <c r="BG499" t="s">
        <v>74</v>
      </c>
      <c r="BH499" t="s">
        <v>74</v>
      </c>
      <c r="BI499">
        <v>4</v>
      </c>
      <c r="BJ499" t="s">
        <v>327</v>
      </c>
      <c r="BK499" t="s">
        <v>102</v>
      </c>
      <c r="BL499" t="s">
        <v>327</v>
      </c>
      <c r="BM499" t="s">
        <v>9456</v>
      </c>
      <c r="BN499" t="s">
        <v>74</v>
      </c>
      <c r="BO499" t="s">
        <v>74</v>
      </c>
      <c r="BP499" t="s">
        <v>74</v>
      </c>
      <c r="BQ499" t="s">
        <v>74</v>
      </c>
      <c r="BR499" t="s">
        <v>105</v>
      </c>
      <c r="BS499" t="s">
        <v>9457</v>
      </c>
      <c r="BT499" t="str">
        <f>HYPERLINK("https%3A%2F%2Fwww.webofscience.com%2Fwos%2Fwoscc%2Ffull-record%2FWOS:000321130000015","View Full Record in Web of Science")</f>
        <v>View Full Record in Web of Science</v>
      </c>
    </row>
    <row r="500" spans="1:72" x14ac:dyDescent="0.15">
      <c r="A500" t="s">
        <v>72</v>
      </c>
      <c r="B500" t="s">
        <v>9458</v>
      </c>
      <c r="C500" t="s">
        <v>74</v>
      </c>
      <c r="D500" t="s">
        <v>74</v>
      </c>
      <c r="E500" t="s">
        <v>74</v>
      </c>
      <c r="F500" t="s">
        <v>9459</v>
      </c>
      <c r="G500" t="s">
        <v>74</v>
      </c>
      <c r="H500" t="s">
        <v>74</v>
      </c>
      <c r="I500" t="s">
        <v>9460</v>
      </c>
      <c r="J500" t="s">
        <v>5800</v>
      </c>
      <c r="K500" t="s">
        <v>74</v>
      </c>
      <c r="L500" t="s">
        <v>74</v>
      </c>
      <c r="M500" t="s">
        <v>78</v>
      </c>
      <c r="N500" t="s">
        <v>79</v>
      </c>
      <c r="O500" t="s">
        <v>74</v>
      </c>
      <c r="P500" t="s">
        <v>74</v>
      </c>
      <c r="Q500" t="s">
        <v>74</v>
      </c>
      <c r="R500" t="s">
        <v>74</v>
      </c>
      <c r="S500" t="s">
        <v>74</v>
      </c>
      <c r="T500" t="s">
        <v>74</v>
      </c>
      <c r="U500" t="s">
        <v>74</v>
      </c>
      <c r="V500" t="s">
        <v>9461</v>
      </c>
      <c r="W500" t="s">
        <v>9462</v>
      </c>
      <c r="X500" t="s">
        <v>9463</v>
      </c>
      <c r="Y500" t="s">
        <v>9464</v>
      </c>
      <c r="Z500" t="s">
        <v>74</v>
      </c>
      <c r="AA500" t="s">
        <v>74</v>
      </c>
      <c r="AB500" t="s">
        <v>74</v>
      </c>
      <c r="AC500" t="s">
        <v>74</v>
      </c>
      <c r="AD500" t="s">
        <v>74</v>
      </c>
      <c r="AE500" t="s">
        <v>74</v>
      </c>
      <c r="AF500" t="s">
        <v>74</v>
      </c>
      <c r="AG500">
        <v>11</v>
      </c>
      <c r="AH500">
        <v>0</v>
      </c>
      <c r="AI500">
        <v>0</v>
      </c>
      <c r="AJ500">
        <v>0</v>
      </c>
      <c r="AK500">
        <v>3</v>
      </c>
      <c r="AL500" t="s">
        <v>9465</v>
      </c>
      <c r="AM500" t="s">
        <v>391</v>
      </c>
      <c r="AN500" t="s">
        <v>9466</v>
      </c>
      <c r="AO500" t="s">
        <v>5810</v>
      </c>
      <c r="AP500" t="s">
        <v>74</v>
      </c>
      <c r="AQ500" t="s">
        <v>74</v>
      </c>
      <c r="AR500" t="s">
        <v>5812</v>
      </c>
      <c r="AS500" t="s">
        <v>5813</v>
      </c>
      <c r="AT500" t="s">
        <v>9169</v>
      </c>
      <c r="AU500">
        <v>2013</v>
      </c>
      <c r="AV500">
        <v>38</v>
      </c>
      <c r="AW500">
        <v>5</v>
      </c>
      <c r="AX500" t="s">
        <v>74</v>
      </c>
      <c r="AY500" t="s">
        <v>74</v>
      </c>
      <c r="AZ500" t="s">
        <v>74</v>
      </c>
      <c r="BA500" t="s">
        <v>74</v>
      </c>
      <c r="BB500">
        <v>334</v>
      </c>
      <c r="BC500">
        <v>341</v>
      </c>
      <c r="BD500" t="s">
        <v>74</v>
      </c>
      <c r="BE500" t="s">
        <v>9467</v>
      </c>
      <c r="BF500" t="str">
        <f>HYPERLINK("http://dx.doi.org/10.3103/S1068373913050063","http://dx.doi.org/10.3103/S1068373913050063")</f>
        <v>http://dx.doi.org/10.3103/S1068373913050063</v>
      </c>
      <c r="BG500" t="s">
        <v>74</v>
      </c>
      <c r="BH500" t="s">
        <v>74</v>
      </c>
      <c r="BI500">
        <v>8</v>
      </c>
      <c r="BJ500" t="s">
        <v>305</v>
      </c>
      <c r="BK500" t="s">
        <v>102</v>
      </c>
      <c r="BL500" t="s">
        <v>305</v>
      </c>
      <c r="BM500" t="s">
        <v>9468</v>
      </c>
      <c r="BN500" t="s">
        <v>74</v>
      </c>
      <c r="BO500" t="s">
        <v>74</v>
      </c>
      <c r="BP500" t="s">
        <v>74</v>
      </c>
      <c r="BQ500" t="s">
        <v>74</v>
      </c>
      <c r="BR500" t="s">
        <v>105</v>
      </c>
      <c r="BS500" t="s">
        <v>9469</v>
      </c>
      <c r="BT500" t="str">
        <f>HYPERLINK("https%3A%2F%2Fwww.webofscience.com%2Fwos%2Fwoscc%2Ffull-record%2FWOS:000321116600006","View Full Record in Web of Science")</f>
        <v>View Full Record in Web of Science</v>
      </c>
    </row>
    <row r="501" spans="1:72" x14ac:dyDescent="0.15">
      <c r="A501" t="s">
        <v>72</v>
      </c>
      <c r="B501" t="s">
        <v>9470</v>
      </c>
      <c r="C501" t="s">
        <v>74</v>
      </c>
      <c r="D501" t="s">
        <v>74</v>
      </c>
      <c r="E501" t="s">
        <v>74</v>
      </c>
      <c r="F501" t="s">
        <v>9471</v>
      </c>
      <c r="G501" t="s">
        <v>74</v>
      </c>
      <c r="H501" t="s">
        <v>74</v>
      </c>
      <c r="I501" t="s">
        <v>9472</v>
      </c>
      <c r="J501" t="s">
        <v>9473</v>
      </c>
      <c r="K501" t="s">
        <v>74</v>
      </c>
      <c r="L501" t="s">
        <v>74</v>
      </c>
      <c r="M501" t="s">
        <v>78</v>
      </c>
      <c r="N501" t="s">
        <v>79</v>
      </c>
      <c r="O501" t="s">
        <v>74</v>
      </c>
      <c r="P501" t="s">
        <v>74</v>
      </c>
      <c r="Q501" t="s">
        <v>74</v>
      </c>
      <c r="R501" t="s">
        <v>74</v>
      </c>
      <c r="S501" t="s">
        <v>74</v>
      </c>
      <c r="T501" t="s">
        <v>9474</v>
      </c>
      <c r="U501" t="s">
        <v>9475</v>
      </c>
      <c r="V501" t="s">
        <v>9476</v>
      </c>
      <c r="W501" t="s">
        <v>9477</v>
      </c>
      <c r="X501" t="s">
        <v>9478</v>
      </c>
      <c r="Y501" t="s">
        <v>9479</v>
      </c>
      <c r="Z501" t="s">
        <v>9480</v>
      </c>
      <c r="AA501" t="s">
        <v>9481</v>
      </c>
      <c r="AB501" t="s">
        <v>9482</v>
      </c>
      <c r="AC501" t="s">
        <v>9483</v>
      </c>
      <c r="AD501" t="s">
        <v>9483</v>
      </c>
      <c r="AE501" t="s">
        <v>9484</v>
      </c>
      <c r="AF501" t="s">
        <v>74</v>
      </c>
      <c r="AG501">
        <v>33</v>
      </c>
      <c r="AH501">
        <v>5</v>
      </c>
      <c r="AI501">
        <v>5</v>
      </c>
      <c r="AJ501">
        <v>0</v>
      </c>
      <c r="AK501">
        <v>3</v>
      </c>
      <c r="AL501" t="s">
        <v>1515</v>
      </c>
      <c r="AM501" t="s">
        <v>442</v>
      </c>
      <c r="AN501" t="s">
        <v>1516</v>
      </c>
      <c r="AO501" t="s">
        <v>9485</v>
      </c>
      <c r="AP501" t="s">
        <v>74</v>
      </c>
      <c r="AQ501" t="s">
        <v>74</v>
      </c>
      <c r="AR501" t="s">
        <v>9486</v>
      </c>
      <c r="AS501" t="s">
        <v>9487</v>
      </c>
      <c r="AT501" t="s">
        <v>9399</v>
      </c>
      <c r="AU501">
        <v>2013</v>
      </c>
      <c r="AV501">
        <v>11</v>
      </c>
      <c r="AW501">
        <v>3</v>
      </c>
      <c r="AX501" t="s">
        <v>74</v>
      </c>
      <c r="AY501" t="s">
        <v>74</v>
      </c>
      <c r="AZ501" t="s">
        <v>74</v>
      </c>
      <c r="BA501" t="s">
        <v>74</v>
      </c>
      <c r="BB501">
        <v>170</v>
      </c>
      <c r="BC501">
        <v>177</v>
      </c>
      <c r="BD501" t="s">
        <v>74</v>
      </c>
      <c r="BE501" t="s">
        <v>9488</v>
      </c>
      <c r="BF501" t="str">
        <f>HYPERLINK("http://dx.doi.org/10.1016/j.tmaid.2013.02.005","http://dx.doi.org/10.1016/j.tmaid.2013.02.005")</f>
        <v>http://dx.doi.org/10.1016/j.tmaid.2013.02.005</v>
      </c>
      <c r="BG501" t="s">
        <v>74</v>
      </c>
      <c r="BH501" t="s">
        <v>74</v>
      </c>
      <c r="BI501">
        <v>8</v>
      </c>
      <c r="BJ501" t="s">
        <v>9489</v>
      </c>
      <c r="BK501" t="s">
        <v>102</v>
      </c>
      <c r="BL501" t="s">
        <v>9489</v>
      </c>
      <c r="BM501" t="s">
        <v>9490</v>
      </c>
      <c r="BN501">
        <v>23523509</v>
      </c>
      <c r="BO501" t="s">
        <v>74</v>
      </c>
      <c r="BP501" t="s">
        <v>74</v>
      </c>
      <c r="BQ501" t="s">
        <v>74</v>
      </c>
      <c r="BR501" t="s">
        <v>105</v>
      </c>
      <c r="BS501" t="s">
        <v>9491</v>
      </c>
      <c r="BT501" t="str">
        <f>HYPERLINK("https%3A%2F%2Fwww.webofscience.com%2Fwos%2Fwoscc%2Ffull-record%2FWOS:000320976900006","View Full Record in Web of Science")</f>
        <v>View Full Record in Web of Science</v>
      </c>
    </row>
    <row r="502" spans="1:72" x14ac:dyDescent="0.15">
      <c r="A502" t="s">
        <v>72</v>
      </c>
      <c r="B502" t="s">
        <v>9492</v>
      </c>
      <c r="C502" t="s">
        <v>74</v>
      </c>
      <c r="D502" t="s">
        <v>74</v>
      </c>
      <c r="E502" t="s">
        <v>74</v>
      </c>
      <c r="F502" t="s">
        <v>9493</v>
      </c>
      <c r="G502" t="s">
        <v>74</v>
      </c>
      <c r="H502" t="s">
        <v>74</v>
      </c>
      <c r="I502" t="s">
        <v>9494</v>
      </c>
      <c r="J502" t="s">
        <v>9495</v>
      </c>
      <c r="K502" t="s">
        <v>74</v>
      </c>
      <c r="L502" t="s">
        <v>74</v>
      </c>
      <c r="M502" t="s">
        <v>78</v>
      </c>
      <c r="N502" t="s">
        <v>79</v>
      </c>
      <c r="O502" t="s">
        <v>74</v>
      </c>
      <c r="P502" t="s">
        <v>74</v>
      </c>
      <c r="Q502" t="s">
        <v>74</v>
      </c>
      <c r="R502" t="s">
        <v>74</v>
      </c>
      <c r="S502" t="s">
        <v>74</v>
      </c>
      <c r="T502" t="s">
        <v>9496</v>
      </c>
      <c r="U502" t="s">
        <v>9497</v>
      </c>
      <c r="V502" t="s">
        <v>9498</v>
      </c>
      <c r="W502" t="s">
        <v>9499</v>
      </c>
      <c r="X502" t="s">
        <v>9500</v>
      </c>
      <c r="Y502" t="s">
        <v>9501</v>
      </c>
      <c r="Z502" t="s">
        <v>9502</v>
      </c>
      <c r="AA502" t="s">
        <v>9503</v>
      </c>
      <c r="AB502" t="s">
        <v>9504</v>
      </c>
      <c r="AC502" t="s">
        <v>9505</v>
      </c>
      <c r="AD502" t="s">
        <v>9506</v>
      </c>
      <c r="AE502" t="s">
        <v>9507</v>
      </c>
      <c r="AF502" t="s">
        <v>74</v>
      </c>
      <c r="AG502">
        <v>30</v>
      </c>
      <c r="AH502">
        <v>8</v>
      </c>
      <c r="AI502">
        <v>10</v>
      </c>
      <c r="AJ502">
        <v>1</v>
      </c>
      <c r="AK502">
        <v>16</v>
      </c>
      <c r="AL502" t="s">
        <v>3686</v>
      </c>
      <c r="AM502" t="s">
        <v>3687</v>
      </c>
      <c r="AN502" t="s">
        <v>3688</v>
      </c>
      <c r="AO502" t="s">
        <v>9508</v>
      </c>
      <c r="AP502" t="s">
        <v>9509</v>
      </c>
      <c r="AQ502" t="s">
        <v>74</v>
      </c>
      <c r="AR502" t="s">
        <v>9510</v>
      </c>
      <c r="AS502" t="s">
        <v>9511</v>
      </c>
      <c r="AT502" t="s">
        <v>9169</v>
      </c>
      <c r="AU502">
        <v>2013</v>
      </c>
      <c r="AV502">
        <v>61</v>
      </c>
      <c r="AW502">
        <v>5</v>
      </c>
      <c r="AX502" t="s">
        <v>74</v>
      </c>
      <c r="AY502" t="s">
        <v>74</v>
      </c>
      <c r="AZ502" t="s">
        <v>74</v>
      </c>
      <c r="BA502" t="s">
        <v>74</v>
      </c>
      <c r="BB502">
        <v>2664</v>
      </c>
      <c r="BC502">
        <v>2675</v>
      </c>
      <c r="BD502" t="s">
        <v>74</v>
      </c>
      <c r="BE502" t="s">
        <v>9512</v>
      </c>
      <c r="BF502" t="str">
        <f>HYPERLINK("http://dx.doi.org/10.1109/TAP.2013.2240647","http://dx.doi.org/10.1109/TAP.2013.2240647")</f>
        <v>http://dx.doi.org/10.1109/TAP.2013.2240647</v>
      </c>
      <c r="BG502" t="s">
        <v>74</v>
      </c>
      <c r="BH502" t="s">
        <v>74</v>
      </c>
      <c r="BI502">
        <v>12</v>
      </c>
      <c r="BJ502" t="s">
        <v>9513</v>
      </c>
      <c r="BK502" t="s">
        <v>102</v>
      </c>
      <c r="BL502" t="s">
        <v>9514</v>
      </c>
      <c r="BM502" t="s">
        <v>9515</v>
      </c>
      <c r="BN502" t="s">
        <v>74</v>
      </c>
      <c r="BO502" t="s">
        <v>248</v>
      </c>
      <c r="BP502" t="s">
        <v>74</v>
      </c>
      <c r="BQ502" t="s">
        <v>74</v>
      </c>
      <c r="BR502" t="s">
        <v>105</v>
      </c>
      <c r="BS502" t="s">
        <v>9516</v>
      </c>
      <c r="BT502" t="str">
        <f>HYPERLINK("https%3A%2F%2Fwww.webofscience.com%2Fwos%2Fwoscc%2Ffull-record%2FWOS:000319870700035","View Full Record in Web of Science")</f>
        <v>View Full Record in Web of Science</v>
      </c>
    </row>
    <row r="503" spans="1:72" x14ac:dyDescent="0.15">
      <c r="A503" t="s">
        <v>72</v>
      </c>
      <c r="B503" t="s">
        <v>9517</v>
      </c>
      <c r="C503" t="s">
        <v>74</v>
      </c>
      <c r="D503" t="s">
        <v>74</v>
      </c>
      <c r="E503" t="s">
        <v>74</v>
      </c>
      <c r="F503" t="s">
        <v>9518</v>
      </c>
      <c r="G503" t="s">
        <v>74</v>
      </c>
      <c r="H503" t="s">
        <v>74</v>
      </c>
      <c r="I503" t="s">
        <v>9519</v>
      </c>
      <c r="J503" t="s">
        <v>9520</v>
      </c>
      <c r="K503" t="s">
        <v>74</v>
      </c>
      <c r="L503" t="s">
        <v>74</v>
      </c>
      <c r="M503" t="s">
        <v>78</v>
      </c>
      <c r="N503" t="s">
        <v>79</v>
      </c>
      <c r="O503" t="s">
        <v>74</v>
      </c>
      <c r="P503" t="s">
        <v>74</v>
      </c>
      <c r="Q503" t="s">
        <v>74</v>
      </c>
      <c r="R503" t="s">
        <v>74</v>
      </c>
      <c r="S503" t="s">
        <v>74</v>
      </c>
      <c r="T503" t="s">
        <v>9521</v>
      </c>
      <c r="U503" t="s">
        <v>9522</v>
      </c>
      <c r="V503" t="s">
        <v>9523</v>
      </c>
      <c r="W503" t="s">
        <v>9524</v>
      </c>
      <c r="X503" t="s">
        <v>9525</v>
      </c>
      <c r="Y503" t="s">
        <v>9526</v>
      </c>
      <c r="Z503" t="s">
        <v>9527</v>
      </c>
      <c r="AA503" t="s">
        <v>9528</v>
      </c>
      <c r="AB503" t="s">
        <v>9529</v>
      </c>
      <c r="AC503" t="s">
        <v>9530</v>
      </c>
      <c r="AD503" t="s">
        <v>9531</v>
      </c>
      <c r="AE503" t="s">
        <v>9532</v>
      </c>
      <c r="AF503" t="s">
        <v>74</v>
      </c>
      <c r="AG503">
        <v>26</v>
      </c>
      <c r="AH503">
        <v>1</v>
      </c>
      <c r="AI503">
        <v>2</v>
      </c>
      <c r="AJ503">
        <v>0</v>
      </c>
      <c r="AK503">
        <v>11</v>
      </c>
      <c r="AL503" t="s">
        <v>9520</v>
      </c>
      <c r="AM503" t="s">
        <v>9533</v>
      </c>
      <c r="AN503" t="s">
        <v>9534</v>
      </c>
      <c r="AO503" t="s">
        <v>9535</v>
      </c>
      <c r="AP503" t="s">
        <v>74</v>
      </c>
      <c r="AQ503" t="s">
        <v>74</v>
      </c>
      <c r="AR503" t="s">
        <v>9536</v>
      </c>
      <c r="AS503" t="s">
        <v>9537</v>
      </c>
      <c r="AT503" t="s">
        <v>9169</v>
      </c>
      <c r="AU503">
        <v>2013</v>
      </c>
      <c r="AV503">
        <v>60</v>
      </c>
      <c r="AW503">
        <v>2</v>
      </c>
      <c r="AX503" t="s">
        <v>74</v>
      </c>
      <c r="AY503" t="s">
        <v>74</v>
      </c>
      <c r="AZ503" t="s">
        <v>74</v>
      </c>
      <c r="BA503" t="s">
        <v>74</v>
      </c>
      <c r="BB503">
        <v>169</v>
      </c>
      <c r="BC503">
        <v>176</v>
      </c>
      <c r="BD503" t="s">
        <v>74</v>
      </c>
      <c r="BE503" t="s">
        <v>9538</v>
      </c>
      <c r="BF503" t="str">
        <f>HYPERLINK("http://dx.doi.org/10.14411/fp.2013.019","http://dx.doi.org/10.14411/fp.2013.019")</f>
        <v>http://dx.doi.org/10.14411/fp.2013.019</v>
      </c>
      <c r="BG503" t="s">
        <v>74</v>
      </c>
      <c r="BH503" t="s">
        <v>74</v>
      </c>
      <c r="BI503">
        <v>8</v>
      </c>
      <c r="BJ503" t="s">
        <v>5794</v>
      </c>
      <c r="BK503" t="s">
        <v>102</v>
      </c>
      <c r="BL503" t="s">
        <v>5794</v>
      </c>
      <c r="BM503" t="s">
        <v>9539</v>
      </c>
      <c r="BN503">
        <v>23724737</v>
      </c>
      <c r="BO503" t="s">
        <v>104</v>
      </c>
      <c r="BP503" t="s">
        <v>74</v>
      </c>
      <c r="BQ503" t="s">
        <v>74</v>
      </c>
      <c r="BR503" t="s">
        <v>105</v>
      </c>
      <c r="BS503" t="s">
        <v>9540</v>
      </c>
      <c r="BT503" t="str">
        <f>HYPERLINK("https%3A%2F%2Fwww.webofscience.com%2Fwos%2Fwoscc%2Ffull-record%2FWOS:000319720200010","View Full Record in Web of Science")</f>
        <v>View Full Record in Web of Science</v>
      </c>
    </row>
    <row r="504" spans="1:72" x14ac:dyDescent="0.15">
      <c r="A504" t="s">
        <v>72</v>
      </c>
      <c r="B504" t="s">
        <v>9541</v>
      </c>
      <c r="C504" t="s">
        <v>74</v>
      </c>
      <c r="D504" t="s">
        <v>74</v>
      </c>
      <c r="E504" t="s">
        <v>74</v>
      </c>
      <c r="F504" t="s">
        <v>9542</v>
      </c>
      <c r="G504" t="s">
        <v>74</v>
      </c>
      <c r="H504" t="s">
        <v>74</v>
      </c>
      <c r="I504" t="s">
        <v>9543</v>
      </c>
      <c r="J504" t="s">
        <v>9544</v>
      </c>
      <c r="K504" t="s">
        <v>74</v>
      </c>
      <c r="L504" t="s">
        <v>74</v>
      </c>
      <c r="M504" t="s">
        <v>78</v>
      </c>
      <c r="N504" t="s">
        <v>79</v>
      </c>
      <c r="O504" t="s">
        <v>74</v>
      </c>
      <c r="P504" t="s">
        <v>74</v>
      </c>
      <c r="Q504" t="s">
        <v>74</v>
      </c>
      <c r="R504" t="s">
        <v>74</v>
      </c>
      <c r="S504" t="s">
        <v>74</v>
      </c>
      <c r="T504" t="s">
        <v>9545</v>
      </c>
      <c r="U504" t="s">
        <v>9546</v>
      </c>
      <c r="V504" t="s">
        <v>9547</v>
      </c>
      <c r="W504" t="s">
        <v>9548</v>
      </c>
      <c r="X504" t="s">
        <v>9549</v>
      </c>
      <c r="Y504" t="s">
        <v>9550</v>
      </c>
      <c r="Z504" t="s">
        <v>9551</v>
      </c>
      <c r="AA504" t="s">
        <v>9552</v>
      </c>
      <c r="AB504" t="s">
        <v>9553</v>
      </c>
      <c r="AC504" t="s">
        <v>9554</v>
      </c>
      <c r="AD504" t="s">
        <v>9554</v>
      </c>
      <c r="AE504" t="s">
        <v>9555</v>
      </c>
      <c r="AF504" t="s">
        <v>74</v>
      </c>
      <c r="AG504">
        <v>25</v>
      </c>
      <c r="AH504">
        <v>12</v>
      </c>
      <c r="AI504">
        <v>14</v>
      </c>
      <c r="AJ504">
        <v>0</v>
      </c>
      <c r="AK504">
        <v>34</v>
      </c>
      <c r="AL504" t="s">
        <v>9556</v>
      </c>
      <c r="AM504" t="s">
        <v>1826</v>
      </c>
      <c r="AN504" t="s">
        <v>9557</v>
      </c>
      <c r="AO504" t="s">
        <v>9558</v>
      </c>
      <c r="AP504" t="s">
        <v>9559</v>
      </c>
      <c r="AQ504" t="s">
        <v>74</v>
      </c>
      <c r="AR504" t="s">
        <v>9560</v>
      </c>
      <c r="AS504" t="s">
        <v>9561</v>
      </c>
      <c r="AT504" t="s">
        <v>9169</v>
      </c>
      <c r="AU504">
        <v>2013</v>
      </c>
      <c r="AV504">
        <v>23</v>
      </c>
      <c r="AW504">
        <v>5</v>
      </c>
      <c r="AX504" t="s">
        <v>74</v>
      </c>
      <c r="AY504" t="s">
        <v>74</v>
      </c>
      <c r="AZ504" t="s">
        <v>74</v>
      </c>
      <c r="BA504" t="s">
        <v>74</v>
      </c>
      <c r="BB504">
        <v>661</v>
      </c>
      <c r="BC504">
        <v>667</v>
      </c>
      <c r="BD504" t="s">
        <v>74</v>
      </c>
      <c r="BE504" t="s">
        <v>9562</v>
      </c>
      <c r="BF504" t="str">
        <f>HYPERLINK("http://dx.doi.org/10.4014/jmb.1212.12040","http://dx.doi.org/10.4014/jmb.1212.12040")</f>
        <v>http://dx.doi.org/10.4014/jmb.1212.12040</v>
      </c>
      <c r="BG504" t="s">
        <v>74</v>
      </c>
      <c r="BH504" t="s">
        <v>74</v>
      </c>
      <c r="BI504">
        <v>7</v>
      </c>
      <c r="BJ504" t="s">
        <v>6856</v>
      </c>
      <c r="BK504" t="s">
        <v>102</v>
      </c>
      <c r="BL504" t="s">
        <v>6856</v>
      </c>
      <c r="BM504" t="s">
        <v>9563</v>
      </c>
      <c r="BN504">
        <v>23648856</v>
      </c>
      <c r="BO504" t="s">
        <v>74</v>
      </c>
      <c r="BP504" t="s">
        <v>74</v>
      </c>
      <c r="BQ504" t="s">
        <v>74</v>
      </c>
      <c r="BR504" t="s">
        <v>105</v>
      </c>
      <c r="BS504" t="s">
        <v>9564</v>
      </c>
      <c r="BT504" t="str">
        <f>HYPERLINK("https%3A%2F%2Fwww.webofscience.com%2Fwos%2Fwoscc%2Ffull-record%2FWOS:000319712400010","View Full Record in Web of Science")</f>
        <v>View Full Record in Web of Science</v>
      </c>
    </row>
    <row r="505" spans="1:72" x14ac:dyDescent="0.15">
      <c r="A505" t="s">
        <v>72</v>
      </c>
      <c r="B505" t="s">
        <v>9565</v>
      </c>
      <c r="C505" t="s">
        <v>74</v>
      </c>
      <c r="D505" t="s">
        <v>74</v>
      </c>
      <c r="E505" t="s">
        <v>74</v>
      </c>
      <c r="F505" t="s">
        <v>9566</v>
      </c>
      <c r="G505" t="s">
        <v>74</v>
      </c>
      <c r="H505" t="s">
        <v>74</v>
      </c>
      <c r="I505" t="s">
        <v>9567</v>
      </c>
      <c r="J505" t="s">
        <v>9568</v>
      </c>
      <c r="K505" t="s">
        <v>74</v>
      </c>
      <c r="L505" t="s">
        <v>74</v>
      </c>
      <c r="M505" t="s">
        <v>78</v>
      </c>
      <c r="N505" t="s">
        <v>79</v>
      </c>
      <c r="O505" t="s">
        <v>74</v>
      </c>
      <c r="P505" t="s">
        <v>74</v>
      </c>
      <c r="Q505" t="s">
        <v>74</v>
      </c>
      <c r="R505" t="s">
        <v>74</v>
      </c>
      <c r="S505" t="s">
        <v>74</v>
      </c>
      <c r="T505" t="s">
        <v>9569</v>
      </c>
      <c r="U505" t="s">
        <v>9570</v>
      </c>
      <c r="V505" t="s">
        <v>9571</v>
      </c>
      <c r="W505" t="s">
        <v>9572</v>
      </c>
      <c r="X505" t="s">
        <v>9573</v>
      </c>
      <c r="Y505" t="s">
        <v>9574</v>
      </c>
      <c r="Z505" t="s">
        <v>9575</v>
      </c>
      <c r="AA505" t="s">
        <v>9576</v>
      </c>
      <c r="AB505" t="s">
        <v>9577</v>
      </c>
      <c r="AC505" t="s">
        <v>9578</v>
      </c>
      <c r="AD505" t="s">
        <v>9579</v>
      </c>
      <c r="AE505" t="s">
        <v>9580</v>
      </c>
      <c r="AF505" t="s">
        <v>74</v>
      </c>
      <c r="AG505">
        <v>47</v>
      </c>
      <c r="AH505">
        <v>11</v>
      </c>
      <c r="AI505">
        <v>14</v>
      </c>
      <c r="AJ505">
        <v>1</v>
      </c>
      <c r="AK505">
        <v>35</v>
      </c>
      <c r="AL505" t="s">
        <v>9581</v>
      </c>
      <c r="AM505" t="s">
        <v>9582</v>
      </c>
      <c r="AN505" t="s">
        <v>9583</v>
      </c>
      <c r="AO505" t="s">
        <v>9584</v>
      </c>
      <c r="AP505" t="s">
        <v>9585</v>
      </c>
      <c r="AQ505" t="s">
        <v>74</v>
      </c>
      <c r="AR505" t="s">
        <v>9586</v>
      </c>
      <c r="AS505" t="s">
        <v>9587</v>
      </c>
      <c r="AT505" t="s">
        <v>9169</v>
      </c>
      <c r="AU505">
        <v>2013</v>
      </c>
      <c r="AV505">
        <v>224</v>
      </c>
      <c r="AW505">
        <v>5</v>
      </c>
      <c r="AX505" t="s">
        <v>74</v>
      </c>
      <c r="AY505" t="s">
        <v>74</v>
      </c>
      <c r="AZ505" t="s">
        <v>74</v>
      </c>
      <c r="BA505" t="s">
        <v>74</v>
      </c>
      <c r="BB505" t="s">
        <v>74</v>
      </c>
      <c r="BC505" t="s">
        <v>74</v>
      </c>
      <c r="BD505">
        <v>1563</v>
      </c>
      <c r="BE505" t="s">
        <v>9588</v>
      </c>
      <c r="BF505" t="str">
        <f>HYPERLINK("http://dx.doi.org/10.1007/s11270-013-1563-8","http://dx.doi.org/10.1007/s11270-013-1563-8")</f>
        <v>http://dx.doi.org/10.1007/s11270-013-1563-8</v>
      </c>
      <c r="BG505" t="s">
        <v>74</v>
      </c>
      <c r="BH505" t="s">
        <v>74</v>
      </c>
      <c r="BI505">
        <v>12</v>
      </c>
      <c r="BJ505" t="s">
        <v>9589</v>
      </c>
      <c r="BK505" t="s">
        <v>102</v>
      </c>
      <c r="BL505" t="s">
        <v>9590</v>
      </c>
      <c r="BM505" t="s">
        <v>9591</v>
      </c>
      <c r="BN505" t="s">
        <v>74</v>
      </c>
      <c r="BO505" t="s">
        <v>74</v>
      </c>
      <c r="BP505" t="s">
        <v>74</v>
      </c>
      <c r="BQ505" t="s">
        <v>74</v>
      </c>
      <c r="BR505" t="s">
        <v>105</v>
      </c>
      <c r="BS505" t="s">
        <v>9592</v>
      </c>
      <c r="BT505" t="str">
        <f>HYPERLINK("https%3A%2F%2Fwww.webofscience.com%2Fwos%2Fwoscc%2Ffull-record%2FWOS:000319161400035","View Full Record in Web of Science")</f>
        <v>View Full Record in Web of Science</v>
      </c>
    </row>
    <row r="506" spans="1:72" x14ac:dyDescent="0.15">
      <c r="A506" t="s">
        <v>72</v>
      </c>
      <c r="B506" t="s">
        <v>9593</v>
      </c>
      <c r="C506" t="s">
        <v>74</v>
      </c>
      <c r="D506" t="s">
        <v>74</v>
      </c>
      <c r="E506" t="s">
        <v>74</v>
      </c>
      <c r="F506" t="s">
        <v>9594</v>
      </c>
      <c r="G506" t="s">
        <v>74</v>
      </c>
      <c r="H506" t="s">
        <v>74</v>
      </c>
      <c r="I506" t="s">
        <v>9595</v>
      </c>
      <c r="J506" t="s">
        <v>3275</v>
      </c>
      <c r="K506" t="s">
        <v>74</v>
      </c>
      <c r="L506" t="s">
        <v>74</v>
      </c>
      <c r="M506" t="s">
        <v>78</v>
      </c>
      <c r="N506" t="s">
        <v>79</v>
      </c>
      <c r="O506" t="s">
        <v>74</v>
      </c>
      <c r="P506" t="s">
        <v>74</v>
      </c>
      <c r="Q506" t="s">
        <v>74</v>
      </c>
      <c r="R506" t="s">
        <v>74</v>
      </c>
      <c r="S506" t="s">
        <v>74</v>
      </c>
      <c r="T506" t="s">
        <v>9596</v>
      </c>
      <c r="U506" t="s">
        <v>9597</v>
      </c>
      <c r="V506" t="s">
        <v>9598</v>
      </c>
      <c r="W506" t="s">
        <v>9599</v>
      </c>
      <c r="X506" t="s">
        <v>9600</v>
      </c>
      <c r="Y506" t="s">
        <v>9601</v>
      </c>
      <c r="Z506" t="s">
        <v>9602</v>
      </c>
      <c r="AA506" t="s">
        <v>9603</v>
      </c>
      <c r="AB506" t="s">
        <v>74</v>
      </c>
      <c r="AC506" t="s">
        <v>74</v>
      </c>
      <c r="AD506" t="s">
        <v>74</v>
      </c>
      <c r="AE506" t="s">
        <v>74</v>
      </c>
      <c r="AF506" t="s">
        <v>74</v>
      </c>
      <c r="AG506">
        <v>35</v>
      </c>
      <c r="AH506">
        <v>16</v>
      </c>
      <c r="AI506">
        <v>21</v>
      </c>
      <c r="AJ506">
        <v>2</v>
      </c>
      <c r="AK506">
        <v>33</v>
      </c>
      <c r="AL506" t="s">
        <v>3288</v>
      </c>
      <c r="AM506" t="s">
        <v>3076</v>
      </c>
      <c r="AN506" t="s">
        <v>9604</v>
      </c>
      <c r="AO506" t="s">
        <v>3290</v>
      </c>
      <c r="AP506" t="s">
        <v>3291</v>
      </c>
      <c r="AQ506" t="s">
        <v>74</v>
      </c>
      <c r="AR506" t="s">
        <v>3292</v>
      </c>
      <c r="AS506" t="s">
        <v>3293</v>
      </c>
      <c r="AT506" t="s">
        <v>9169</v>
      </c>
      <c r="AU506">
        <v>2013</v>
      </c>
      <c r="AV506">
        <v>79</v>
      </c>
      <c r="AW506">
        <v>3</v>
      </c>
      <c r="AX506" t="s">
        <v>74</v>
      </c>
      <c r="AY506" t="s">
        <v>74</v>
      </c>
      <c r="AZ506" t="s">
        <v>74</v>
      </c>
      <c r="BA506" t="s">
        <v>74</v>
      </c>
      <c r="BB506">
        <v>537</v>
      </c>
      <c r="BC506">
        <v>546</v>
      </c>
      <c r="BD506" t="s">
        <v>74</v>
      </c>
      <c r="BE506" t="s">
        <v>9605</v>
      </c>
      <c r="BF506" t="str">
        <f>HYPERLINK("http://dx.doi.org/10.1007/s12562-013-0625-6","http://dx.doi.org/10.1007/s12562-013-0625-6")</f>
        <v>http://dx.doi.org/10.1007/s12562-013-0625-6</v>
      </c>
      <c r="BG506" t="s">
        <v>74</v>
      </c>
      <c r="BH506" t="s">
        <v>74</v>
      </c>
      <c r="BI506">
        <v>10</v>
      </c>
      <c r="BJ506" t="s">
        <v>3083</v>
      </c>
      <c r="BK506" t="s">
        <v>102</v>
      </c>
      <c r="BL506" t="s">
        <v>3083</v>
      </c>
      <c r="BM506" t="s">
        <v>9606</v>
      </c>
      <c r="BN506" t="s">
        <v>74</v>
      </c>
      <c r="BO506" t="s">
        <v>74</v>
      </c>
      <c r="BP506" t="s">
        <v>74</v>
      </c>
      <c r="BQ506" t="s">
        <v>74</v>
      </c>
      <c r="BR506" t="s">
        <v>105</v>
      </c>
      <c r="BS506" t="s">
        <v>9607</v>
      </c>
      <c r="BT506" t="str">
        <f>HYPERLINK("https%3A%2F%2Fwww.webofscience.com%2Fwos%2Fwoscc%2Ffull-record%2FWOS:000318840400020","View Full Record in Web of Science")</f>
        <v>View Full Record in Web of Science</v>
      </c>
    </row>
    <row r="507" spans="1:72" x14ac:dyDescent="0.15">
      <c r="A507" t="s">
        <v>72</v>
      </c>
      <c r="B507" t="s">
        <v>9608</v>
      </c>
      <c r="C507" t="s">
        <v>74</v>
      </c>
      <c r="D507" t="s">
        <v>74</v>
      </c>
      <c r="E507" t="s">
        <v>74</v>
      </c>
      <c r="F507" t="s">
        <v>9609</v>
      </c>
      <c r="G507" t="s">
        <v>74</v>
      </c>
      <c r="H507" t="s">
        <v>74</v>
      </c>
      <c r="I507" t="s">
        <v>9610</v>
      </c>
      <c r="J507" t="s">
        <v>9611</v>
      </c>
      <c r="K507" t="s">
        <v>74</v>
      </c>
      <c r="L507" t="s">
        <v>74</v>
      </c>
      <c r="M507" t="s">
        <v>78</v>
      </c>
      <c r="N507" t="s">
        <v>79</v>
      </c>
      <c r="O507" t="s">
        <v>74</v>
      </c>
      <c r="P507" t="s">
        <v>74</v>
      </c>
      <c r="Q507" t="s">
        <v>74</v>
      </c>
      <c r="R507" t="s">
        <v>74</v>
      </c>
      <c r="S507" t="s">
        <v>74</v>
      </c>
      <c r="T507" t="s">
        <v>74</v>
      </c>
      <c r="U507" t="s">
        <v>9612</v>
      </c>
      <c r="V507" t="s">
        <v>9613</v>
      </c>
      <c r="W507" t="s">
        <v>9614</v>
      </c>
      <c r="X507" t="s">
        <v>9615</v>
      </c>
      <c r="Y507" t="s">
        <v>9616</v>
      </c>
      <c r="Z507" t="s">
        <v>9617</v>
      </c>
      <c r="AA507" t="s">
        <v>74</v>
      </c>
      <c r="AB507" t="s">
        <v>74</v>
      </c>
      <c r="AC507" t="s">
        <v>9618</v>
      </c>
      <c r="AD507" t="s">
        <v>9619</v>
      </c>
      <c r="AE507" t="s">
        <v>9620</v>
      </c>
      <c r="AF507" t="s">
        <v>74</v>
      </c>
      <c r="AG507">
        <v>31</v>
      </c>
      <c r="AH507">
        <v>13</v>
      </c>
      <c r="AI507">
        <v>13</v>
      </c>
      <c r="AJ507">
        <v>0</v>
      </c>
      <c r="AK507">
        <v>7</v>
      </c>
      <c r="AL507" t="s">
        <v>9621</v>
      </c>
      <c r="AM507" t="s">
        <v>3003</v>
      </c>
      <c r="AN507" t="s">
        <v>9622</v>
      </c>
      <c r="AO507" t="s">
        <v>9623</v>
      </c>
      <c r="AP507" t="s">
        <v>74</v>
      </c>
      <c r="AQ507" t="s">
        <v>74</v>
      </c>
      <c r="AR507" t="s">
        <v>9624</v>
      </c>
      <c r="AS507" t="s">
        <v>9625</v>
      </c>
      <c r="AT507" t="s">
        <v>9169</v>
      </c>
      <c r="AU507">
        <v>2013</v>
      </c>
      <c r="AV507">
        <v>87</v>
      </c>
      <c r="AW507">
        <v>3</v>
      </c>
      <c r="AX507" t="s">
        <v>74</v>
      </c>
      <c r="AY507" t="s">
        <v>74</v>
      </c>
      <c r="AZ507" t="s">
        <v>74</v>
      </c>
      <c r="BA507" t="s">
        <v>74</v>
      </c>
      <c r="BB507">
        <v>413</v>
      </c>
      <c r="BC507">
        <v>426</v>
      </c>
      <c r="BD507" t="s">
        <v>74</v>
      </c>
      <c r="BE507" t="s">
        <v>9626</v>
      </c>
      <c r="BF507" t="str">
        <f>HYPERLINK("http://dx.doi.org/10.1666/12-088.1","http://dx.doi.org/10.1666/12-088.1")</f>
        <v>http://dx.doi.org/10.1666/12-088.1</v>
      </c>
      <c r="BG507" t="s">
        <v>74</v>
      </c>
      <c r="BH507" t="s">
        <v>74</v>
      </c>
      <c r="BI507">
        <v>14</v>
      </c>
      <c r="BJ507" t="s">
        <v>3339</v>
      </c>
      <c r="BK507" t="s">
        <v>102</v>
      </c>
      <c r="BL507" t="s">
        <v>3339</v>
      </c>
      <c r="BM507" t="s">
        <v>9627</v>
      </c>
      <c r="BN507" t="s">
        <v>74</v>
      </c>
      <c r="BO507" t="s">
        <v>74</v>
      </c>
      <c r="BP507" t="s">
        <v>74</v>
      </c>
      <c r="BQ507" t="s">
        <v>74</v>
      </c>
      <c r="BR507" t="s">
        <v>105</v>
      </c>
      <c r="BS507" t="s">
        <v>9628</v>
      </c>
      <c r="BT507" t="str">
        <f>HYPERLINK("https%3A%2F%2Fwww.webofscience.com%2Fwos%2Fwoscc%2Ffull-record%2FWOS:000318960600007","View Full Record in Web of Science")</f>
        <v>View Full Record in Web of Science</v>
      </c>
    </row>
    <row r="508" spans="1:72" x14ac:dyDescent="0.15">
      <c r="A508" t="s">
        <v>72</v>
      </c>
      <c r="B508" t="s">
        <v>9629</v>
      </c>
      <c r="C508" t="s">
        <v>74</v>
      </c>
      <c r="D508" t="s">
        <v>74</v>
      </c>
      <c r="E508" t="s">
        <v>74</v>
      </c>
      <c r="F508" t="s">
        <v>9630</v>
      </c>
      <c r="G508" t="s">
        <v>74</v>
      </c>
      <c r="H508" t="s">
        <v>74</v>
      </c>
      <c r="I508" t="s">
        <v>9631</v>
      </c>
      <c r="J508" t="s">
        <v>9632</v>
      </c>
      <c r="K508" t="s">
        <v>74</v>
      </c>
      <c r="L508" t="s">
        <v>74</v>
      </c>
      <c r="M508" t="s">
        <v>78</v>
      </c>
      <c r="N508" t="s">
        <v>79</v>
      </c>
      <c r="O508" t="s">
        <v>74</v>
      </c>
      <c r="P508" t="s">
        <v>74</v>
      </c>
      <c r="Q508" t="s">
        <v>74</v>
      </c>
      <c r="R508" t="s">
        <v>74</v>
      </c>
      <c r="S508" t="s">
        <v>74</v>
      </c>
      <c r="T508" t="s">
        <v>74</v>
      </c>
      <c r="U508" t="s">
        <v>9633</v>
      </c>
      <c r="V508" t="s">
        <v>9634</v>
      </c>
      <c r="W508" t="s">
        <v>9635</v>
      </c>
      <c r="X508" t="s">
        <v>9636</v>
      </c>
      <c r="Y508" t="s">
        <v>9637</v>
      </c>
      <c r="Z508" t="s">
        <v>9638</v>
      </c>
      <c r="AA508" t="s">
        <v>74</v>
      </c>
      <c r="AB508" t="s">
        <v>74</v>
      </c>
      <c r="AC508" t="s">
        <v>74</v>
      </c>
      <c r="AD508" t="s">
        <v>74</v>
      </c>
      <c r="AE508" t="s">
        <v>74</v>
      </c>
      <c r="AF508" t="s">
        <v>74</v>
      </c>
      <c r="AG508">
        <v>327</v>
      </c>
      <c r="AH508">
        <v>69</v>
      </c>
      <c r="AI508">
        <v>80</v>
      </c>
      <c r="AJ508">
        <v>3</v>
      </c>
      <c r="AK508">
        <v>74</v>
      </c>
      <c r="AL508" t="s">
        <v>9639</v>
      </c>
      <c r="AM508" t="s">
        <v>9394</v>
      </c>
      <c r="AN508" t="s">
        <v>9640</v>
      </c>
      <c r="AO508" t="s">
        <v>9641</v>
      </c>
      <c r="AP508" t="s">
        <v>9642</v>
      </c>
      <c r="AQ508" t="s">
        <v>74</v>
      </c>
      <c r="AR508" t="s">
        <v>9643</v>
      </c>
      <c r="AS508" t="s">
        <v>9644</v>
      </c>
      <c r="AT508" t="s">
        <v>9169</v>
      </c>
      <c r="AU508">
        <v>2013</v>
      </c>
      <c r="AV508">
        <v>97</v>
      </c>
      <c r="AW508">
        <v>5</v>
      </c>
      <c r="AX508" t="s">
        <v>74</v>
      </c>
      <c r="AY508" t="s">
        <v>74</v>
      </c>
      <c r="AZ508" t="s">
        <v>74</v>
      </c>
      <c r="BA508" t="s">
        <v>74</v>
      </c>
      <c r="BB508">
        <v>799</v>
      </c>
      <c r="BC508">
        <v>843</v>
      </c>
      <c r="BD508" t="s">
        <v>74</v>
      </c>
      <c r="BE508" t="s">
        <v>9645</v>
      </c>
      <c r="BF508" t="str">
        <f>HYPERLINK("http://dx.doi.org/10.1306/10171212101","http://dx.doi.org/10.1306/10171212101")</f>
        <v>http://dx.doi.org/10.1306/10171212101</v>
      </c>
      <c r="BG508" t="s">
        <v>74</v>
      </c>
      <c r="BH508" t="s">
        <v>74</v>
      </c>
      <c r="BI508">
        <v>45</v>
      </c>
      <c r="BJ508" t="s">
        <v>1426</v>
      </c>
      <c r="BK508" t="s">
        <v>102</v>
      </c>
      <c r="BL508" t="s">
        <v>219</v>
      </c>
      <c r="BM508" t="s">
        <v>9646</v>
      </c>
      <c r="BN508" t="s">
        <v>74</v>
      </c>
      <c r="BO508" t="s">
        <v>74</v>
      </c>
      <c r="BP508" t="s">
        <v>74</v>
      </c>
      <c r="BQ508" t="s">
        <v>74</v>
      </c>
      <c r="BR508" t="s">
        <v>105</v>
      </c>
      <c r="BS508" t="s">
        <v>9647</v>
      </c>
      <c r="BT508" t="str">
        <f>HYPERLINK("https%3A%2F%2Fwww.webofscience.com%2Fwos%2Fwoscc%2Ffull-record%2FWOS:000318825000005","View Full Record in Web of Science")</f>
        <v>View Full Record in Web of Science</v>
      </c>
    </row>
    <row r="509" spans="1:72" x14ac:dyDescent="0.15">
      <c r="A509" t="s">
        <v>72</v>
      </c>
      <c r="B509" t="s">
        <v>9648</v>
      </c>
      <c r="C509" t="s">
        <v>74</v>
      </c>
      <c r="D509" t="s">
        <v>74</v>
      </c>
      <c r="E509" t="s">
        <v>74</v>
      </c>
      <c r="F509" t="s">
        <v>9649</v>
      </c>
      <c r="G509" t="s">
        <v>74</v>
      </c>
      <c r="H509" t="s">
        <v>74</v>
      </c>
      <c r="I509" t="s">
        <v>9650</v>
      </c>
      <c r="J509" t="s">
        <v>3385</v>
      </c>
      <c r="K509" t="s">
        <v>74</v>
      </c>
      <c r="L509" t="s">
        <v>74</v>
      </c>
      <c r="M509" t="s">
        <v>78</v>
      </c>
      <c r="N509" t="s">
        <v>79</v>
      </c>
      <c r="O509" t="s">
        <v>74</v>
      </c>
      <c r="P509" t="s">
        <v>74</v>
      </c>
      <c r="Q509" t="s">
        <v>74</v>
      </c>
      <c r="R509" t="s">
        <v>74</v>
      </c>
      <c r="S509" t="s">
        <v>74</v>
      </c>
      <c r="T509" t="s">
        <v>9651</v>
      </c>
      <c r="U509" t="s">
        <v>9652</v>
      </c>
      <c r="V509" t="s">
        <v>9653</v>
      </c>
      <c r="W509" t="s">
        <v>9654</v>
      </c>
      <c r="X509" t="s">
        <v>9655</v>
      </c>
      <c r="Y509" t="s">
        <v>9656</v>
      </c>
      <c r="Z509" t="s">
        <v>9657</v>
      </c>
      <c r="AA509" t="s">
        <v>74</v>
      </c>
      <c r="AB509" t="s">
        <v>74</v>
      </c>
      <c r="AC509" t="s">
        <v>9658</v>
      </c>
      <c r="AD509" t="s">
        <v>9659</v>
      </c>
      <c r="AE509" t="s">
        <v>9660</v>
      </c>
      <c r="AF509" t="s">
        <v>74</v>
      </c>
      <c r="AG509">
        <v>27</v>
      </c>
      <c r="AH509">
        <v>0</v>
      </c>
      <c r="AI509">
        <v>3</v>
      </c>
      <c r="AJ509">
        <v>0</v>
      </c>
      <c r="AK509">
        <v>14</v>
      </c>
      <c r="AL509" t="s">
        <v>529</v>
      </c>
      <c r="AM509" t="s">
        <v>391</v>
      </c>
      <c r="AN509" t="s">
        <v>530</v>
      </c>
      <c r="AO509" t="s">
        <v>3396</v>
      </c>
      <c r="AP509" t="s">
        <v>74</v>
      </c>
      <c r="AQ509" t="s">
        <v>74</v>
      </c>
      <c r="AR509" t="s">
        <v>3398</v>
      </c>
      <c r="AS509" t="s">
        <v>3399</v>
      </c>
      <c r="AT509" t="s">
        <v>9169</v>
      </c>
      <c r="AU509">
        <v>2013</v>
      </c>
      <c r="AV509">
        <v>32</v>
      </c>
      <c r="AW509">
        <v>5</v>
      </c>
      <c r="AX509" t="s">
        <v>74</v>
      </c>
      <c r="AY509" t="s">
        <v>74</v>
      </c>
      <c r="AZ509" t="s">
        <v>74</v>
      </c>
      <c r="BA509" t="s">
        <v>74</v>
      </c>
      <c r="BB509">
        <v>15</v>
      </c>
      <c r="BC509">
        <v>21</v>
      </c>
      <c r="BD509" t="s">
        <v>74</v>
      </c>
      <c r="BE509" t="s">
        <v>9661</v>
      </c>
      <c r="BF509" t="str">
        <f>HYPERLINK("http://dx.doi.org/10.1007/s13131-013-0309-1","http://dx.doi.org/10.1007/s13131-013-0309-1")</f>
        <v>http://dx.doi.org/10.1007/s13131-013-0309-1</v>
      </c>
      <c r="BG509" t="s">
        <v>74</v>
      </c>
      <c r="BH509" t="s">
        <v>74</v>
      </c>
      <c r="BI509">
        <v>7</v>
      </c>
      <c r="BJ509" t="s">
        <v>327</v>
      </c>
      <c r="BK509" t="s">
        <v>102</v>
      </c>
      <c r="BL509" t="s">
        <v>327</v>
      </c>
      <c r="BM509" t="s">
        <v>9662</v>
      </c>
      <c r="BN509" t="s">
        <v>74</v>
      </c>
      <c r="BO509" t="s">
        <v>74</v>
      </c>
      <c r="BP509" t="s">
        <v>74</v>
      </c>
      <c r="BQ509" t="s">
        <v>74</v>
      </c>
      <c r="BR509" t="s">
        <v>105</v>
      </c>
      <c r="BS509" t="s">
        <v>9663</v>
      </c>
      <c r="BT509" t="str">
        <f>HYPERLINK("https%3A%2F%2Fwww.webofscience.com%2Fwos%2Fwoscc%2Ffull-record%2FWOS:000318750700003","View Full Record in Web of Science")</f>
        <v>View Full Record in Web of Science</v>
      </c>
    </row>
    <row r="510" spans="1:72" x14ac:dyDescent="0.15">
      <c r="A510" t="s">
        <v>72</v>
      </c>
      <c r="B510" t="s">
        <v>9664</v>
      </c>
      <c r="C510" t="s">
        <v>74</v>
      </c>
      <c r="D510" t="s">
        <v>74</v>
      </c>
      <c r="E510" t="s">
        <v>74</v>
      </c>
      <c r="F510" t="s">
        <v>9665</v>
      </c>
      <c r="G510" t="s">
        <v>74</v>
      </c>
      <c r="H510" t="s">
        <v>74</v>
      </c>
      <c r="I510" t="s">
        <v>9666</v>
      </c>
      <c r="J510" t="s">
        <v>9667</v>
      </c>
      <c r="K510" t="s">
        <v>74</v>
      </c>
      <c r="L510" t="s">
        <v>74</v>
      </c>
      <c r="M510" t="s">
        <v>78</v>
      </c>
      <c r="N510" t="s">
        <v>79</v>
      </c>
      <c r="O510" t="s">
        <v>74</v>
      </c>
      <c r="P510" t="s">
        <v>74</v>
      </c>
      <c r="Q510" t="s">
        <v>74</v>
      </c>
      <c r="R510" t="s">
        <v>74</v>
      </c>
      <c r="S510" t="s">
        <v>74</v>
      </c>
      <c r="T510" t="s">
        <v>9668</v>
      </c>
      <c r="U510" t="s">
        <v>9669</v>
      </c>
      <c r="V510" t="s">
        <v>9670</v>
      </c>
      <c r="W510" t="s">
        <v>9671</v>
      </c>
      <c r="X510" t="s">
        <v>9672</v>
      </c>
      <c r="Y510" t="s">
        <v>9673</v>
      </c>
      <c r="Z510" t="s">
        <v>9674</v>
      </c>
      <c r="AA510" t="s">
        <v>9675</v>
      </c>
      <c r="AB510" t="s">
        <v>9676</v>
      </c>
      <c r="AC510" t="s">
        <v>9677</v>
      </c>
      <c r="AD510" t="s">
        <v>9678</v>
      </c>
      <c r="AE510" t="s">
        <v>9679</v>
      </c>
      <c r="AF510" t="s">
        <v>74</v>
      </c>
      <c r="AG510">
        <v>34</v>
      </c>
      <c r="AH510">
        <v>22</v>
      </c>
      <c r="AI510">
        <v>27</v>
      </c>
      <c r="AJ510">
        <v>1</v>
      </c>
      <c r="AK510">
        <v>44</v>
      </c>
      <c r="AL510" t="s">
        <v>1515</v>
      </c>
      <c r="AM510" t="s">
        <v>442</v>
      </c>
      <c r="AN510" t="s">
        <v>1516</v>
      </c>
      <c r="AO510" t="s">
        <v>9680</v>
      </c>
      <c r="AP510" t="s">
        <v>9681</v>
      </c>
      <c r="AQ510" t="s">
        <v>74</v>
      </c>
      <c r="AR510" t="s">
        <v>9682</v>
      </c>
      <c r="AS510" t="s">
        <v>9683</v>
      </c>
      <c r="AT510" t="s">
        <v>9169</v>
      </c>
      <c r="AU510">
        <v>2013</v>
      </c>
      <c r="AV510">
        <v>55</v>
      </c>
      <c r="AW510" t="s">
        <v>74</v>
      </c>
      <c r="AX510" t="s">
        <v>74</v>
      </c>
      <c r="AY510" t="s">
        <v>74</v>
      </c>
      <c r="AZ510" t="s">
        <v>74</v>
      </c>
      <c r="BA510" t="s">
        <v>74</v>
      </c>
      <c r="BB510">
        <v>121</v>
      </c>
      <c r="BC510">
        <v>130</v>
      </c>
      <c r="BD510" t="s">
        <v>74</v>
      </c>
      <c r="BE510" t="s">
        <v>9684</v>
      </c>
      <c r="BF510" t="str">
        <f>HYPERLINK("http://dx.doi.org/10.1016/j.advwatres.2012.06.011","http://dx.doi.org/10.1016/j.advwatres.2012.06.011")</f>
        <v>http://dx.doi.org/10.1016/j.advwatres.2012.06.011</v>
      </c>
      <c r="BG510" t="s">
        <v>74</v>
      </c>
      <c r="BH510" t="s">
        <v>74</v>
      </c>
      <c r="BI510">
        <v>10</v>
      </c>
      <c r="BJ510" t="s">
        <v>9685</v>
      </c>
      <c r="BK510" t="s">
        <v>102</v>
      </c>
      <c r="BL510" t="s">
        <v>9685</v>
      </c>
      <c r="BM510" t="s">
        <v>9686</v>
      </c>
      <c r="BN510" t="s">
        <v>74</v>
      </c>
      <c r="BO510" t="s">
        <v>426</v>
      </c>
      <c r="BP510" t="s">
        <v>74</v>
      </c>
      <c r="BQ510" t="s">
        <v>74</v>
      </c>
      <c r="BR510" t="s">
        <v>105</v>
      </c>
      <c r="BS510" t="s">
        <v>9687</v>
      </c>
      <c r="BT510" t="str">
        <f>HYPERLINK("https%3A%2F%2Fwww.webofscience.com%2Fwos%2Fwoscc%2Ffull-record%2FWOS:000318605000012","View Full Record in Web of Science")</f>
        <v>View Full Record in Web of Science</v>
      </c>
    </row>
    <row r="511" spans="1:72" x14ac:dyDescent="0.15">
      <c r="A511" t="s">
        <v>72</v>
      </c>
      <c r="B511" t="s">
        <v>9688</v>
      </c>
      <c r="C511" t="s">
        <v>74</v>
      </c>
      <c r="D511" t="s">
        <v>74</v>
      </c>
      <c r="E511" t="s">
        <v>74</v>
      </c>
      <c r="F511" t="s">
        <v>9689</v>
      </c>
      <c r="G511" t="s">
        <v>74</v>
      </c>
      <c r="H511" t="s">
        <v>74</v>
      </c>
      <c r="I511" t="s">
        <v>9690</v>
      </c>
      <c r="J511" t="s">
        <v>3673</v>
      </c>
      <c r="K511" t="s">
        <v>74</v>
      </c>
      <c r="L511" t="s">
        <v>74</v>
      </c>
      <c r="M511" t="s">
        <v>78</v>
      </c>
      <c r="N511" t="s">
        <v>79</v>
      </c>
      <c r="O511" t="s">
        <v>74</v>
      </c>
      <c r="P511" t="s">
        <v>74</v>
      </c>
      <c r="Q511" t="s">
        <v>74</v>
      </c>
      <c r="R511" t="s">
        <v>74</v>
      </c>
      <c r="S511" t="s">
        <v>74</v>
      </c>
      <c r="T511" t="s">
        <v>9691</v>
      </c>
      <c r="U511" t="s">
        <v>9692</v>
      </c>
      <c r="V511" t="s">
        <v>9693</v>
      </c>
      <c r="W511" t="s">
        <v>9694</v>
      </c>
      <c r="X511" t="s">
        <v>9695</v>
      </c>
      <c r="Y511" t="s">
        <v>9696</v>
      </c>
      <c r="Z511" t="s">
        <v>9697</v>
      </c>
      <c r="AA511" t="s">
        <v>9698</v>
      </c>
      <c r="AB511" t="s">
        <v>9699</v>
      </c>
      <c r="AC511" t="s">
        <v>9700</v>
      </c>
      <c r="AD511" t="s">
        <v>9701</v>
      </c>
      <c r="AE511" t="s">
        <v>9702</v>
      </c>
      <c r="AF511" t="s">
        <v>74</v>
      </c>
      <c r="AG511">
        <v>45</v>
      </c>
      <c r="AH511">
        <v>121</v>
      </c>
      <c r="AI511">
        <v>133</v>
      </c>
      <c r="AJ511">
        <v>0</v>
      </c>
      <c r="AK511">
        <v>48</v>
      </c>
      <c r="AL511" t="s">
        <v>3686</v>
      </c>
      <c r="AM511" t="s">
        <v>3687</v>
      </c>
      <c r="AN511" t="s">
        <v>3688</v>
      </c>
      <c r="AO511" t="s">
        <v>3689</v>
      </c>
      <c r="AP511" t="s">
        <v>3690</v>
      </c>
      <c r="AQ511" t="s">
        <v>74</v>
      </c>
      <c r="AR511" t="s">
        <v>3691</v>
      </c>
      <c r="AS511" t="s">
        <v>3692</v>
      </c>
      <c r="AT511" t="s">
        <v>9169</v>
      </c>
      <c r="AU511">
        <v>2013</v>
      </c>
      <c r="AV511">
        <v>51</v>
      </c>
      <c r="AW511">
        <v>5</v>
      </c>
      <c r="AX511">
        <v>1</v>
      </c>
      <c r="AY511" t="s">
        <v>74</v>
      </c>
      <c r="AZ511" t="s">
        <v>74</v>
      </c>
      <c r="BA511" t="s">
        <v>74</v>
      </c>
      <c r="BB511">
        <v>2587</v>
      </c>
      <c r="BC511">
        <v>2600</v>
      </c>
      <c r="BD511" t="s">
        <v>74</v>
      </c>
      <c r="BE511" t="s">
        <v>9703</v>
      </c>
      <c r="BF511" t="str">
        <f>HYPERLINK("http://dx.doi.org/10.1109/TGRS.2012.2212445","http://dx.doi.org/10.1109/TGRS.2012.2212445")</f>
        <v>http://dx.doi.org/10.1109/TGRS.2012.2212445</v>
      </c>
      <c r="BG511" t="s">
        <v>74</v>
      </c>
      <c r="BH511" t="s">
        <v>74</v>
      </c>
      <c r="BI511">
        <v>14</v>
      </c>
      <c r="BJ511" t="s">
        <v>3694</v>
      </c>
      <c r="BK511" t="s">
        <v>102</v>
      </c>
      <c r="BL511" t="s">
        <v>3695</v>
      </c>
      <c r="BM511" t="s">
        <v>9704</v>
      </c>
      <c r="BN511" t="s">
        <v>74</v>
      </c>
      <c r="BO511" t="s">
        <v>74</v>
      </c>
      <c r="BP511" t="s">
        <v>74</v>
      </c>
      <c r="BQ511" t="s">
        <v>74</v>
      </c>
      <c r="BR511" t="s">
        <v>105</v>
      </c>
      <c r="BS511" t="s">
        <v>9705</v>
      </c>
      <c r="BT511" t="str">
        <f>HYPERLINK("https%3A%2F%2Fwww.webofscience.com%2Fwos%2Fwoscc%2Ffull-record%2FWOS:000318428700009","View Full Record in Web of Science")</f>
        <v>View Full Record in Web of Science</v>
      </c>
    </row>
    <row r="512" spans="1:72" x14ac:dyDescent="0.15">
      <c r="A512" t="s">
        <v>72</v>
      </c>
      <c r="B512" t="s">
        <v>9706</v>
      </c>
      <c r="C512" t="s">
        <v>74</v>
      </c>
      <c r="D512" t="s">
        <v>74</v>
      </c>
      <c r="E512" t="s">
        <v>74</v>
      </c>
      <c r="F512" t="s">
        <v>9707</v>
      </c>
      <c r="G512" t="s">
        <v>74</v>
      </c>
      <c r="H512" t="s">
        <v>74</v>
      </c>
      <c r="I512" t="s">
        <v>9708</v>
      </c>
      <c r="J512" t="s">
        <v>9709</v>
      </c>
      <c r="K512" t="s">
        <v>74</v>
      </c>
      <c r="L512" t="s">
        <v>74</v>
      </c>
      <c r="M512" t="s">
        <v>78</v>
      </c>
      <c r="N512" t="s">
        <v>79</v>
      </c>
      <c r="O512" t="s">
        <v>74</v>
      </c>
      <c r="P512" t="s">
        <v>74</v>
      </c>
      <c r="Q512" t="s">
        <v>74</v>
      </c>
      <c r="R512" t="s">
        <v>74</v>
      </c>
      <c r="S512" t="s">
        <v>74</v>
      </c>
      <c r="T512" t="s">
        <v>9710</v>
      </c>
      <c r="U512" t="s">
        <v>9711</v>
      </c>
      <c r="V512" t="s">
        <v>9712</v>
      </c>
      <c r="W512" t="s">
        <v>9713</v>
      </c>
      <c r="X512" t="s">
        <v>9714</v>
      </c>
      <c r="Y512" t="s">
        <v>9715</v>
      </c>
      <c r="Z512" t="s">
        <v>9716</v>
      </c>
      <c r="AA512" t="s">
        <v>9717</v>
      </c>
      <c r="AB512" t="s">
        <v>9718</v>
      </c>
      <c r="AC512" t="s">
        <v>9719</v>
      </c>
      <c r="AD512" t="s">
        <v>9720</v>
      </c>
      <c r="AE512" t="s">
        <v>9721</v>
      </c>
      <c r="AF512" t="s">
        <v>74</v>
      </c>
      <c r="AG512">
        <v>64</v>
      </c>
      <c r="AH512">
        <v>18</v>
      </c>
      <c r="AI512">
        <v>19</v>
      </c>
      <c r="AJ512">
        <v>0</v>
      </c>
      <c r="AK512">
        <v>43</v>
      </c>
      <c r="AL512" t="s">
        <v>529</v>
      </c>
      <c r="AM512" t="s">
        <v>1151</v>
      </c>
      <c r="AN512" t="s">
        <v>1152</v>
      </c>
      <c r="AO512" t="s">
        <v>9722</v>
      </c>
      <c r="AP512" t="s">
        <v>9723</v>
      </c>
      <c r="AQ512" t="s">
        <v>74</v>
      </c>
      <c r="AR512" t="s">
        <v>9724</v>
      </c>
      <c r="AS512" t="s">
        <v>9725</v>
      </c>
      <c r="AT512" t="s">
        <v>9169</v>
      </c>
      <c r="AU512">
        <v>2013</v>
      </c>
      <c r="AV512">
        <v>39</v>
      </c>
      <c r="AW512">
        <v>5</v>
      </c>
      <c r="AX512" t="s">
        <v>74</v>
      </c>
      <c r="AY512" t="s">
        <v>74</v>
      </c>
      <c r="AZ512" t="s">
        <v>74</v>
      </c>
      <c r="BA512" t="s">
        <v>74</v>
      </c>
      <c r="BB512">
        <v>675</v>
      </c>
      <c r="BC512">
        <v>685</v>
      </c>
      <c r="BD512" t="s">
        <v>74</v>
      </c>
      <c r="BE512" t="s">
        <v>9726</v>
      </c>
      <c r="BF512" t="str">
        <f>HYPERLINK("http://dx.doi.org/10.1007/s10886-013-0276-1","http://dx.doi.org/10.1007/s10886-013-0276-1")</f>
        <v>http://dx.doi.org/10.1007/s10886-013-0276-1</v>
      </c>
      <c r="BG512" t="s">
        <v>74</v>
      </c>
      <c r="BH512" t="s">
        <v>74</v>
      </c>
      <c r="BI512">
        <v>11</v>
      </c>
      <c r="BJ512" t="s">
        <v>9727</v>
      </c>
      <c r="BK512" t="s">
        <v>102</v>
      </c>
      <c r="BL512" t="s">
        <v>9728</v>
      </c>
      <c r="BM512" t="s">
        <v>9729</v>
      </c>
      <c r="BN512">
        <v>23536231</v>
      </c>
      <c r="BO512" t="s">
        <v>74</v>
      </c>
      <c r="BP512" t="s">
        <v>74</v>
      </c>
      <c r="BQ512" t="s">
        <v>74</v>
      </c>
      <c r="BR512" t="s">
        <v>105</v>
      </c>
      <c r="BS512" t="s">
        <v>9730</v>
      </c>
      <c r="BT512" t="str">
        <f>HYPERLINK("https%3A%2F%2Fwww.webofscience.com%2Fwos%2Fwoscc%2Ffull-record%2FWOS:000318657700011","View Full Record in Web of Science")</f>
        <v>View Full Record in Web of Science</v>
      </c>
    </row>
    <row r="513" spans="1:72" x14ac:dyDescent="0.15">
      <c r="A513" t="s">
        <v>72</v>
      </c>
      <c r="B513" t="s">
        <v>9731</v>
      </c>
      <c r="C513" t="s">
        <v>74</v>
      </c>
      <c r="D513" t="s">
        <v>74</v>
      </c>
      <c r="E513" t="s">
        <v>74</v>
      </c>
      <c r="F513" t="s">
        <v>9732</v>
      </c>
      <c r="G513" t="s">
        <v>74</v>
      </c>
      <c r="H513" t="s">
        <v>74</v>
      </c>
      <c r="I513" t="s">
        <v>9733</v>
      </c>
      <c r="J513" t="s">
        <v>542</v>
      </c>
      <c r="K513" t="s">
        <v>74</v>
      </c>
      <c r="L513" t="s">
        <v>74</v>
      </c>
      <c r="M513" t="s">
        <v>78</v>
      </c>
      <c r="N513" t="s">
        <v>79</v>
      </c>
      <c r="O513" t="s">
        <v>74</v>
      </c>
      <c r="P513" t="s">
        <v>74</v>
      </c>
      <c r="Q513" t="s">
        <v>74</v>
      </c>
      <c r="R513" t="s">
        <v>74</v>
      </c>
      <c r="S513" t="s">
        <v>74</v>
      </c>
      <c r="T513" t="s">
        <v>74</v>
      </c>
      <c r="U513" t="s">
        <v>9734</v>
      </c>
      <c r="V513" t="s">
        <v>9735</v>
      </c>
      <c r="W513" t="s">
        <v>9736</v>
      </c>
      <c r="X513" t="s">
        <v>9737</v>
      </c>
      <c r="Y513" t="s">
        <v>9738</v>
      </c>
      <c r="Z513" t="s">
        <v>9739</v>
      </c>
      <c r="AA513" t="s">
        <v>9740</v>
      </c>
      <c r="AB513" t="s">
        <v>9741</v>
      </c>
      <c r="AC513" t="s">
        <v>9742</v>
      </c>
      <c r="AD513" t="s">
        <v>9743</v>
      </c>
      <c r="AE513" t="s">
        <v>9744</v>
      </c>
      <c r="AF513" t="s">
        <v>74</v>
      </c>
      <c r="AG513">
        <v>89</v>
      </c>
      <c r="AH513">
        <v>21</v>
      </c>
      <c r="AI513">
        <v>28</v>
      </c>
      <c r="AJ513">
        <v>1</v>
      </c>
      <c r="AK513">
        <v>126</v>
      </c>
      <c r="AL513" t="s">
        <v>237</v>
      </c>
      <c r="AM513" t="s">
        <v>238</v>
      </c>
      <c r="AN513" t="s">
        <v>1197</v>
      </c>
      <c r="AO513" t="s">
        <v>555</v>
      </c>
      <c r="AP513" t="s">
        <v>575</v>
      </c>
      <c r="AQ513" t="s">
        <v>74</v>
      </c>
      <c r="AR513" t="s">
        <v>556</v>
      </c>
      <c r="AS513" t="s">
        <v>557</v>
      </c>
      <c r="AT513" t="s">
        <v>9169</v>
      </c>
      <c r="AU513">
        <v>2013</v>
      </c>
      <c r="AV513">
        <v>26</v>
      </c>
      <c r="AW513">
        <v>10</v>
      </c>
      <c r="AX513" t="s">
        <v>74</v>
      </c>
      <c r="AY513" t="s">
        <v>74</v>
      </c>
      <c r="AZ513" t="s">
        <v>74</v>
      </c>
      <c r="BA513" t="s">
        <v>74</v>
      </c>
      <c r="BB513">
        <v>3087</v>
      </c>
      <c r="BC513">
        <v>3111</v>
      </c>
      <c r="BD513" t="s">
        <v>74</v>
      </c>
      <c r="BE513" t="s">
        <v>9745</v>
      </c>
      <c r="BF513" t="str">
        <f>HYPERLINK("http://dx.doi.org/10.1175/JCLI-D-12-00102.1","http://dx.doi.org/10.1175/JCLI-D-12-00102.1")</f>
        <v>http://dx.doi.org/10.1175/JCLI-D-12-00102.1</v>
      </c>
      <c r="BG513" t="s">
        <v>74</v>
      </c>
      <c r="BH513" t="s">
        <v>74</v>
      </c>
      <c r="BI513">
        <v>25</v>
      </c>
      <c r="BJ513" t="s">
        <v>305</v>
      </c>
      <c r="BK513" t="s">
        <v>102</v>
      </c>
      <c r="BL513" t="s">
        <v>305</v>
      </c>
      <c r="BM513" t="s">
        <v>9746</v>
      </c>
      <c r="BN513" t="s">
        <v>74</v>
      </c>
      <c r="BO513" t="s">
        <v>248</v>
      </c>
      <c r="BP513" t="s">
        <v>74</v>
      </c>
      <c r="BQ513" t="s">
        <v>74</v>
      </c>
      <c r="BR513" t="s">
        <v>105</v>
      </c>
      <c r="BS513" t="s">
        <v>9747</v>
      </c>
      <c r="BT513" t="str">
        <f>HYPERLINK("https%3A%2F%2Fwww.webofscience.com%2Fwos%2Fwoscc%2Ffull-record%2FWOS:000318775900006","View Full Record in Web of Science")</f>
        <v>View Full Record in Web of Science</v>
      </c>
    </row>
    <row r="514" spans="1:72" x14ac:dyDescent="0.15">
      <c r="A514" t="s">
        <v>72</v>
      </c>
      <c r="B514" t="s">
        <v>9748</v>
      </c>
      <c r="C514" t="s">
        <v>74</v>
      </c>
      <c r="D514" t="s">
        <v>74</v>
      </c>
      <c r="E514" t="s">
        <v>74</v>
      </c>
      <c r="F514" t="s">
        <v>9749</v>
      </c>
      <c r="G514" t="s">
        <v>74</v>
      </c>
      <c r="H514" t="s">
        <v>74</v>
      </c>
      <c r="I514" t="s">
        <v>9750</v>
      </c>
      <c r="J514" t="s">
        <v>3514</v>
      </c>
      <c r="K514" t="s">
        <v>74</v>
      </c>
      <c r="L514" t="s">
        <v>74</v>
      </c>
      <c r="M514" t="s">
        <v>78</v>
      </c>
      <c r="N514" t="s">
        <v>79</v>
      </c>
      <c r="O514" t="s">
        <v>74</v>
      </c>
      <c r="P514" t="s">
        <v>74</v>
      </c>
      <c r="Q514" t="s">
        <v>74</v>
      </c>
      <c r="R514" t="s">
        <v>74</v>
      </c>
      <c r="S514" t="s">
        <v>74</v>
      </c>
      <c r="T514" t="s">
        <v>9751</v>
      </c>
      <c r="U514" t="s">
        <v>9752</v>
      </c>
      <c r="V514" t="s">
        <v>9753</v>
      </c>
      <c r="W514" t="s">
        <v>9754</v>
      </c>
      <c r="X514" t="s">
        <v>9755</v>
      </c>
      <c r="Y514" t="s">
        <v>9756</v>
      </c>
      <c r="Z514" t="s">
        <v>9757</v>
      </c>
      <c r="AA514" t="s">
        <v>9758</v>
      </c>
      <c r="AB514" t="s">
        <v>9759</v>
      </c>
      <c r="AC514" t="s">
        <v>9760</v>
      </c>
      <c r="AD514" t="s">
        <v>9761</v>
      </c>
      <c r="AE514" t="s">
        <v>9762</v>
      </c>
      <c r="AF514" t="s">
        <v>74</v>
      </c>
      <c r="AG514">
        <v>46</v>
      </c>
      <c r="AH514">
        <v>27</v>
      </c>
      <c r="AI514">
        <v>30</v>
      </c>
      <c r="AJ514">
        <v>0</v>
      </c>
      <c r="AK514">
        <v>53</v>
      </c>
      <c r="AL514" t="s">
        <v>3288</v>
      </c>
      <c r="AM514" t="s">
        <v>3076</v>
      </c>
      <c r="AN514" t="s">
        <v>9604</v>
      </c>
      <c r="AO514" t="s">
        <v>3527</v>
      </c>
      <c r="AP514" t="s">
        <v>3528</v>
      </c>
      <c r="AQ514" t="s">
        <v>74</v>
      </c>
      <c r="AR514" t="s">
        <v>3514</v>
      </c>
      <c r="AS514" t="s">
        <v>3529</v>
      </c>
      <c r="AT514" t="s">
        <v>9169</v>
      </c>
      <c r="AU514">
        <v>2013</v>
      </c>
      <c r="AV514">
        <v>17</v>
      </c>
      <c r="AW514">
        <v>3</v>
      </c>
      <c r="AX514" t="s">
        <v>74</v>
      </c>
      <c r="AY514" t="s">
        <v>74</v>
      </c>
      <c r="AZ514" t="s">
        <v>74</v>
      </c>
      <c r="BA514" t="s">
        <v>74</v>
      </c>
      <c r="BB514">
        <v>391</v>
      </c>
      <c r="BC514">
        <v>403</v>
      </c>
      <c r="BD514" t="s">
        <v>74</v>
      </c>
      <c r="BE514" t="s">
        <v>9763</v>
      </c>
      <c r="BF514" t="str">
        <f>HYPERLINK("http://dx.doi.org/10.1007/s00792-013-0528-6","http://dx.doi.org/10.1007/s00792-013-0528-6")</f>
        <v>http://dx.doi.org/10.1007/s00792-013-0528-6</v>
      </c>
      <c r="BG514" t="s">
        <v>74</v>
      </c>
      <c r="BH514" t="s">
        <v>74</v>
      </c>
      <c r="BI514">
        <v>13</v>
      </c>
      <c r="BJ514" t="s">
        <v>376</v>
      </c>
      <c r="BK514" t="s">
        <v>102</v>
      </c>
      <c r="BL514" t="s">
        <v>376</v>
      </c>
      <c r="BM514" t="s">
        <v>9764</v>
      </c>
      <c r="BN514">
        <v>23532411</v>
      </c>
      <c r="BO514" t="s">
        <v>74</v>
      </c>
      <c r="BP514" t="s">
        <v>74</v>
      </c>
      <c r="BQ514" t="s">
        <v>74</v>
      </c>
      <c r="BR514" t="s">
        <v>105</v>
      </c>
      <c r="BS514" t="s">
        <v>9765</v>
      </c>
      <c r="BT514" t="str">
        <f>HYPERLINK("https%3A%2F%2Fwww.webofscience.com%2Fwos%2Fwoscc%2Ffull-record%2FWOS:000318169900004","View Full Record in Web of Science")</f>
        <v>View Full Record in Web of Science</v>
      </c>
    </row>
    <row r="515" spans="1:72" x14ac:dyDescent="0.15">
      <c r="A515" t="s">
        <v>72</v>
      </c>
      <c r="B515" t="s">
        <v>9766</v>
      </c>
      <c r="C515" t="s">
        <v>74</v>
      </c>
      <c r="D515" t="s">
        <v>74</v>
      </c>
      <c r="E515" t="s">
        <v>74</v>
      </c>
      <c r="F515" t="s">
        <v>9767</v>
      </c>
      <c r="G515" t="s">
        <v>74</v>
      </c>
      <c r="H515" t="s">
        <v>74</v>
      </c>
      <c r="I515" t="s">
        <v>9768</v>
      </c>
      <c r="J515" t="s">
        <v>3514</v>
      </c>
      <c r="K515" t="s">
        <v>74</v>
      </c>
      <c r="L515" t="s">
        <v>74</v>
      </c>
      <c r="M515" t="s">
        <v>78</v>
      </c>
      <c r="N515" t="s">
        <v>79</v>
      </c>
      <c r="O515" t="s">
        <v>74</v>
      </c>
      <c r="P515" t="s">
        <v>74</v>
      </c>
      <c r="Q515" t="s">
        <v>74</v>
      </c>
      <c r="R515" t="s">
        <v>74</v>
      </c>
      <c r="S515" t="s">
        <v>74</v>
      </c>
      <c r="T515" t="s">
        <v>9769</v>
      </c>
      <c r="U515" t="s">
        <v>9770</v>
      </c>
      <c r="V515" t="s">
        <v>9771</v>
      </c>
      <c r="W515" t="s">
        <v>9772</v>
      </c>
      <c r="X515" t="s">
        <v>9773</v>
      </c>
      <c r="Y515" t="s">
        <v>9774</v>
      </c>
      <c r="Z515" t="s">
        <v>9775</v>
      </c>
      <c r="AA515" t="s">
        <v>9776</v>
      </c>
      <c r="AB515" t="s">
        <v>9777</v>
      </c>
      <c r="AC515" t="s">
        <v>9778</v>
      </c>
      <c r="AD515" t="s">
        <v>9779</v>
      </c>
      <c r="AE515" t="s">
        <v>9780</v>
      </c>
      <c r="AF515" t="s">
        <v>74</v>
      </c>
      <c r="AG515">
        <v>65</v>
      </c>
      <c r="AH515">
        <v>24</v>
      </c>
      <c r="AI515">
        <v>26</v>
      </c>
      <c r="AJ515">
        <v>2</v>
      </c>
      <c r="AK515">
        <v>16</v>
      </c>
      <c r="AL515" t="s">
        <v>3288</v>
      </c>
      <c r="AM515" t="s">
        <v>3076</v>
      </c>
      <c r="AN515" t="s">
        <v>9604</v>
      </c>
      <c r="AO515" t="s">
        <v>3527</v>
      </c>
      <c r="AP515" t="s">
        <v>3528</v>
      </c>
      <c r="AQ515" t="s">
        <v>74</v>
      </c>
      <c r="AR515" t="s">
        <v>3514</v>
      </c>
      <c r="AS515" t="s">
        <v>3529</v>
      </c>
      <c r="AT515" t="s">
        <v>9169</v>
      </c>
      <c r="AU515">
        <v>2013</v>
      </c>
      <c r="AV515">
        <v>17</v>
      </c>
      <c r="AW515">
        <v>3</v>
      </c>
      <c r="AX515" t="s">
        <v>74</v>
      </c>
      <c r="AY515" t="s">
        <v>74</v>
      </c>
      <c r="AZ515" t="s">
        <v>74</v>
      </c>
      <c r="BA515" t="s">
        <v>74</v>
      </c>
      <c r="BB515">
        <v>433</v>
      </c>
      <c r="BC515">
        <v>444</v>
      </c>
      <c r="BD515" t="s">
        <v>74</v>
      </c>
      <c r="BE515" t="s">
        <v>9781</v>
      </c>
      <c r="BF515" t="str">
        <f>HYPERLINK("http://dx.doi.org/10.1007/s00792-013-0521-0","http://dx.doi.org/10.1007/s00792-013-0521-0")</f>
        <v>http://dx.doi.org/10.1007/s00792-013-0521-0</v>
      </c>
      <c r="BG515" t="s">
        <v>74</v>
      </c>
      <c r="BH515" t="s">
        <v>74</v>
      </c>
      <c r="BI515">
        <v>12</v>
      </c>
      <c r="BJ515" t="s">
        <v>376</v>
      </c>
      <c r="BK515" t="s">
        <v>102</v>
      </c>
      <c r="BL515" t="s">
        <v>376</v>
      </c>
      <c r="BM515" t="s">
        <v>9764</v>
      </c>
      <c r="BN515">
        <v>23479249</v>
      </c>
      <c r="BO515" t="s">
        <v>9782</v>
      </c>
      <c r="BP515" t="s">
        <v>74</v>
      </c>
      <c r="BQ515" t="s">
        <v>74</v>
      </c>
      <c r="BR515" t="s">
        <v>105</v>
      </c>
      <c r="BS515" t="s">
        <v>9783</v>
      </c>
      <c r="BT515" t="str">
        <f>HYPERLINK("https%3A%2F%2Fwww.webofscience.com%2Fwos%2Fwoscc%2Ffull-record%2FWOS:000318169900007","View Full Record in Web of Science")</f>
        <v>View Full Record in Web of Science</v>
      </c>
    </row>
    <row r="516" spans="1:72" x14ac:dyDescent="0.15">
      <c r="A516" t="s">
        <v>72</v>
      </c>
      <c r="B516" t="s">
        <v>9784</v>
      </c>
      <c r="C516" t="s">
        <v>74</v>
      </c>
      <c r="D516" t="s">
        <v>74</v>
      </c>
      <c r="E516" t="s">
        <v>74</v>
      </c>
      <c r="F516" t="s">
        <v>9785</v>
      </c>
      <c r="G516" t="s">
        <v>74</v>
      </c>
      <c r="H516" t="s">
        <v>74</v>
      </c>
      <c r="I516" t="s">
        <v>9786</v>
      </c>
      <c r="J516" t="s">
        <v>3514</v>
      </c>
      <c r="K516" t="s">
        <v>74</v>
      </c>
      <c r="L516" t="s">
        <v>74</v>
      </c>
      <c r="M516" t="s">
        <v>78</v>
      </c>
      <c r="N516" t="s">
        <v>79</v>
      </c>
      <c r="O516" t="s">
        <v>74</v>
      </c>
      <c r="P516" t="s">
        <v>74</v>
      </c>
      <c r="Q516" t="s">
        <v>74</v>
      </c>
      <c r="R516" t="s">
        <v>74</v>
      </c>
      <c r="S516" t="s">
        <v>74</v>
      </c>
      <c r="T516" t="s">
        <v>9787</v>
      </c>
      <c r="U516" t="s">
        <v>9788</v>
      </c>
      <c r="V516" t="s">
        <v>9789</v>
      </c>
      <c r="W516" t="s">
        <v>9790</v>
      </c>
      <c r="X516" t="s">
        <v>9791</v>
      </c>
      <c r="Y516" t="s">
        <v>9792</v>
      </c>
      <c r="Z516" t="s">
        <v>9793</v>
      </c>
      <c r="AA516" t="s">
        <v>74</v>
      </c>
      <c r="AB516" t="s">
        <v>74</v>
      </c>
      <c r="AC516" t="s">
        <v>9794</v>
      </c>
      <c r="AD516" t="s">
        <v>9795</v>
      </c>
      <c r="AE516" t="s">
        <v>9796</v>
      </c>
      <c r="AF516" t="s">
        <v>74</v>
      </c>
      <c r="AG516">
        <v>34</v>
      </c>
      <c r="AH516">
        <v>11</v>
      </c>
      <c r="AI516">
        <v>11</v>
      </c>
      <c r="AJ516">
        <v>2</v>
      </c>
      <c r="AK516">
        <v>42</v>
      </c>
      <c r="AL516" t="s">
        <v>3288</v>
      </c>
      <c r="AM516" t="s">
        <v>3076</v>
      </c>
      <c r="AN516" t="s">
        <v>3289</v>
      </c>
      <c r="AO516" t="s">
        <v>3527</v>
      </c>
      <c r="AP516" t="s">
        <v>3528</v>
      </c>
      <c r="AQ516" t="s">
        <v>74</v>
      </c>
      <c r="AR516" t="s">
        <v>3514</v>
      </c>
      <c r="AS516" t="s">
        <v>3529</v>
      </c>
      <c r="AT516" t="s">
        <v>9169</v>
      </c>
      <c r="AU516">
        <v>2013</v>
      </c>
      <c r="AV516">
        <v>17</v>
      </c>
      <c r="AW516">
        <v>3</v>
      </c>
      <c r="AX516" t="s">
        <v>74</v>
      </c>
      <c r="AY516" t="s">
        <v>74</v>
      </c>
      <c r="AZ516" t="s">
        <v>74</v>
      </c>
      <c r="BA516" t="s">
        <v>74</v>
      </c>
      <c r="BB516">
        <v>477</v>
      </c>
      <c r="BC516">
        <v>484</v>
      </c>
      <c r="BD516" t="s">
        <v>74</v>
      </c>
      <c r="BE516" t="s">
        <v>9797</v>
      </c>
      <c r="BF516" t="str">
        <f>HYPERLINK("http://dx.doi.org/10.1007/s00792-013-0532-x","http://dx.doi.org/10.1007/s00792-013-0532-x")</f>
        <v>http://dx.doi.org/10.1007/s00792-013-0532-x</v>
      </c>
      <c r="BG516" t="s">
        <v>74</v>
      </c>
      <c r="BH516" t="s">
        <v>74</v>
      </c>
      <c r="BI516">
        <v>8</v>
      </c>
      <c r="BJ516" t="s">
        <v>376</v>
      </c>
      <c r="BK516" t="s">
        <v>102</v>
      </c>
      <c r="BL516" t="s">
        <v>376</v>
      </c>
      <c r="BM516" t="s">
        <v>9764</v>
      </c>
      <c r="BN516">
        <v>23494479</v>
      </c>
      <c r="BO516" t="s">
        <v>74</v>
      </c>
      <c r="BP516" t="s">
        <v>74</v>
      </c>
      <c r="BQ516" t="s">
        <v>74</v>
      </c>
      <c r="BR516" t="s">
        <v>105</v>
      </c>
      <c r="BS516" t="s">
        <v>9798</v>
      </c>
      <c r="BT516" t="str">
        <f>HYPERLINK("https%3A%2F%2Fwww.webofscience.com%2Fwos%2Fwoscc%2Ffull-record%2FWOS:000318169900012","View Full Record in Web of Science")</f>
        <v>View Full Record in Web of Science</v>
      </c>
    </row>
    <row r="517" spans="1:72" x14ac:dyDescent="0.15">
      <c r="A517" t="s">
        <v>72</v>
      </c>
      <c r="B517" t="s">
        <v>9799</v>
      </c>
      <c r="C517" t="s">
        <v>74</v>
      </c>
      <c r="D517" t="s">
        <v>74</v>
      </c>
      <c r="E517" t="s">
        <v>74</v>
      </c>
      <c r="F517" t="s">
        <v>9800</v>
      </c>
      <c r="G517" t="s">
        <v>74</v>
      </c>
      <c r="H517" t="s">
        <v>74</v>
      </c>
      <c r="I517" t="s">
        <v>9801</v>
      </c>
      <c r="J517" t="s">
        <v>942</v>
      </c>
      <c r="K517" t="s">
        <v>74</v>
      </c>
      <c r="L517" t="s">
        <v>74</v>
      </c>
      <c r="M517" t="s">
        <v>78</v>
      </c>
      <c r="N517" t="s">
        <v>79</v>
      </c>
      <c r="O517" t="s">
        <v>74</v>
      </c>
      <c r="P517" t="s">
        <v>74</v>
      </c>
      <c r="Q517" t="s">
        <v>74</v>
      </c>
      <c r="R517" t="s">
        <v>74</v>
      </c>
      <c r="S517" t="s">
        <v>74</v>
      </c>
      <c r="T517" t="s">
        <v>9802</v>
      </c>
      <c r="U517" t="s">
        <v>9803</v>
      </c>
      <c r="V517" t="s">
        <v>9804</v>
      </c>
      <c r="W517" t="s">
        <v>9805</v>
      </c>
      <c r="X517" t="s">
        <v>9806</v>
      </c>
      <c r="Y517" t="s">
        <v>9807</v>
      </c>
      <c r="Z517" t="s">
        <v>9808</v>
      </c>
      <c r="AA517" t="s">
        <v>9809</v>
      </c>
      <c r="AB517" t="s">
        <v>9810</v>
      </c>
      <c r="AC517" t="s">
        <v>9811</v>
      </c>
      <c r="AD517" t="s">
        <v>9812</v>
      </c>
      <c r="AE517" t="s">
        <v>9813</v>
      </c>
      <c r="AF517" t="s">
        <v>74</v>
      </c>
      <c r="AG517">
        <v>71</v>
      </c>
      <c r="AH517">
        <v>105</v>
      </c>
      <c r="AI517">
        <v>108</v>
      </c>
      <c r="AJ517">
        <v>0</v>
      </c>
      <c r="AK517">
        <v>53</v>
      </c>
      <c r="AL517" t="s">
        <v>954</v>
      </c>
      <c r="AM517" t="s">
        <v>955</v>
      </c>
      <c r="AN517" t="s">
        <v>956</v>
      </c>
      <c r="AO517" t="s">
        <v>957</v>
      </c>
      <c r="AP517" t="s">
        <v>958</v>
      </c>
      <c r="AQ517" t="s">
        <v>74</v>
      </c>
      <c r="AR517" t="s">
        <v>942</v>
      </c>
      <c r="AS517" t="s">
        <v>959</v>
      </c>
      <c r="AT517" t="s">
        <v>9169</v>
      </c>
      <c r="AU517">
        <v>2013</v>
      </c>
      <c r="AV517">
        <v>224</v>
      </c>
      <c r="AW517">
        <v>1</v>
      </c>
      <c r="AX517" t="s">
        <v>74</v>
      </c>
      <c r="AY517" t="s">
        <v>74</v>
      </c>
      <c r="AZ517" t="s">
        <v>74</v>
      </c>
      <c r="BA517" t="s">
        <v>74</v>
      </c>
      <c r="BB517">
        <v>243</v>
      </c>
      <c r="BC517">
        <v>252</v>
      </c>
      <c r="BD517" t="s">
        <v>74</v>
      </c>
      <c r="BE517" t="s">
        <v>9814</v>
      </c>
      <c r="BF517" t="str">
        <f>HYPERLINK("http://dx.doi.org/10.1016/j.icarus.2013.03.002","http://dx.doi.org/10.1016/j.icarus.2013.03.002")</f>
        <v>http://dx.doi.org/10.1016/j.icarus.2013.03.002</v>
      </c>
      <c r="BG517" t="s">
        <v>74</v>
      </c>
      <c r="BH517" t="s">
        <v>74</v>
      </c>
      <c r="BI517">
        <v>10</v>
      </c>
      <c r="BJ517" t="s">
        <v>101</v>
      </c>
      <c r="BK517" t="s">
        <v>102</v>
      </c>
      <c r="BL517" t="s">
        <v>101</v>
      </c>
      <c r="BM517" t="s">
        <v>9815</v>
      </c>
      <c r="BN517" t="s">
        <v>74</v>
      </c>
      <c r="BO517" t="s">
        <v>74</v>
      </c>
      <c r="BP517" t="s">
        <v>74</v>
      </c>
      <c r="BQ517" t="s">
        <v>74</v>
      </c>
      <c r="BR517" t="s">
        <v>105</v>
      </c>
      <c r="BS517" t="s">
        <v>9816</v>
      </c>
      <c r="BT517" t="str">
        <f>HYPERLINK("https%3A%2F%2Fwww.webofscience.com%2Fwos%2Fwoscc%2Ffull-record%2FWOS:000318128500022","View Full Record in Web of Science")</f>
        <v>View Full Record in Web of Science</v>
      </c>
    </row>
    <row r="518" spans="1:72" x14ac:dyDescent="0.15">
      <c r="A518" t="s">
        <v>72</v>
      </c>
      <c r="B518" t="s">
        <v>9817</v>
      </c>
      <c r="C518" t="s">
        <v>74</v>
      </c>
      <c r="D518" t="s">
        <v>74</v>
      </c>
      <c r="E518" t="s">
        <v>74</v>
      </c>
      <c r="F518" t="s">
        <v>9818</v>
      </c>
      <c r="G518" t="s">
        <v>74</v>
      </c>
      <c r="H518" t="s">
        <v>74</v>
      </c>
      <c r="I518" t="s">
        <v>9819</v>
      </c>
      <c r="J518" t="s">
        <v>9820</v>
      </c>
      <c r="K518" t="s">
        <v>74</v>
      </c>
      <c r="L518" t="s">
        <v>74</v>
      </c>
      <c r="M518" t="s">
        <v>78</v>
      </c>
      <c r="N518" t="s">
        <v>79</v>
      </c>
      <c r="O518" t="s">
        <v>74</v>
      </c>
      <c r="P518" t="s">
        <v>74</v>
      </c>
      <c r="Q518" t="s">
        <v>74</v>
      </c>
      <c r="R518" t="s">
        <v>74</v>
      </c>
      <c r="S518" t="s">
        <v>74</v>
      </c>
      <c r="T518" t="s">
        <v>9821</v>
      </c>
      <c r="U518" t="s">
        <v>9822</v>
      </c>
      <c r="V518" t="s">
        <v>9823</v>
      </c>
      <c r="W518" t="s">
        <v>9824</v>
      </c>
      <c r="X518" t="s">
        <v>9825</v>
      </c>
      <c r="Y518" t="s">
        <v>9826</v>
      </c>
      <c r="Z518" t="s">
        <v>9827</v>
      </c>
      <c r="AA518" t="s">
        <v>9828</v>
      </c>
      <c r="AB518" t="s">
        <v>9829</v>
      </c>
      <c r="AC518" t="s">
        <v>9830</v>
      </c>
      <c r="AD518" t="s">
        <v>9830</v>
      </c>
      <c r="AE518" t="s">
        <v>9831</v>
      </c>
      <c r="AF518" t="s">
        <v>74</v>
      </c>
      <c r="AG518">
        <v>97</v>
      </c>
      <c r="AH518">
        <v>28</v>
      </c>
      <c r="AI518">
        <v>28</v>
      </c>
      <c r="AJ518">
        <v>1</v>
      </c>
      <c r="AK518">
        <v>50</v>
      </c>
      <c r="AL518" t="s">
        <v>154</v>
      </c>
      <c r="AM518" t="s">
        <v>155</v>
      </c>
      <c r="AN518" t="s">
        <v>156</v>
      </c>
      <c r="AO518" t="s">
        <v>9832</v>
      </c>
      <c r="AP518" t="s">
        <v>9833</v>
      </c>
      <c r="AQ518" t="s">
        <v>74</v>
      </c>
      <c r="AR518" t="s">
        <v>9834</v>
      </c>
      <c r="AS518" t="s">
        <v>9835</v>
      </c>
      <c r="AT518" t="s">
        <v>9169</v>
      </c>
      <c r="AU518">
        <v>2013</v>
      </c>
      <c r="AV518">
        <v>117</v>
      </c>
      <c r="AW518" t="s">
        <v>74</v>
      </c>
      <c r="AX518" t="s">
        <v>74</v>
      </c>
      <c r="AY518" t="s">
        <v>74</v>
      </c>
      <c r="AZ518" t="s">
        <v>74</v>
      </c>
      <c r="BA518" t="s">
        <v>74</v>
      </c>
      <c r="BB518">
        <v>43</v>
      </c>
      <c r="BC518">
        <v>52</v>
      </c>
      <c r="BD518" t="s">
        <v>74</v>
      </c>
      <c r="BE518" t="s">
        <v>9836</v>
      </c>
      <c r="BF518" t="str">
        <f>HYPERLINK("http://dx.doi.org/10.1016/j.jmarsys.2013.02.013","http://dx.doi.org/10.1016/j.jmarsys.2013.02.013")</f>
        <v>http://dx.doi.org/10.1016/j.jmarsys.2013.02.013</v>
      </c>
      <c r="BG518" t="s">
        <v>74</v>
      </c>
      <c r="BH518" t="s">
        <v>74</v>
      </c>
      <c r="BI518">
        <v>10</v>
      </c>
      <c r="BJ518" t="s">
        <v>9837</v>
      </c>
      <c r="BK518" t="s">
        <v>102</v>
      </c>
      <c r="BL518" t="s">
        <v>9838</v>
      </c>
      <c r="BM518" t="s">
        <v>9839</v>
      </c>
      <c r="BN518" t="s">
        <v>74</v>
      </c>
      <c r="BO518" t="s">
        <v>426</v>
      </c>
      <c r="BP518" t="s">
        <v>74</v>
      </c>
      <c r="BQ518" t="s">
        <v>74</v>
      </c>
      <c r="BR518" t="s">
        <v>105</v>
      </c>
      <c r="BS518" t="s">
        <v>9840</v>
      </c>
      <c r="BT518" t="str">
        <f>HYPERLINK("https%3A%2F%2Fwww.webofscience.com%2Fwos%2Fwoscc%2Ffull-record%2FWOS:000318263800004","View Full Record in Web of Science")</f>
        <v>View Full Record in Web of Science</v>
      </c>
    </row>
    <row r="519" spans="1:72" x14ac:dyDescent="0.15">
      <c r="A519" t="s">
        <v>72</v>
      </c>
      <c r="B519" t="s">
        <v>9841</v>
      </c>
      <c r="C519" t="s">
        <v>74</v>
      </c>
      <c r="D519" t="s">
        <v>74</v>
      </c>
      <c r="E519" t="s">
        <v>74</v>
      </c>
      <c r="F519" t="s">
        <v>9842</v>
      </c>
      <c r="G519" t="s">
        <v>74</v>
      </c>
      <c r="H519" t="s">
        <v>74</v>
      </c>
      <c r="I519" t="s">
        <v>9843</v>
      </c>
      <c r="J519" t="s">
        <v>3712</v>
      </c>
      <c r="K519" t="s">
        <v>74</v>
      </c>
      <c r="L519" t="s">
        <v>74</v>
      </c>
      <c r="M519" t="s">
        <v>78</v>
      </c>
      <c r="N519" t="s">
        <v>79</v>
      </c>
      <c r="O519" t="s">
        <v>74</v>
      </c>
      <c r="P519" t="s">
        <v>74</v>
      </c>
      <c r="Q519" t="s">
        <v>74</v>
      </c>
      <c r="R519" t="s">
        <v>74</v>
      </c>
      <c r="S519" t="s">
        <v>74</v>
      </c>
      <c r="T519" t="s">
        <v>74</v>
      </c>
      <c r="U519" t="s">
        <v>9844</v>
      </c>
      <c r="V519" t="s">
        <v>9845</v>
      </c>
      <c r="W519" t="s">
        <v>9846</v>
      </c>
      <c r="X519" t="s">
        <v>9847</v>
      </c>
      <c r="Y519" t="s">
        <v>9848</v>
      </c>
      <c r="Z519" t="s">
        <v>9849</v>
      </c>
      <c r="AA519" t="s">
        <v>9850</v>
      </c>
      <c r="AB519" t="s">
        <v>9851</v>
      </c>
      <c r="AC519" t="s">
        <v>9852</v>
      </c>
      <c r="AD519" t="s">
        <v>9853</v>
      </c>
      <c r="AE519" t="s">
        <v>9854</v>
      </c>
      <c r="AF519" t="s">
        <v>74</v>
      </c>
      <c r="AG519">
        <v>84</v>
      </c>
      <c r="AH519">
        <v>16</v>
      </c>
      <c r="AI519">
        <v>19</v>
      </c>
      <c r="AJ519">
        <v>0</v>
      </c>
      <c r="AK519">
        <v>37</v>
      </c>
      <c r="AL519" t="s">
        <v>3724</v>
      </c>
      <c r="AM519" t="s">
        <v>3725</v>
      </c>
      <c r="AN519" t="s">
        <v>3726</v>
      </c>
      <c r="AO519" t="s">
        <v>3727</v>
      </c>
      <c r="AP519" t="s">
        <v>3728</v>
      </c>
      <c r="AQ519" t="s">
        <v>74</v>
      </c>
      <c r="AR519" t="s">
        <v>3729</v>
      </c>
      <c r="AS519" t="s">
        <v>3730</v>
      </c>
      <c r="AT519" t="s">
        <v>9169</v>
      </c>
      <c r="AU519">
        <v>2013</v>
      </c>
      <c r="AV519">
        <v>160</v>
      </c>
      <c r="AW519">
        <v>5</v>
      </c>
      <c r="AX519" t="s">
        <v>74</v>
      </c>
      <c r="AY519" t="s">
        <v>74</v>
      </c>
      <c r="AZ519" t="s">
        <v>74</v>
      </c>
      <c r="BA519" t="s">
        <v>74</v>
      </c>
      <c r="BB519">
        <v>1285</v>
      </c>
      <c r="BC519">
        <v>1296</v>
      </c>
      <c r="BD519" t="s">
        <v>74</v>
      </c>
      <c r="BE519" t="s">
        <v>9855</v>
      </c>
      <c r="BF519" t="str">
        <f>HYPERLINK("http://dx.doi.org/10.1007/s00227-013-2180-1","http://dx.doi.org/10.1007/s00227-013-2180-1")</f>
        <v>http://dx.doi.org/10.1007/s00227-013-2180-1</v>
      </c>
      <c r="BG519" t="s">
        <v>74</v>
      </c>
      <c r="BH519" t="s">
        <v>74</v>
      </c>
      <c r="BI519">
        <v>12</v>
      </c>
      <c r="BJ519" t="s">
        <v>1809</v>
      </c>
      <c r="BK519" t="s">
        <v>102</v>
      </c>
      <c r="BL519" t="s">
        <v>1809</v>
      </c>
      <c r="BM519" t="s">
        <v>9856</v>
      </c>
      <c r="BN519" t="s">
        <v>74</v>
      </c>
      <c r="BO519" t="s">
        <v>74</v>
      </c>
      <c r="BP519" t="s">
        <v>74</v>
      </c>
      <c r="BQ519" t="s">
        <v>74</v>
      </c>
      <c r="BR519" t="s">
        <v>105</v>
      </c>
      <c r="BS519" t="s">
        <v>9857</v>
      </c>
      <c r="BT519" t="str">
        <f>HYPERLINK("https%3A%2F%2Fwww.webofscience.com%2Fwos%2Fwoscc%2Ffull-record%2FWOS:000318002900022","View Full Record in Web of Science")</f>
        <v>View Full Record in Web of Science</v>
      </c>
    </row>
    <row r="520" spans="1:72" x14ac:dyDescent="0.15">
      <c r="A520" t="s">
        <v>72</v>
      </c>
      <c r="B520" t="s">
        <v>9858</v>
      </c>
      <c r="C520" t="s">
        <v>74</v>
      </c>
      <c r="D520" t="s">
        <v>74</v>
      </c>
      <c r="E520" t="s">
        <v>74</v>
      </c>
      <c r="F520" t="s">
        <v>9859</v>
      </c>
      <c r="G520" t="s">
        <v>74</v>
      </c>
      <c r="H520" t="s">
        <v>74</v>
      </c>
      <c r="I520" t="s">
        <v>9860</v>
      </c>
      <c r="J520" t="s">
        <v>9861</v>
      </c>
      <c r="K520" t="s">
        <v>74</v>
      </c>
      <c r="L520" t="s">
        <v>74</v>
      </c>
      <c r="M520" t="s">
        <v>78</v>
      </c>
      <c r="N520" t="s">
        <v>79</v>
      </c>
      <c r="O520" t="s">
        <v>74</v>
      </c>
      <c r="P520" t="s">
        <v>74</v>
      </c>
      <c r="Q520" t="s">
        <v>74</v>
      </c>
      <c r="R520" t="s">
        <v>74</v>
      </c>
      <c r="S520" t="s">
        <v>74</v>
      </c>
      <c r="T520" t="s">
        <v>9862</v>
      </c>
      <c r="U520" t="s">
        <v>9863</v>
      </c>
      <c r="V520" t="s">
        <v>9864</v>
      </c>
      <c r="W520" t="s">
        <v>9865</v>
      </c>
      <c r="X520" t="s">
        <v>9866</v>
      </c>
      <c r="Y520" t="s">
        <v>9867</v>
      </c>
      <c r="Z520" t="s">
        <v>9868</v>
      </c>
      <c r="AA520" t="s">
        <v>74</v>
      </c>
      <c r="AB520" t="s">
        <v>74</v>
      </c>
      <c r="AC520" t="s">
        <v>9869</v>
      </c>
      <c r="AD520" t="s">
        <v>904</v>
      </c>
      <c r="AE520" t="s">
        <v>9870</v>
      </c>
      <c r="AF520" t="s">
        <v>74</v>
      </c>
      <c r="AG520">
        <v>51</v>
      </c>
      <c r="AH520">
        <v>13</v>
      </c>
      <c r="AI520">
        <v>13</v>
      </c>
      <c r="AJ520">
        <v>1</v>
      </c>
      <c r="AK520">
        <v>4</v>
      </c>
      <c r="AL520" t="s">
        <v>441</v>
      </c>
      <c r="AM520" t="s">
        <v>442</v>
      </c>
      <c r="AN520" t="s">
        <v>443</v>
      </c>
      <c r="AO520" t="s">
        <v>9871</v>
      </c>
      <c r="AP520" t="s">
        <v>9872</v>
      </c>
      <c r="AQ520" t="s">
        <v>74</v>
      </c>
      <c r="AR520" t="s">
        <v>9873</v>
      </c>
      <c r="AS520" t="s">
        <v>9874</v>
      </c>
      <c r="AT520" t="s">
        <v>9169</v>
      </c>
      <c r="AU520">
        <v>2013</v>
      </c>
      <c r="AV520">
        <v>431</v>
      </c>
      <c r="AW520">
        <v>1</v>
      </c>
      <c r="AX520" t="s">
        <v>74</v>
      </c>
      <c r="AY520" t="s">
        <v>74</v>
      </c>
      <c r="AZ520" t="s">
        <v>74</v>
      </c>
      <c r="BA520" t="s">
        <v>74</v>
      </c>
      <c r="BB520" t="s">
        <v>9875</v>
      </c>
      <c r="BC520" t="s">
        <v>9876</v>
      </c>
      <c r="BD520" t="s">
        <v>74</v>
      </c>
      <c r="BE520" t="s">
        <v>9877</v>
      </c>
      <c r="BF520" t="str">
        <f>HYPERLINK("http://dx.doi.org/10.1093/mnrasl/slt019","http://dx.doi.org/10.1093/mnrasl/slt019")</f>
        <v>http://dx.doi.org/10.1093/mnrasl/slt019</v>
      </c>
      <c r="BG520" t="s">
        <v>74</v>
      </c>
      <c r="BH520" t="s">
        <v>74</v>
      </c>
      <c r="BI520">
        <v>5</v>
      </c>
      <c r="BJ520" t="s">
        <v>101</v>
      </c>
      <c r="BK520" t="s">
        <v>102</v>
      </c>
      <c r="BL520" t="s">
        <v>101</v>
      </c>
      <c r="BM520" t="s">
        <v>9878</v>
      </c>
      <c r="BN520" t="s">
        <v>74</v>
      </c>
      <c r="BO520" t="s">
        <v>577</v>
      </c>
      <c r="BP520" t="s">
        <v>74</v>
      </c>
      <c r="BQ520" t="s">
        <v>74</v>
      </c>
      <c r="BR520" t="s">
        <v>105</v>
      </c>
      <c r="BS520" t="s">
        <v>9879</v>
      </c>
      <c r="BT520" t="str">
        <f>HYPERLINK("https%3A%2F%2Fwww.webofscience.com%2Fwos%2Fwoscc%2Ffull-record%2FWOS:000318343600024","View Full Record in Web of Science")</f>
        <v>View Full Record in Web of Science</v>
      </c>
    </row>
    <row r="521" spans="1:72" x14ac:dyDescent="0.15">
      <c r="A521" t="s">
        <v>72</v>
      </c>
      <c r="B521" t="s">
        <v>9880</v>
      </c>
      <c r="C521" t="s">
        <v>74</v>
      </c>
      <c r="D521" t="s">
        <v>74</v>
      </c>
      <c r="E521" t="s">
        <v>74</v>
      </c>
      <c r="F521" t="s">
        <v>9881</v>
      </c>
      <c r="G521" t="s">
        <v>74</v>
      </c>
      <c r="H521" t="s">
        <v>74</v>
      </c>
      <c r="I521" t="s">
        <v>9882</v>
      </c>
      <c r="J521" t="s">
        <v>1838</v>
      </c>
      <c r="K521" t="s">
        <v>74</v>
      </c>
      <c r="L521" t="s">
        <v>74</v>
      </c>
      <c r="M521" t="s">
        <v>78</v>
      </c>
      <c r="N521" t="s">
        <v>254</v>
      </c>
      <c r="O521" t="s">
        <v>74</v>
      </c>
      <c r="P521" t="s">
        <v>74</v>
      </c>
      <c r="Q521" t="s">
        <v>74</v>
      </c>
      <c r="R521" t="s">
        <v>74</v>
      </c>
      <c r="S521" t="s">
        <v>74</v>
      </c>
      <c r="T521" t="s">
        <v>74</v>
      </c>
      <c r="U521" t="s">
        <v>9883</v>
      </c>
      <c r="V521" t="s">
        <v>74</v>
      </c>
      <c r="W521" t="s">
        <v>9884</v>
      </c>
      <c r="X521" t="s">
        <v>9885</v>
      </c>
      <c r="Y521" t="s">
        <v>9886</v>
      </c>
      <c r="Z521" t="s">
        <v>9887</v>
      </c>
      <c r="AA521" t="s">
        <v>9888</v>
      </c>
      <c r="AB521" t="s">
        <v>9889</v>
      </c>
      <c r="AC521" t="s">
        <v>74</v>
      </c>
      <c r="AD521" t="s">
        <v>74</v>
      </c>
      <c r="AE521" t="s">
        <v>74</v>
      </c>
      <c r="AF521" t="s">
        <v>74</v>
      </c>
      <c r="AG521">
        <v>12</v>
      </c>
      <c r="AH521">
        <v>0</v>
      </c>
      <c r="AI521">
        <v>0</v>
      </c>
      <c r="AJ521">
        <v>0</v>
      </c>
      <c r="AK521">
        <v>17</v>
      </c>
      <c r="AL521" t="s">
        <v>670</v>
      </c>
      <c r="AM521" t="s">
        <v>391</v>
      </c>
      <c r="AN521" t="s">
        <v>3747</v>
      </c>
      <c r="AO521" t="s">
        <v>1853</v>
      </c>
      <c r="AP521" t="s">
        <v>1854</v>
      </c>
      <c r="AQ521" t="s">
        <v>74</v>
      </c>
      <c r="AR521" t="s">
        <v>1855</v>
      </c>
      <c r="AS521" t="s">
        <v>1856</v>
      </c>
      <c r="AT521" t="s">
        <v>9169</v>
      </c>
      <c r="AU521">
        <v>2013</v>
      </c>
      <c r="AV521">
        <v>6</v>
      </c>
      <c r="AW521">
        <v>5</v>
      </c>
      <c r="AX521" t="s">
        <v>74</v>
      </c>
      <c r="AY521" t="s">
        <v>74</v>
      </c>
      <c r="AZ521" t="s">
        <v>74</v>
      </c>
      <c r="BA521" t="s">
        <v>74</v>
      </c>
      <c r="BB521">
        <v>334</v>
      </c>
      <c r="BC521">
        <v>335</v>
      </c>
      <c r="BD521" t="s">
        <v>74</v>
      </c>
      <c r="BE521" t="s">
        <v>9890</v>
      </c>
      <c r="BF521" t="str">
        <f>HYPERLINK("http://dx.doi.org/10.1038/ngeo1812","http://dx.doi.org/10.1038/ngeo1812")</f>
        <v>http://dx.doi.org/10.1038/ngeo1812</v>
      </c>
      <c r="BG521" t="s">
        <v>74</v>
      </c>
      <c r="BH521" t="s">
        <v>74</v>
      </c>
      <c r="BI521">
        <v>2</v>
      </c>
      <c r="BJ521" t="s">
        <v>1426</v>
      </c>
      <c r="BK521" t="s">
        <v>102</v>
      </c>
      <c r="BL521" t="s">
        <v>219</v>
      </c>
      <c r="BM521" t="s">
        <v>9891</v>
      </c>
      <c r="BN521" t="s">
        <v>74</v>
      </c>
      <c r="BO521" t="s">
        <v>74</v>
      </c>
      <c r="BP521" t="s">
        <v>74</v>
      </c>
      <c r="BQ521" t="s">
        <v>74</v>
      </c>
      <c r="BR521" t="s">
        <v>105</v>
      </c>
      <c r="BS521" t="s">
        <v>9892</v>
      </c>
      <c r="BT521" t="str">
        <f>HYPERLINK("https%3A%2F%2Fwww.webofscience.com%2Fwos%2Fwoscc%2Ffull-record%2FWOS:000318227000008","View Full Record in Web of Science")</f>
        <v>View Full Record in Web of Science</v>
      </c>
    </row>
    <row r="522" spans="1:72" x14ac:dyDescent="0.15">
      <c r="A522" t="s">
        <v>72</v>
      </c>
      <c r="B522" t="s">
        <v>9893</v>
      </c>
      <c r="C522" t="s">
        <v>74</v>
      </c>
      <c r="D522" t="s">
        <v>74</v>
      </c>
      <c r="E522" t="s">
        <v>74</v>
      </c>
      <c r="F522" t="s">
        <v>9894</v>
      </c>
      <c r="G522" t="s">
        <v>74</v>
      </c>
      <c r="H522" t="s">
        <v>74</v>
      </c>
      <c r="I522" t="s">
        <v>9895</v>
      </c>
      <c r="J522" t="s">
        <v>6820</v>
      </c>
      <c r="K522" t="s">
        <v>74</v>
      </c>
      <c r="L522" t="s">
        <v>74</v>
      </c>
      <c r="M522" t="s">
        <v>78</v>
      </c>
      <c r="N522" t="s">
        <v>79</v>
      </c>
      <c r="O522" t="s">
        <v>74</v>
      </c>
      <c r="P522" t="s">
        <v>74</v>
      </c>
      <c r="Q522" t="s">
        <v>74</v>
      </c>
      <c r="R522" t="s">
        <v>74</v>
      </c>
      <c r="S522" t="s">
        <v>74</v>
      </c>
      <c r="T522" t="s">
        <v>9896</v>
      </c>
      <c r="U522" t="s">
        <v>9897</v>
      </c>
      <c r="V522" t="s">
        <v>9898</v>
      </c>
      <c r="W522" t="s">
        <v>9899</v>
      </c>
      <c r="X522" t="s">
        <v>9900</v>
      </c>
      <c r="Y522" t="s">
        <v>9901</v>
      </c>
      <c r="Z522" t="s">
        <v>9902</v>
      </c>
      <c r="AA522" t="s">
        <v>74</v>
      </c>
      <c r="AB522" t="s">
        <v>9903</v>
      </c>
      <c r="AC522" t="s">
        <v>9904</v>
      </c>
      <c r="AD522" t="s">
        <v>9905</v>
      </c>
      <c r="AE522" t="s">
        <v>9906</v>
      </c>
      <c r="AF522" t="s">
        <v>74</v>
      </c>
      <c r="AG522">
        <v>91</v>
      </c>
      <c r="AH522">
        <v>11</v>
      </c>
      <c r="AI522">
        <v>14</v>
      </c>
      <c r="AJ522">
        <v>1</v>
      </c>
      <c r="AK522">
        <v>33</v>
      </c>
      <c r="AL522" t="s">
        <v>529</v>
      </c>
      <c r="AM522" t="s">
        <v>391</v>
      </c>
      <c r="AN522" t="s">
        <v>1220</v>
      </c>
      <c r="AO522" t="s">
        <v>6833</v>
      </c>
      <c r="AP522" t="s">
        <v>8125</v>
      </c>
      <c r="AQ522" t="s">
        <v>74</v>
      </c>
      <c r="AR522" t="s">
        <v>6820</v>
      </c>
      <c r="AS522" t="s">
        <v>6834</v>
      </c>
      <c r="AT522" t="s">
        <v>9169</v>
      </c>
      <c r="AU522">
        <v>2013</v>
      </c>
      <c r="AV522">
        <v>172</v>
      </c>
      <c r="AW522">
        <v>1</v>
      </c>
      <c r="AX522" t="s">
        <v>74</v>
      </c>
      <c r="AY522" t="s">
        <v>74</v>
      </c>
      <c r="AZ522" t="s">
        <v>74</v>
      </c>
      <c r="BA522" t="s">
        <v>74</v>
      </c>
      <c r="BB522">
        <v>129</v>
      </c>
      <c r="BC522">
        <v>140</v>
      </c>
      <c r="BD522" t="s">
        <v>74</v>
      </c>
      <c r="BE522" t="s">
        <v>9907</v>
      </c>
      <c r="BF522" t="str">
        <f>HYPERLINK("http://dx.doi.org/10.1007/s00442-012-2472-z","http://dx.doi.org/10.1007/s00442-012-2472-z")</f>
        <v>http://dx.doi.org/10.1007/s00442-012-2472-z</v>
      </c>
      <c r="BG522" t="s">
        <v>74</v>
      </c>
      <c r="BH522" t="s">
        <v>74</v>
      </c>
      <c r="BI522">
        <v>12</v>
      </c>
      <c r="BJ522" t="s">
        <v>5449</v>
      </c>
      <c r="BK522" t="s">
        <v>102</v>
      </c>
      <c r="BL522" t="s">
        <v>262</v>
      </c>
      <c r="BM522" t="s">
        <v>9908</v>
      </c>
      <c r="BN522">
        <v>23053233</v>
      </c>
      <c r="BO522" t="s">
        <v>74</v>
      </c>
      <c r="BP522" t="s">
        <v>74</v>
      </c>
      <c r="BQ522" t="s">
        <v>74</v>
      </c>
      <c r="BR522" t="s">
        <v>105</v>
      </c>
      <c r="BS522" t="s">
        <v>9909</v>
      </c>
      <c r="BT522" t="str">
        <f>HYPERLINK("https%3A%2F%2Fwww.webofscience.com%2Fwos%2Fwoscc%2Ffull-record%2FWOS:000317686800012","View Full Record in Web of Science")</f>
        <v>View Full Record in Web of Science</v>
      </c>
    </row>
    <row r="523" spans="1:72" x14ac:dyDescent="0.15">
      <c r="A523" t="s">
        <v>72</v>
      </c>
      <c r="B523" t="s">
        <v>9910</v>
      </c>
      <c r="C523" t="s">
        <v>74</v>
      </c>
      <c r="D523" t="s">
        <v>74</v>
      </c>
      <c r="E523" t="s">
        <v>74</v>
      </c>
      <c r="F523" t="s">
        <v>9911</v>
      </c>
      <c r="G523" t="s">
        <v>74</v>
      </c>
      <c r="H523" t="s">
        <v>74</v>
      </c>
      <c r="I523" t="s">
        <v>9912</v>
      </c>
      <c r="J523" t="s">
        <v>3345</v>
      </c>
      <c r="K523" t="s">
        <v>74</v>
      </c>
      <c r="L523" t="s">
        <v>74</v>
      </c>
      <c r="M523" t="s">
        <v>78</v>
      </c>
      <c r="N523" t="s">
        <v>79</v>
      </c>
      <c r="O523" t="s">
        <v>74</v>
      </c>
      <c r="P523" t="s">
        <v>74</v>
      </c>
      <c r="Q523" t="s">
        <v>74</v>
      </c>
      <c r="R523" t="s">
        <v>74</v>
      </c>
      <c r="S523" t="s">
        <v>74</v>
      </c>
      <c r="T523" t="s">
        <v>9913</v>
      </c>
      <c r="U523" t="s">
        <v>9914</v>
      </c>
      <c r="V523" t="s">
        <v>9915</v>
      </c>
      <c r="W523" t="s">
        <v>9916</v>
      </c>
      <c r="X523" t="s">
        <v>9917</v>
      </c>
      <c r="Y523" t="s">
        <v>9918</v>
      </c>
      <c r="Z523" t="s">
        <v>9919</v>
      </c>
      <c r="AA523" t="s">
        <v>74</v>
      </c>
      <c r="AB523" t="s">
        <v>9920</v>
      </c>
      <c r="AC523" t="s">
        <v>9921</v>
      </c>
      <c r="AD523" t="s">
        <v>4623</v>
      </c>
      <c r="AE523" t="s">
        <v>9922</v>
      </c>
      <c r="AF523" t="s">
        <v>74</v>
      </c>
      <c r="AG523">
        <v>79</v>
      </c>
      <c r="AH523">
        <v>14</v>
      </c>
      <c r="AI523">
        <v>18</v>
      </c>
      <c r="AJ523">
        <v>0</v>
      </c>
      <c r="AK523">
        <v>48</v>
      </c>
      <c r="AL523" t="s">
        <v>529</v>
      </c>
      <c r="AM523" t="s">
        <v>391</v>
      </c>
      <c r="AN523" t="s">
        <v>530</v>
      </c>
      <c r="AO523" t="s">
        <v>3358</v>
      </c>
      <c r="AP523" t="s">
        <v>74</v>
      </c>
      <c r="AQ523" t="s">
        <v>74</v>
      </c>
      <c r="AR523" t="s">
        <v>3360</v>
      </c>
      <c r="AS523" t="s">
        <v>3361</v>
      </c>
      <c r="AT523" t="s">
        <v>9169</v>
      </c>
      <c r="AU523">
        <v>2013</v>
      </c>
      <c r="AV523">
        <v>36</v>
      </c>
      <c r="AW523">
        <v>5</v>
      </c>
      <c r="AX523" t="s">
        <v>74</v>
      </c>
      <c r="AY523" t="s">
        <v>74</v>
      </c>
      <c r="AZ523" t="s">
        <v>74</v>
      </c>
      <c r="BA523" t="s">
        <v>74</v>
      </c>
      <c r="BB523">
        <v>645</v>
      </c>
      <c r="BC523">
        <v>659</v>
      </c>
      <c r="BD523" t="s">
        <v>74</v>
      </c>
      <c r="BE523" t="s">
        <v>9923</v>
      </c>
      <c r="BF523" t="str">
        <f>HYPERLINK("http://dx.doi.org/10.1007/s00300-013-1291-y","http://dx.doi.org/10.1007/s00300-013-1291-y")</f>
        <v>http://dx.doi.org/10.1007/s00300-013-1291-y</v>
      </c>
      <c r="BG523" t="s">
        <v>74</v>
      </c>
      <c r="BH523" t="s">
        <v>74</v>
      </c>
      <c r="BI523">
        <v>15</v>
      </c>
      <c r="BJ523" t="s">
        <v>1158</v>
      </c>
      <c r="BK523" t="s">
        <v>102</v>
      </c>
      <c r="BL523" t="s">
        <v>1159</v>
      </c>
      <c r="BM523" t="s">
        <v>9924</v>
      </c>
      <c r="BN523" t="s">
        <v>74</v>
      </c>
      <c r="BO523" t="s">
        <v>74</v>
      </c>
      <c r="BP523" t="s">
        <v>74</v>
      </c>
      <c r="BQ523" t="s">
        <v>74</v>
      </c>
      <c r="BR523" t="s">
        <v>105</v>
      </c>
      <c r="BS523" t="s">
        <v>9925</v>
      </c>
      <c r="BT523" t="str">
        <f>HYPERLINK("https%3A%2F%2Fwww.webofscience.com%2Fwos%2Fwoscc%2Ffull-record%2FWOS:000317858500003","View Full Record in Web of Science")</f>
        <v>View Full Record in Web of Science</v>
      </c>
    </row>
    <row r="524" spans="1:72" x14ac:dyDescent="0.15">
      <c r="A524" t="s">
        <v>72</v>
      </c>
      <c r="B524" t="s">
        <v>9926</v>
      </c>
      <c r="C524" t="s">
        <v>74</v>
      </c>
      <c r="D524" t="s">
        <v>74</v>
      </c>
      <c r="E524" t="s">
        <v>74</v>
      </c>
      <c r="F524" t="s">
        <v>9927</v>
      </c>
      <c r="G524" t="s">
        <v>74</v>
      </c>
      <c r="H524" t="s">
        <v>74</v>
      </c>
      <c r="I524" t="s">
        <v>9928</v>
      </c>
      <c r="J524" t="s">
        <v>3345</v>
      </c>
      <c r="K524" t="s">
        <v>74</v>
      </c>
      <c r="L524" t="s">
        <v>74</v>
      </c>
      <c r="M524" t="s">
        <v>78</v>
      </c>
      <c r="N524" t="s">
        <v>79</v>
      </c>
      <c r="O524" t="s">
        <v>74</v>
      </c>
      <c r="P524" t="s">
        <v>74</v>
      </c>
      <c r="Q524" t="s">
        <v>74</v>
      </c>
      <c r="R524" t="s">
        <v>74</v>
      </c>
      <c r="S524" t="s">
        <v>74</v>
      </c>
      <c r="T524" t="s">
        <v>9929</v>
      </c>
      <c r="U524" t="s">
        <v>9930</v>
      </c>
      <c r="V524" t="s">
        <v>9931</v>
      </c>
      <c r="W524" t="s">
        <v>9932</v>
      </c>
      <c r="X524" t="s">
        <v>9933</v>
      </c>
      <c r="Y524" t="s">
        <v>9934</v>
      </c>
      <c r="Z524" t="s">
        <v>9935</v>
      </c>
      <c r="AA524" t="s">
        <v>9936</v>
      </c>
      <c r="AB524" t="s">
        <v>9937</v>
      </c>
      <c r="AC524" t="s">
        <v>9938</v>
      </c>
      <c r="AD524" t="s">
        <v>9939</v>
      </c>
      <c r="AE524" t="s">
        <v>9940</v>
      </c>
      <c r="AF524" t="s">
        <v>74</v>
      </c>
      <c r="AG524">
        <v>62</v>
      </c>
      <c r="AH524">
        <v>10</v>
      </c>
      <c r="AI524">
        <v>10</v>
      </c>
      <c r="AJ524">
        <v>1</v>
      </c>
      <c r="AK524">
        <v>46</v>
      </c>
      <c r="AL524" t="s">
        <v>529</v>
      </c>
      <c r="AM524" t="s">
        <v>391</v>
      </c>
      <c r="AN524" t="s">
        <v>530</v>
      </c>
      <c r="AO524" t="s">
        <v>3358</v>
      </c>
      <c r="AP524" t="s">
        <v>3359</v>
      </c>
      <c r="AQ524" t="s">
        <v>74</v>
      </c>
      <c r="AR524" t="s">
        <v>3360</v>
      </c>
      <c r="AS524" t="s">
        <v>3361</v>
      </c>
      <c r="AT524" t="s">
        <v>9169</v>
      </c>
      <c r="AU524">
        <v>2013</v>
      </c>
      <c r="AV524">
        <v>36</v>
      </c>
      <c r="AW524">
        <v>5</v>
      </c>
      <c r="AX524" t="s">
        <v>74</v>
      </c>
      <c r="AY524" t="s">
        <v>74</v>
      </c>
      <c r="AZ524" t="s">
        <v>74</v>
      </c>
      <c r="BA524" t="s">
        <v>74</v>
      </c>
      <c r="BB524">
        <v>661</v>
      </c>
      <c r="BC524">
        <v>671</v>
      </c>
      <c r="BD524" t="s">
        <v>74</v>
      </c>
      <c r="BE524" t="s">
        <v>9941</v>
      </c>
      <c r="BF524" t="str">
        <f>HYPERLINK("http://dx.doi.org/10.1007/s00300-013-1292-x","http://dx.doi.org/10.1007/s00300-013-1292-x")</f>
        <v>http://dx.doi.org/10.1007/s00300-013-1292-x</v>
      </c>
      <c r="BG524" t="s">
        <v>74</v>
      </c>
      <c r="BH524" t="s">
        <v>74</v>
      </c>
      <c r="BI524">
        <v>11</v>
      </c>
      <c r="BJ524" t="s">
        <v>1158</v>
      </c>
      <c r="BK524" t="s">
        <v>102</v>
      </c>
      <c r="BL524" t="s">
        <v>1159</v>
      </c>
      <c r="BM524" t="s">
        <v>9924</v>
      </c>
      <c r="BN524" t="s">
        <v>74</v>
      </c>
      <c r="BO524" t="s">
        <v>426</v>
      </c>
      <c r="BP524" t="s">
        <v>74</v>
      </c>
      <c r="BQ524" t="s">
        <v>74</v>
      </c>
      <c r="BR524" t="s">
        <v>105</v>
      </c>
      <c r="BS524" t="s">
        <v>9942</v>
      </c>
      <c r="BT524" t="str">
        <f>HYPERLINK("https%3A%2F%2Fwww.webofscience.com%2Fwos%2Fwoscc%2Ffull-record%2FWOS:000317858500004","View Full Record in Web of Science")</f>
        <v>View Full Record in Web of Science</v>
      </c>
    </row>
    <row r="525" spans="1:72" x14ac:dyDescent="0.15">
      <c r="A525" t="s">
        <v>72</v>
      </c>
      <c r="B525" t="s">
        <v>9943</v>
      </c>
      <c r="C525" t="s">
        <v>74</v>
      </c>
      <c r="D525" t="s">
        <v>74</v>
      </c>
      <c r="E525" t="s">
        <v>74</v>
      </c>
      <c r="F525" t="s">
        <v>9944</v>
      </c>
      <c r="G525" t="s">
        <v>74</v>
      </c>
      <c r="H525" t="s">
        <v>74</v>
      </c>
      <c r="I525" t="s">
        <v>9945</v>
      </c>
      <c r="J525" t="s">
        <v>3345</v>
      </c>
      <c r="K525" t="s">
        <v>74</v>
      </c>
      <c r="L525" t="s">
        <v>74</v>
      </c>
      <c r="M525" t="s">
        <v>78</v>
      </c>
      <c r="N525" t="s">
        <v>79</v>
      </c>
      <c r="O525" t="s">
        <v>74</v>
      </c>
      <c r="P525" t="s">
        <v>74</v>
      </c>
      <c r="Q525" t="s">
        <v>74</v>
      </c>
      <c r="R525" t="s">
        <v>74</v>
      </c>
      <c r="S525" t="s">
        <v>74</v>
      </c>
      <c r="T525" t="s">
        <v>9946</v>
      </c>
      <c r="U525" t="s">
        <v>9947</v>
      </c>
      <c r="V525" t="s">
        <v>9948</v>
      </c>
      <c r="W525" t="s">
        <v>9949</v>
      </c>
      <c r="X525" t="s">
        <v>9950</v>
      </c>
      <c r="Y525" t="s">
        <v>9951</v>
      </c>
      <c r="Z525" t="s">
        <v>9952</v>
      </c>
      <c r="AA525" t="s">
        <v>9953</v>
      </c>
      <c r="AB525" t="s">
        <v>9954</v>
      </c>
      <c r="AC525" t="s">
        <v>9955</v>
      </c>
      <c r="AD525" t="s">
        <v>9956</v>
      </c>
      <c r="AE525" t="s">
        <v>9957</v>
      </c>
      <c r="AF525" t="s">
        <v>74</v>
      </c>
      <c r="AG525">
        <v>49</v>
      </c>
      <c r="AH525">
        <v>17</v>
      </c>
      <c r="AI525">
        <v>17</v>
      </c>
      <c r="AJ525">
        <v>0</v>
      </c>
      <c r="AK525">
        <v>51</v>
      </c>
      <c r="AL525" t="s">
        <v>529</v>
      </c>
      <c r="AM525" t="s">
        <v>391</v>
      </c>
      <c r="AN525" t="s">
        <v>530</v>
      </c>
      <c r="AO525" t="s">
        <v>3358</v>
      </c>
      <c r="AP525" t="s">
        <v>3359</v>
      </c>
      <c r="AQ525" t="s">
        <v>74</v>
      </c>
      <c r="AR525" t="s">
        <v>3360</v>
      </c>
      <c r="AS525" t="s">
        <v>3361</v>
      </c>
      <c r="AT525" t="s">
        <v>9169</v>
      </c>
      <c r="AU525">
        <v>2013</v>
      </c>
      <c r="AV525">
        <v>36</v>
      </c>
      <c r="AW525">
        <v>5</v>
      </c>
      <c r="AX525" t="s">
        <v>74</v>
      </c>
      <c r="AY525" t="s">
        <v>74</v>
      </c>
      <c r="AZ525" t="s">
        <v>74</v>
      </c>
      <c r="BA525" t="s">
        <v>74</v>
      </c>
      <c r="BB525">
        <v>719</v>
      </c>
      <c r="BC525">
        <v>729</v>
      </c>
      <c r="BD525" t="s">
        <v>74</v>
      </c>
      <c r="BE525" t="s">
        <v>9958</v>
      </c>
      <c r="BF525" t="str">
        <f>HYPERLINK("http://dx.doi.org/10.1007/s00300-013-1298-4","http://dx.doi.org/10.1007/s00300-013-1298-4")</f>
        <v>http://dx.doi.org/10.1007/s00300-013-1298-4</v>
      </c>
      <c r="BG525" t="s">
        <v>74</v>
      </c>
      <c r="BH525" t="s">
        <v>74</v>
      </c>
      <c r="BI525">
        <v>11</v>
      </c>
      <c r="BJ525" t="s">
        <v>1158</v>
      </c>
      <c r="BK525" t="s">
        <v>102</v>
      </c>
      <c r="BL525" t="s">
        <v>1159</v>
      </c>
      <c r="BM525" t="s">
        <v>9924</v>
      </c>
      <c r="BN525" t="s">
        <v>74</v>
      </c>
      <c r="BO525" t="s">
        <v>1014</v>
      </c>
      <c r="BP525" t="s">
        <v>74</v>
      </c>
      <c r="BQ525" t="s">
        <v>74</v>
      </c>
      <c r="BR525" t="s">
        <v>105</v>
      </c>
      <c r="BS525" t="s">
        <v>9959</v>
      </c>
      <c r="BT525" t="str">
        <f>HYPERLINK("https%3A%2F%2Fwww.webofscience.com%2Fwos%2Fwoscc%2Ffull-record%2FWOS:000317858500008","View Full Record in Web of Science")</f>
        <v>View Full Record in Web of Science</v>
      </c>
    </row>
    <row r="526" spans="1:72" x14ac:dyDescent="0.15">
      <c r="A526" t="s">
        <v>72</v>
      </c>
      <c r="B526" t="s">
        <v>9960</v>
      </c>
      <c r="C526" t="s">
        <v>74</v>
      </c>
      <c r="D526" t="s">
        <v>74</v>
      </c>
      <c r="E526" t="s">
        <v>74</v>
      </c>
      <c r="F526" t="s">
        <v>9961</v>
      </c>
      <c r="G526" t="s">
        <v>74</v>
      </c>
      <c r="H526" t="s">
        <v>74</v>
      </c>
      <c r="I526" t="s">
        <v>9962</v>
      </c>
      <c r="J526" t="s">
        <v>3345</v>
      </c>
      <c r="K526" t="s">
        <v>74</v>
      </c>
      <c r="L526" t="s">
        <v>74</v>
      </c>
      <c r="M526" t="s">
        <v>78</v>
      </c>
      <c r="N526" t="s">
        <v>79</v>
      </c>
      <c r="O526" t="s">
        <v>74</v>
      </c>
      <c r="P526" t="s">
        <v>74</v>
      </c>
      <c r="Q526" t="s">
        <v>74</v>
      </c>
      <c r="R526" t="s">
        <v>74</v>
      </c>
      <c r="S526" t="s">
        <v>74</v>
      </c>
      <c r="T526" t="s">
        <v>9963</v>
      </c>
      <c r="U526" t="s">
        <v>9964</v>
      </c>
      <c r="V526" t="s">
        <v>9965</v>
      </c>
      <c r="W526" t="s">
        <v>9966</v>
      </c>
      <c r="X526" t="s">
        <v>9967</v>
      </c>
      <c r="Y526" t="s">
        <v>9968</v>
      </c>
      <c r="Z526" t="s">
        <v>9969</v>
      </c>
      <c r="AA526" t="s">
        <v>9970</v>
      </c>
      <c r="AB526" t="s">
        <v>9971</v>
      </c>
      <c r="AC526" t="s">
        <v>9972</v>
      </c>
      <c r="AD526" t="s">
        <v>9972</v>
      </c>
      <c r="AE526" t="s">
        <v>9973</v>
      </c>
      <c r="AF526" t="s">
        <v>74</v>
      </c>
      <c r="AG526">
        <v>18</v>
      </c>
      <c r="AH526">
        <v>19</v>
      </c>
      <c r="AI526">
        <v>20</v>
      </c>
      <c r="AJ526">
        <v>0</v>
      </c>
      <c r="AK526">
        <v>18</v>
      </c>
      <c r="AL526" t="s">
        <v>529</v>
      </c>
      <c r="AM526" t="s">
        <v>391</v>
      </c>
      <c r="AN526" t="s">
        <v>530</v>
      </c>
      <c r="AO526" t="s">
        <v>3358</v>
      </c>
      <c r="AP526" t="s">
        <v>3359</v>
      </c>
      <c r="AQ526" t="s">
        <v>74</v>
      </c>
      <c r="AR526" t="s">
        <v>3360</v>
      </c>
      <c r="AS526" t="s">
        <v>3361</v>
      </c>
      <c r="AT526" t="s">
        <v>9169</v>
      </c>
      <c r="AU526">
        <v>2013</v>
      </c>
      <c r="AV526">
        <v>36</v>
      </c>
      <c r="AW526">
        <v>5</v>
      </c>
      <c r="AX526" t="s">
        <v>74</v>
      </c>
      <c r="AY526" t="s">
        <v>74</v>
      </c>
      <c r="AZ526" t="s">
        <v>74</v>
      </c>
      <c r="BA526" t="s">
        <v>74</v>
      </c>
      <c r="BB526">
        <v>761</v>
      </c>
      <c r="BC526">
        <v>766</v>
      </c>
      <c r="BD526" t="s">
        <v>74</v>
      </c>
      <c r="BE526" t="s">
        <v>9974</v>
      </c>
      <c r="BF526" t="str">
        <f>HYPERLINK("http://dx.doi.org/10.1007/s00300-013-1300-1","http://dx.doi.org/10.1007/s00300-013-1300-1")</f>
        <v>http://dx.doi.org/10.1007/s00300-013-1300-1</v>
      </c>
      <c r="BG526" t="s">
        <v>74</v>
      </c>
      <c r="BH526" t="s">
        <v>74</v>
      </c>
      <c r="BI526">
        <v>6</v>
      </c>
      <c r="BJ526" t="s">
        <v>1158</v>
      </c>
      <c r="BK526" t="s">
        <v>102</v>
      </c>
      <c r="BL526" t="s">
        <v>1159</v>
      </c>
      <c r="BM526" t="s">
        <v>9924</v>
      </c>
      <c r="BN526" t="s">
        <v>74</v>
      </c>
      <c r="BO526" t="s">
        <v>74</v>
      </c>
      <c r="BP526" t="s">
        <v>74</v>
      </c>
      <c r="BQ526" t="s">
        <v>74</v>
      </c>
      <c r="BR526" t="s">
        <v>105</v>
      </c>
      <c r="BS526" t="s">
        <v>9975</v>
      </c>
      <c r="BT526" t="str">
        <f>HYPERLINK("https%3A%2F%2Fwww.webofscience.com%2Fwos%2Fwoscc%2Ffull-record%2FWOS:000317858500011","View Full Record in Web of Science")</f>
        <v>View Full Record in Web of Science</v>
      </c>
    </row>
    <row r="527" spans="1:72" x14ac:dyDescent="0.15">
      <c r="A527" t="s">
        <v>72</v>
      </c>
      <c r="B527" t="s">
        <v>9976</v>
      </c>
      <c r="C527" t="s">
        <v>74</v>
      </c>
      <c r="D527" t="s">
        <v>74</v>
      </c>
      <c r="E527" t="s">
        <v>74</v>
      </c>
      <c r="F527" t="s">
        <v>9977</v>
      </c>
      <c r="G527" t="s">
        <v>74</v>
      </c>
      <c r="H527" t="s">
        <v>74</v>
      </c>
      <c r="I527" t="s">
        <v>9978</v>
      </c>
      <c r="J527" t="s">
        <v>9979</v>
      </c>
      <c r="K527" t="s">
        <v>74</v>
      </c>
      <c r="L527" t="s">
        <v>74</v>
      </c>
      <c r="M527" t="s">
        <v>78</v>
      </c>
      <c r="N527" t="s">
        <v>79</v>
      </c>
      <c r="O527" t="s">
        <v>74</v>
      </c>
      <c r="P527" t="s">
        <v>74</v>
      </c>
      <c r="Q527" t="s">
        <v>74</v>
      </c>
      <c r="R527" t="s">
        <v>74</v>
      </c>
      <c r="S527" t="s">
        <v>74</v>
      </c>
      <c r="T527" t="s">
        <v>9980</v>
      </c>
      <c r="U527" t="s">
        <v>9981</v>
      </c>
      <c r="V527" t="s">
        <v>9982</v>
      </c>
      <c r="W527" t="s">
        <v>9983</v>
      </c>
      <c r="X527" t="s">
        <v>9984</v>
      </c>
      <c r="Y527" t="s">
        <v>9985</v>
      </c>
      <c r="Z527" t="s">
        <v>9986</v>
      </c>
      <c r="AA527" t="s">
        <v>9987</v>
      </c>
      <c r="AB527" t="s">
        <v>9988</v>
      </c>
      <c r="AC527" t="s">
        <v>9989</v>
      </c>
      <c r="AD527" t="s">
        <v>9990</v>
      </c>
      <c r="AE527" t="s">
        <v>9991</v>
      </c>
      <c r="AF527" t="s">
        <v>74</v>
      </c>
      <c r="AG527">
        <v>74</v>
      </c>
      <c r="AH527">
        <v>244</v>
      </c>
      <c r="AI527">
        <v>285</v>
      </c>
      <c r="AJ527">
        <v>6</v>
      </c>
      <c r="AK527">
        <v>140</v>
      </c>
      <c r="AL527" t="s">
        <v>212</v>
      </c>
      <c r="AM527" t="s">
        <v>213</v>
      </c>
      <c r="AN527" t="s">
        <v>214</v>
      </c>
      <c r="AO527" t="s">
        <v>9992</v>
      </c>
      <c r="AP527" t="s">
        <v>9993</v>
      </c>
      <c r="AQ527" t="s">
        <v>74</v>
      </c>
      <c r="AR527" t="s">
        <v>9994</v>
      </c>
      <c r="AS527" t="s">
        <v>9995</v>
      </c>
      <c r="AT527" t="s">
        <v>9169</v>
      </c>
      <c r="AU527">
        <v>2013</v>
      </c>
      <c r="AV527">
        <v>30</v>
      </c>
      <c r="AW527">
        <v>3</v>
      </c>
      <c r="AX527" t="s">
        <v>74</v>
      </c>
      <c r="AY527" t="s">
        <v>74</v>
      </c>
      <c r="AZ527" t="s">
        <v>74</v>
      </c>
      <c r="BA527" t="s">
        <v>74</v>
      </c>
      <c r="BB527">
        <v>543</v>
      </c>
      <c r="BC527">
        <v>560</v>
      </c>
      <c r="BD527" t="s">
        <v>74</v>
      </c>
      <c r="BE527" t="s">
        <v>9996</v>
      </c>
      <c r="BF527" t="str">
        <f>HYPERLINK("http://dx.doi.org/10.1007/s00376-012-2140-6","http://dx.doi.org/10.1007/s00376-012-2140-6")</f>
        <v>http://dx.doi.org/10.1007/s00376-012-2140-6</v>
      </c>
      <c r="BG527" t="s">
        <v>74</v>
      </c>
      <c r="BH527" t="s">
        <v>74</v>
      </c>
      <c r="BI527">
        <v>18</v>
      </c>
      <c r="BJ527" t="s">
        <v>305</v>
      </c>
      <c r="BK527" t="s">
        <v>102</v>
      </c>
      <c r="BL527" t="s">
        <v>305</v>
      </c>
      <c r="BM527" t="s">
        <v>9997</v>
      </c>
      <c r="BN527" t="s">
        <v>74</v>
      </c>
      <c r="BO527" t="s">
        <v>74</v>
      </c>
      <c r="BP527" t="s">
        <v>74</v>
      </c>
      <c r="BQ527" t="s">
        <v>74</v>
      </c>
      <c r="BR527" t="s">
        <v>105</v>
      </c>
      <c r="BS527" t="s">
        <v>9998</v>
      </c>
      <c r="BT527" t="str">
        <f>HYPERLINK("https%3A%2F%2Fwww.webofscience.com%2Fwos%2Fwoscc%2Ffull-record%2FWOS:000317779000002","View Full Record in Web of Science")</f>
        <v>View Full Record in Web of Science</v>
      </c>
    </row>
    <row r="528" spans="1:72" x14ac:dyDescent="0.15">
      <c r="A528" t="s">
        <v>72</v>
      </c>
      <c r="B528" t="s">
        <v>9999</v>
      </c>
      <c r="C528" t="s">
        <v>74</v>
      </c>
      <c r="D528" t="s">
        <v>74</v>
      </c>
      <c r="E528" t="s">
        <v>74</v>
      </c>
      <c r="F528" t="s">
        <v>10000</v>
      </c>
      <c r="G528" t="s">
        <v>74</v>
      </c>
      <c r="H528" t="s">
        <v>74</v>
      </c>
      <c r="I528" t="s">
        <v>10001</v>
      </c>
      <c r="J528" t="s">
        <v>9979</v>
      </c>
      <c r="K528" t="s">
        <v>74</v>
      </c>
      <c r="L528" t="s">
        <v>74</v>
      </c>
      <c r="M528" t="s">
        <v>78</v>
      </c>
      <c r="N528" t="s">
        <v>79</v>
      </c>
      <c r="O528" t="s">
        <v>74</v>
      </c>
      <c r="P528" t="s">
        <v>74</v>
      </c>
      <c r="Q528" t="s">
        <v>74</v>
      </c>
      <c r="R528" t="s">
        <v>74</v>
      </c>
      <c r="S528" t="s">
        <v>74</v>
      </c>
      <c r="T528" t="s">
        <v>10002</v>
      </c>
      <c r="U528" t="s">
        <v>10003</v>
      </c>
      <c r="V528" t="s">
        <v>10004</v>
      </c>
      <c r="W528" t="s">
        <v>10005</v>
      </c>
      <c r="X528" t="s">
        <v>10006</v>
      </c>
      <c r="Y528" t="s">
        <v>9985</v>
      </c>
      <c r="Z528" t="s">
        <v>9986</v>
      </c>
      <c r="AA528" t="s">
        <v>10007</v>
      </c>
      <c r="AB528" t="s">
        <v>10008</v>
      </c>
      <c r="AC528" t="s">
        <v>10009</v>
      </c>
      <c r="AD528" t="s">
        <v>10010</v>
      </c>
      <c r="AE528" t="s">
        <v>10011</v>
      </c>
      <c r="AF528" t="s">
        <v>74</v>
      </c>
      <c r="AG528">
        <v>38</v>
      </c>
      <c r="AH528">
        <v>8</v>
      </c>
      <c r="AI528">
        <v>10</v>
      </c>
      <c r="AJ528">
        <v>1</v>
      </c>
      <c r="AK528">
        <v>33</v>
      </c>
      <c r="AL528" t="s">
        <v>212</v>
      </c>
      <c r="AM528" t="s">
        <v>213</v>
      </c>
      <c r="AN528" t="s">
        <v>214</v>
      </c>
      <c r="AO528" t="s">
        <v>9992</v>
      </c>
      <c r="AP528" t="s">
        <v>9993</v>
      </c>
      <c r="AQ528" t="s">
        <v>74</v>
      </c>
      <c r="AR528" t="s">
        <v>9994</v>
      </c>
      <c r="AS528" t="s">
        <v>9995</v>
      </c>
      <c r="AT528" t="s">
        <v>9169</v>
      </c>
      <c r="AU528">
        <v>2013</v>
      </c>
      <c r="AV528">
        <v>30</v>
      </c>
      <c r="AW528">
        <v>3</v>
      </c>
      <c r="AX528" t="s">
        <v>74</v>
      </c>
      <c r="AY528" t="s">
        <v>74</v>
      </c>
      <c r="AZ528" t="s">
        <v>74</v>
      </c>
      <c r="BA528" t="s">
        <v>74</v>
      </c>
      <c r="BB528">
        <v>658</v>
      </c>
      <c r="BC528">
        <v>673</v>
      </c>
      <c r="BD528" t="s">
        <v>74</v>
      </c>
      <c r="BE528" t="s">
        <v>10012</v>
      </c>
      <c r="BF528" t="str">
        <f>HYPERLINK("http://dx.doi.org/10.1007/s00376-013-2158-4","http://dx.doi.org/10.1007/s00376-013-2158-4")</f>
        <v>http://dx.doi.org/10.1007/s00376-013-2158-4</v>
      </c>
      <c r="BG528" t="s">
        <v>74</v>
      </c>
      <c r="BH528" t="s">
        <v>74</v>
      </c>
      <c r="BI528">
        <v>16</v>
      </c>
      <c r="BJ528" t="s">
        <v>305</v>
      </c>
      <c r="BK528" t="s">
        <v>102</v>
      </c>
      <c r="BL528" t="s">
        <v>305</v>
      </c>
      <c r="BM528" t="s">
        <v>9997</v>
      </c>
      <c r="BN528" t="s">
        <v>74</v>
      </c>
      <c r="BO528" t="s">
        <v>74</v>
      </c>
      <c r="BP528" t="s">
        <v>74</v>
      </c>
      <c r="BQ528" t="s">
        <v>74</v>
      </c>
      <c r="BR528" t="s">
        <v>105</v>
      </c>
      <c r="BS528" t="s">
        <v>10013</v>
      </c>
      <c r="BT528" t="str">
        <f>HYPERLINK("https%3A%2F%2Fwww.webofscience.com%2Fwos%2Fwoscc%2Ffull-record%2FWOS:000317779000009","View Full Record in Web of Science")</f>
        <v>View Full Record in Web of Science</v>
      </c>
    </row>
    <row r="529" spans="1:72" x14ac:dyDescent="0.15">
      <c r="A529" t="s">
        <v>72</v>
      </c>
      <c r="B529" t="s">
        <v>10014</v>
      </c>
      <c r="C529" t="s">
        <v>74</v>
      </c>
      <c r="D529" t="s">
        <v>74</v>
      </c>
      <c r="E529" t="s">
        <v>74</v>
      </c>
      <c r="F529" t="s">
        <v>10015</v>
      </c>
      <c r="G529" t="s">
        <v>74</v>
      </c>
      <c r="H529" t="s">
        <v>74</v>
      </c>
      <c r="I529" t="s">
        <v>10016</v>
      </c>
      <c r="J529" t="s">
        <v>9979</v>
      </c>
      <c r="K529" t="s">
        <v>74</v>
      </c>
      <c r="L529" t="s">
        <v>74</v>
      </c>
      <c r="M529" t="s">
        <v>78</v>
      </c>
      <c r="N529" t="s">
        <v>79</v>
      </c>
      <c r="O529" t="s">
        <v>74</v>
      </c>
      <c r="P529" t="s">
        <v>74</v>
      </c>
      <c r="Q529" t="s">
        <v>74</v>
      </c>
      <c r="R529" t="s">
        <v>74</v>
      </c>
      <c r="S529" t="s">
        <v>74</v>
      </c>
      <c r="T529" t="s">
        <v>10017</v>
      </c>
      <c r="U529" t="s">
        <v>10018</v>
      </c>
      <c r="V529" t="s">
        <v>10019</v>
      </c>
      <c r="W529" t="s">
        <v>10020</v>
      </c>
      <c r="X529" t="s">
        <v>10021</v>
      </c>
      <c r="Y529" t="s">
        <v>10022</v>
      </c>
      <c r="Z529" t="s">
        <v>10023</v>
      </c>
      <c r="AA529" t="s">
        <v>10024</v>
      </c>
      <c r="AB529" t="s">
        <v>10025</v>
      </c>
      <c r="AC529" t="s">
        <v>10026</v>
      </c>
      <c r="AD529" t="s">
        <v>10027</v>
      </c>
      <c r="AE529" t="s">
        <v>10028</v>
      </c>
      <c r="AF529" t="s">
        <v>74</v>
      </c>
      <c r="AG529">
        <v>67</v>
      </c>
      <c r="AH529">
        <v>7</v>
      </c>
      <c r="AI529">
        <v>9</v>
      </c>
      <c r="AJ529">
        <v>1</v>
      </c>
      <c r="AK529">
        <v>24</v>
      </c>
      <c r="AL529" t="s">
        <v>212</v>
      </c>
      <c r="AM529" t="s">
        <v>213</v>
      </c>
      <c r="AN529" t="s">
        <v>214</v>
      </c>
      <c r="AO529" t="s">
        <v>9992</v>
      </c>
      <c r="AP529" t="s">
        <v>9993</v>
      </c>
      <c r="AQ529" t="s">
        <v>74</v>
      </c>
      <c r="AR529" t="s">
        <v>9994</v>
      </c>
      <c r="AS529" t="s">
        <v>9995</v>
      </c>
      <c r="AT529" t="s">
        <v>9169</v>
      </c>
      <c r="AU529">
        <v>2013</v>
      </c>
      <c r="AV529">
        <v>30</v>
      </c>
      <c r="AW529">
        <v>3</v>
      </c>
      <c r="AX529" t="s">
        <v>74</v>
      </c>
      <c r="AY529" t="s">
        <v>74</v>
      </c>
      <c r="AZ529" t="s">
        <v>74</v>
      </c>
      <c r="BA529" t="s">
        <v>74</v>
      </c>
      <c r="BB529">
        <v>699</v>
      </c>
      <c r="BC529">
        <v>712</v>
      </c>
      <c r="BD529" t="s">
        <v>74</v>
      </c>
      <c r="BE529" t="s">
        <v>10029</v>
      </c>
      <c r="BF529" t="str">
        <f>HYPERLINK("http://dx.doi.org/10.1007/s00376-013-2178-0","http://dx.doi.org/10.1007/s00376-013-2178-0")</f>
        <v>http://dx.doi.org/10.1007/s00376-013-2178-0</v>
      </c>
      <c r="BG529" t="s">
        <v>74</v>
      </c>
      <c r="BH529" t="s">
        <v>74</v>
      </c>
      <c r="BI529">
        <v>14</v>
      </c>
      <c r="BJ529" t="s">
        <v>305</v>
      </c>
      <c r="BK529" t="s">
        <v>102</v>
      </c>
      <c r="BL529" t="s">
        <v>305</v>
      </c>
      <c r="BM529" t="s">
        <v>9997</v>
      </c>
      <c r="BN529" t="s">
        <v>74</v>
      </c>
      <c r="BO529" t="s">
        <v>74</v>
      </c>
      <c r="BP529" t="s">
        <v>74</v>
      </c>
      <c r="BQ529" t="s">
        <v>74</v>
      </c>
      <c r="BR529" t="s">
        <v>105</v>
      </c>
      <c r="BS529" t="s">
        <v>10030</v>
      </c>
      <c r="BT529" t="str">
        <f>HYPERLINK("https%3A%2F%2Fwww.webofscience.com%2Fwos%2Fwoscc%2Ffull-record%2FWOS:000317779000012","View Full Record in Web of Science")</f>
        <v>View Full Record in Web of Science</v>
      </c>
    </row>
    <row r="530" spans="1:72" x14ac:dyDescent="0.15">
      <c r="A530" t="s">
        <v>72</v>
      </c>
      <c r="B530" t="s">
        <v>10031</v>
      </c>
      <c r="C530" t="s">
        <v>74</v>
      </c>
      <c r="D530" t="s">
        <v>74</v>
      </c>
      <c r="E530" t="s">
        <v>74</v>
      </c>
      <c r="F530" t="s">
        <v>10032</v>
      </c>
      <c r="G530" t="s">
        <v>74</v>
      </c>
      <c r="H530" t="s">
        <v>74</v>
      </c>
      <c r="I530" t="s">
        <v>10033</v>
      </c>
      <c r="J530" t="s">
        <v>9979</v>
      </c>
      <c r="K530" t="s">
        <v>74</v>
      </c>
      <c r="L530" t="s">
        <v>74</v>
      </c>
      <c r="M530" t="s">
        <v>78</v>
      </c>
      <c r="N530" t="s">
        <v>79</v>
      </c>
      <c r="O530" t="s">
        <v>74</v>
      </c>
      <c r="P530" t="s">
        <v>74</v>
      </c>
      <c r="Q530" t="s">
        <v>74</v>
      </c>
      <c r="R530" t="s">
        <v>74</v>
      </c>
      <c r="S530" t="s">
        <v>74</v>
      </c>
      <c r="T530" t="s">
        <v>10034</v>
      </c>
      <c r="U530" t="s">
        <v>10035</v>
      </c>
      <c r="V530" t="s">
        <v>10036</v>
      </c>
      <c r="W530" t="s">
        <v>10037</v>
      </c>
      <c r="X530" t="s">
        <v>10038</v>
      </c>
      <c r="Y530" t="s">
        <v>10039</v>
      </c>
      <c r="Z530" t="s">
        <v>10040</v>
      </c>
      <c r="AA530" t="s">
        <v>10041</v>
      </c>
      <c r="AB530" t="s">
        <v>10042</v>
      </c>
      <c r="AC530" t="s">
        <v>10043</v>
      </c>
      <c r="AD530" t="s">
        <v>10044</v>
      </c>
      <c r="AE530" t="s">
        <v>10045</v>
      </c>
      <c r="AF530" t="s">
        <v>74</v>
      </c>
      <c r="AG530">
        <v>63</v>
      </c>
      <c r="AH530">
        <v>19</v>
      </c>
      <c r="AI530">
        <v>23</v>
      </c>
      <c r="AJ530">
        <v>0</v>
      </c>
      <c r="AK530">
        <v>24</v>
      </c>
      <c r="AL530" t="s">
        <v>212</v>
      </c>
      <c r="AM530" t="s">
        <v>213</v>
      </c>
      <c r="AN530" t="s">
        <v>214</v>
      </c>
      <c r="AO530" t="s">
        <v>9992</v>
      </c>
      <c r="AP530" t="s">
        <v>9993</v>
      </c>
      <c r="AQ530" t="s">
        <v>74</v>
      </c>
      <c r="AR530" t="s">
        <v>9994</v>
      </c>
      <c r="AS530" t="s">
        <v>9995</v>
      </c>
      <c r="AT530" t="s">
        <v>9169</v>
      </c>
      <c r="AU530">
        <v>2013</v>
      </c>
      <c r="AV530">
        <v>30</v>
      </c>
      <c r="AW530">
        <v>3</v>
      </c>
      <c r="AX530" t="s">
        <v>74</v>
      </c>
      <c r="AY530" t="s">
        <v>74</v>
      </c>
      <c r="AZ530" t="s">
        <v>74</v>
      </c>
      <c r="BA530" t="s">
        <v>74</v>
      </c>
      <c r="BB530">
        <v>819</v>
      </c>
      <c r="BC530">
        <v>840</v>
      </c>
      <c r="BD530" t="s">
        <v>74</v>
      </c>
      <c r="BE530" t="s">
        <v>10046</v>
      </c>
      <c r="BF530" t="str">
        <f>HYPERLINK("http://dx.doi.org/10.1007/s00376-012-2137-1","http://dx.doi.org/10.1007/s00376-012-2137-1")</f>
        <v>http://dx.doi.org/10.1007/s00376-012-2137-1</v>
      </c>
      <c r="BG530" t="s">
        <v>74</v>
      </c>
      <c r="BH530" t="s">
        <v>74</v>
      </c>
      <c r="BI530">
        <v>22</v>
      </c>
      <c r="BJ530" t="s">
        <v>305</v>
      </c>
      <c r="BK530" t="s">
        <v>102</v>
      </c>
      <c r="BL530" t="s">
        <v>305</v>
      </c>
      <c r="BM530" t="s">
        <v>9997</v>
      </c>
      <c r="BN530" t="s">
        <v>74</v>
      </c>
      <c r="BO530" t="s">
        <v>74</v>
      </c>
      <c r="BP530" t="s">
        <v>74</v>
      </c>
      <c r="BQ530" t="s">
        <v>74</v>
      </c>
      <c r="BR530" t="s">
        <v>105</v>
      </c>
      <c r="BS530" t="s">
        <v>10047</v>
      </c>
      <c r="BT530" t="str">
        <f>HYPERLINK("https%3A%2F%2Fwww.webofscience.com%2Fwos%2Fwoscc%2Ffull-record%2FWOS:000317779000022","View Full Record in Web of Science")</f>
        <v>View Full Record in Web of Science</v>
      </c>
    </row>
    <row r="531" spans="1:72" x14ac:dyDescent="0.15">
      <c r="A531" t="s">
        <v>72</v>
      </c>
      <c r="B531" t="s">
        <v>10048</v>
      </c>
      <c r="C531" t="s">
        <v>74</v>
      </c>
      <c r="D531" t="s">
        <v>74</v>
      </c>
      <c r="E531" t="s">
        <v>74</v>
      </c>
      <c r="F531" t="s">
        <v>10049</v>
      </c>
      <c r="G531" t="s">
        <v>74</v>
      </c>
      <c r="H531" t="s">
        <v>74</v>
      </c>
      <c r="I531" t="s">
        <v>10050</v>
      </c>
      <c r="J531" t="s">
        <v>10051</v>
      </c>
      <c r="K531" t="s">
        <v>74</v>
      </c>
      <c r="L531" t="s">
        <v>74</v>
      </c>
      <c r="M531" t="s">
        <v>78</v>
      </c>
      <c r="N531" t="s">
        <v>79</v>
      </c>
      <c r="O531" t="s">
        <v>74</v>
      </c>
      <c r="P531" t="s">
        <v>74</v>
      </c>
      <c r="Q531" t="s">
        <v>74</v>
      </c>
      <c r="R531" t="s">
        <v>74</v>
      </c>
      <c r="S531" t="s">
        <v>74</v>
      </c>
      <c r="T531" t="s">
        <v>10052</v>
      </c>
      <c r="U531" t="s">
        <v>10053</v>
      </c>
      <c r="V531" t="s">
        <v>10054</v>
      </c>
      <c r="W531" t="s">
        <v>10055</v>
      </c>
      <c r="X531" t="s">
        <v>10056</v>
      </c>
      <c r="Y531" t="s">
        <v>10057</v>
      </c>
      <c r="Z531" t="s">
        <v>10058</v>
      </c>
      <c r="AA531" t="s">
        <v>10059</v>
      </c>
      <c r="AB531" t="s">
        <v>10060</v>
      </c>
      <c r="AC531" t="s">
        <v>10061</v>
      </c>
      <c r="AD531" t="s">
        <v>10062</v>
      </c>
      <c r="AE531" t="s">
        <v>10063</v>
      </c>
      <c r="AF531" t="s">
        <v>74</v>
      </c>
      <c r="AG531">
        <v>15</v>
      </c>
      <c r="AH531">
        <v>8</v>
      </c>
      <c r="AI531">
        <v>9</v>
      </c>
      <c r="AJ531">
        <v>0</v>
      </c>
      <c r="AK531">
        <v>5</v>
      </c>
      <c r="AL531" t="s">
        <v>195</v>
      </c>
      <c r="AM531" t="s">
        <v>155</v>
      </c>
      <c r="AN531" t="s">
        <v>196</v>
      </c>
      <c r="AO531" t="s">
        <v>10064</v>
      </c>
      <c r="AP531" t="s">
        <v>10065</v>
      </c>
      <c r="AQ531" t="s">
        <v>74</v>
      </c>
      <c r="AR531" t="s">
        <v>10066</v>
      </c>
      <c r="AS531" t="s">
        <v>10067</v>
      </c>
      <c r="AT531" t="s">
        <v>9169</v>
      </c>
      <c r="AU531">
        <v>2013</v>
      </c>
      <c r="AV531">
        <v>58</v>
      </c>
      <c r="AW531" t="s">
        <v>74</v>
      </c>
      <c r="AX531" t="s">
        <v>74</v>
      </c>
      <c r="AY531" t="s">
        <v>74</v>
      </c>
      <c r="AZ531" t="s">
        <v>74</v>
      </c>
      <c r="BA531" t="s">
        <v>74</v>
      </c>
      <c r="BB531">
        <v>64</v>
      </c>
      <c r="BC531">
        <v>68</v>
      </c>
      <c r="BD531" t="s">
        <v>74</v>
      </c>
      <c r="BE531" t="s">
        <v>10068</v>
      </c>
      <c r="BF531" t="str">
        <f>HYPERLINK("http://dx.doi.org/10.1016/j.infrared.2013.01.009","http://dx.doi.org/10.1016/j.infrared.2013.01.009")</f>
        <v>http://dx.doi.org/10.1016/j.infrared.2013.01.009</v>
      </c>
      <c r="BG531" t="s">
        <v>74</v>
      </c>
      <c r="BH531" t="s">
        <v>74</v>
      </c>
      <c r="BI531">
        <v>5</v>
      </c>
      <c r="BJ531" t="s">
        <v>10069</v>
      </c>
      <c r="BK531" t="s">
        <v>102</v>
      </c>
      <c r="BL531" t="s">
        <v>10070</v>
      </c>
      <c r="BM531" t="s">
        <v>10071</v>
      </c>
      <c r="BN531" t="s">
        <v>74</v>
      </c>
      <c r="BO531" t="s">
        <v>1014</v>
      </c>
      <c r="BP531" t="s">
        <v>74</v>
      </c>
      <c r="BQ531" t="s">
        <v>74</v>
      </c>
      <c r="BR531" t="s">
        <v>105</v>
      </c>
      <c r="BS531" t="s">
        <v>10072</v>
      </c>
      <c r="BT531" t="str">
        <f>HYPERLINK("https%3A%2F%2Fwww.webofscience.com%2Fwos%2Fwoscc%2Ffull-record%2FWOS:000318135000011","View Full Record in Web of Science")</f>
        <v>View Full Record in Web of Science</v>
      </c>
    </row>
    <row r="532" spans="1:72" x14ac:dyDescent="0.15">
      <c r="A532" t="s">
        <v>72</v>
      </c>
      <c r="B532" t="s">
        <v>10073</v>
      </c>
      <c r="C532" t="s">
        <v>74</v>
      </c>
      <c r="D532" t="s">
        <v>74</v>
      </c>
      <c r="E532" t="s">
        <v>74</v>
      </c>
      <c r="F532" t="s">
        <v>10074</v>
      </c>
      <c r="G532" t="s">
        <v>74</v>
      </c>
      <c r="H532" t="s">
        <v>74</v>
      </c>
      <c r="I532" t="s">
        <v>10075</v>
      </c>
      <c r="J532" t="s">
        <v>10076</v>
      </c>
      <c r="K532" t="s">
        <v>74</v>
      </c>
      <c r="L532" t="s">
        <v>74</v>
      </c>
      <c r="M532" t="s">
        <v>78</v>
      </c>
      <c r="N532" t="s">
        <v>79</v>
      </c>
      <c r="O532" t="s">
        <v>74</v>
      </c>
      <c r="P532" t="s">
        <v>74</v>
      </c>
      <c r="Q532" t="s">
        <v>74</v>
      </c>
      <c r="R532" t="s">
        <v>74</v>
      </c>
      <c r="S532" t="s">
        <v>74</v>
      </c>
      <c r="T532" t="s">
        <v>10077</v>
      </c>
      <c r="U532" t="s">
        <v>10078</v>
      </c>
      <c r="V532" t="s">
        <v>10079</v>
      </c>
      <c r="W532" t="s">
        <v>10080</v>
      </c>
      <c r="X532" t="s">
        <v>74</v>
      </c>
      <c r="Y532" t="s">
        <v>10081</v>
      </c>
      <c r="Z532" t="s">
        <v>10082</v>
      </c>
      <c r="AA532" t="s">
        <v>10083</v>
      </c>
      <c r="AB532" t="s">
        <v>10084</v>
      </c>
      <c r="AC532" t="s">
        <v>10085</v>
      </c>
      <c r="AD532" t="s">
        <v>10085</v>
      </c>
      <c r="AE532" t="s">
        <v>10086</v>
      </c>
      <c r="AF532" t="s">
        <v>74</v>
      </c>
      <c r="AG532">
        <v>52</v>
      </c>
      <c r="AH532">
        <v>34</v>
      </c>
      <c r="AI532">
        <v>40</v>
      </c>
      <c r="AJ532">
        <v>0</v>
      </c>
      <c r="AK532">
        <v>49</v>
      </c>
      <c r="AL532" t="s">
        <v>368</v>
      </c>
      <c r="AM532" t="s">
        <v>369</v>
      </c>
      <c r="AN532" t="s">
        <v>370</v>
      </c>
      <c r="AO532" t="s">
        <v>10087</v>
      </c>
      <c r="AP532" t="s">
        <v>10088</v>
      </c>
      <c r="AQ532" t="s">
        <v>74</v>
      </c>
      <c r="AR532" t="s">
        <v>10089</v>
      </c>
      <c r="AS532" t="s">
        <v>10090</v>
      </c>
      <c r="AT532" t="s">
        <v>9169</v>
      </c>
      <c r="AU532">
        <v>2013</v>
      </c>
      <c r="AV532">
        <v>290</v>
      </c>
      <c r="AW532">
        <v>1</v>
      </c>
      <c r="AX532" t="s">
        <v>74</v>
      </c>
      <c r="AY532" t="s">
        <v>74</v>
      </c>
      <c r="AZ532" t="s">
        <v>74</v>
      </c>
      <c r="BA532" t="s">
        <v>74</v>
      </c>
      <c r="BB532">
        <v>35</v>
      </c>
      <c r="BC532">
        <v>41</v>
      </c>
      <c r="BD532" t="s">
        <v>74</v>
      </c>
      <c r="BE532" t="s">
        <v>10091</v>
      </c>
      <c r="BF532" t="str">
        <f>HYPERLINK("http://dx.doi.org/10.1111/jzo.12009","http://dx.doi.org/10.1111/jzo.12009")</f>
        <v>http://dx.doi.org/10.1111/jzo.12009</v>
      </c>
      <c r="BG532" t="s">
        <v>74</v>
      </c>
      <c r="BH532" t="s">
        <v>74</v>
      </c>
      <c r="BI532">
        <v>7</v>
      </c>
      <c r="BJ532" t="s">
        <v>2120</v>
      </c>
      <c r="BK532" t="s">
        <v>102</v>
      </c>
      <c r="BL532" t="s">
        <v>2120</v>
      </c>
      <c r="BM532" t="s">
        <v>10092</v>
      </c>
      <c r="BN532" t="s">
        <v>74</v>
      </c>
      <c r="BO532" t="s">
        <v>74</v>
      </c>
      <c r="BP532" t="s">
        <v>74</v>
      </c>
      <c r="BQ532" t="s">
        <v>74</v>
      </c>
      <c r="BR532" t="s">
        <v>105</v>
      </c>
      <c r="BS532" t="s">
        <v>10093</v>
      </c>
      <c r="BT532" t="str">
        <f>HYPERLINK("https%3A%2F%2Fwww.webofscience.com%2Fwos%2Fwoscc%2Ffull-record%2FWOS:000318241300005","View Full Record in Web of Science")</f>
        <v>View Full Record in Web of Science</v>
      </c>
    </row>
    <row r="533" spans="1:72" x14ac:dyDescent="0.15">
      <c r="A533" t="s">
        <v>72</v>
      </c>
      <c r="B533" t="s">
        <v>10094</v>
      </c>
      <c r="C533" t="s">
        <v>74</v>
      </c>
      <c r="D533" t="s">
        <v>74</v>
      </c>
      <c r="E533" t="s">
        <v>74</v>
      </c>
      <c r="F533" t="s">
        <v>10095</v>
      </c>
      <c r="G533" t="s">
        <v>74</v>
      </c>
      <c r="H533" t="s">
        <v>74</v>
      </c>
      <c r="I533" t="s">
        <v>10096</v>
      </c>
      <c r="J533" t="s">
        <v>582</v>
      </c>
      <c r="K533" t="s">
        <v>74</v>
      </c>
      <c r="L533" t="s">
        <v>74</v>
      </c>
      <c r="M533" t="s">
        <v>78</v>
      </c>
      <c r="N533" t="s">
        <v>79</v>
      </c>
      <c r="O533" t="s">
        <v>74</v>
      </c>
      <c r="P533" t="s">
        <v>74</v>
      </c>
      <c r="Q533" t="s">
        <v>74</v>
      </c>
      <c r="R533" t="s">
        <v>74</v>
      </c>
      <c r="S533" t="s">
        <v>74</v>
      </c>
      <c r="T533" t="s">
        <v>74</v>
      </c>
      <c r="U533" t="s">
        <v>10097</v>
      </c>
      <c r="V533" t="s">
        <v>10098</v>
      </c>
      <c r="W533" t="s">
        <v>10099</v>
      </c>
      <c r="X533" t="s">
        <v>10100</v>
      </c>
      <c r="Y533" t="s">
        <v>10101</v>
      </c>
      <c r="Z533" t="s">
        <v>10102</v>
      </c>
      <c r="AA533" t="s">
        <v>74</v>
      </c>
      <c r="AB533" t="s">
        <v>74</v>
      </c>
      <c r="AC533" t="s">
        <v>10103</v>
      </c>
      <c r="AD533" t="s">
        <v>10104</v>
      </c>
      <c r="AE533" t="s">
        <v>10105</v>
      </c>
      <c r="AF533" t="s">
        <v>74</v>
      </c>
      <c r="AG533">
        <v>25</v>
      </c>
      <c r="AH533">
        <v>5</v>
      </c>
      <c r="AI533">
        <v>6</v>
      </c>
      <c r="AJ533">
        <v>0</v>
      </c>
      <c r="AK533">
        <v>17</v>
      </c>
      <c r="AL533" t="s">
        <v>593</v>
      </c>
      <c r="AM533" t="s">
        <v>594</v>
      </c>
      <c r="AN533" t="s">
        <v>595</v>
      </c>
      <c r="AO533" t="s">
        <v>596</v>
      </c>
      <c r="AP533" t="s">
        <v>10106</v>
      </c>
      <c r="AQ533" t="s">
        <v>74</v>
      </c>
      <c r="AR533" t="s">
        <v>597</v>
      </c>
      <c r="AS533" t="s">
        <v>598</v>
      </c>
      <c r="AT533" t="s">
        <v>9169</v>
      </c>
      <c r="AU533">
        <v>2013</v>
      </c>
      <c r="AV533">
        <v>120</v>
      </c>
      <c r="AW533" t="s">
        <v>599</v>
      </c>
      <c r="AX533" t="s">
        <v>74</v>
      </c>
      <c r="AY533" t="s">
        <v>74</v>
      </c>
      <c r="AZ533" t="s">
        <v>74</v>
      </c>
      <c r="BA533" t="s">
        <v>74</v>
      </c>
      <c r="BB533">
        <v>145</v>
      </c>
      <c r="BC533">
        <v>156</v>
      </c>
      <c r="BD533" t="s">
        <v>74</v>
      </c>
      <c r="BE533" t="s">
        <v>10107</v>
      </c>
      <c r="BF533" t="str">
        <f>HYPERLINK("http://dx.doi.org/10.1007/s00703-013-0243-y","http://dx.doi.org/10.1007/s00703-013-0243-y")</f>
        <v>http://dx.doi.org/10.1007/s00703-013-0243-y</v>
      </c>
      <c r="BG533" t="s">
        <v>74</v>
      </c>
      <c r="BH533" t="s">
        <v>74</v>
      </c>
      <c r="BI533">
        <v>12</v>
      </c>
      <c r="BJ533" t="s">
        <v>305</v>
      </c>
      <c r="BK533" t="s">
        <v>102</v>
      </c>
      <c r="BL533" t="s">
        <v>305</v>
      </c>
      <c r="BM533" t="s">
        <v>10108</v>
      </c>
      <c r="BN533" t="s">
        <v>74</v>
      </c>
      <c r="BO533" t="s">
        <v>74</v>
      </c>
      <c r="BP533" t="s">
        <v>74</v>
      </c>
      <c r="BQ533" t="s">
        <v>74</v>
      </c>
      <c r="BR533" t="s">
        <v>105</v>
      </c>
      <c r="BS533" t="s">
        <v>10109</v>
      </c>
      <c r="BT533" t="str">
        <f>HYPERLINK("https%3A%2F%2Fwww.webofscience.com%2Fwos%2Fwoscc%2Ffull-record%2FWOS:000318307400003","View Full Record in Web of Science")</f>
        <v>View Full Record in Web of Science</v>
      </c>
    </row>
    <row r="534" spans="1:72" x14ac:dyDescent="0.15">
      <c r="A534" t="s">
        <v>72</v>
      </c>
      <c r="B534" t="s">
        <v>10110</v>
      </c>
      <c r="C534" t="s">
        <v>74</v>
      </c>
      <c r="D534" t="s">
        <v>74</v>
      </c>
      <c r="E534" t="s">
        <v>74</v>
      </c>
      <c r="F534" t="s">
        <v>10111</v>
      </c>
      <c r="G534" t="s">
        <v>74</v>
      </c>
      <c r="H534" t="s">
        <v>74</v>
      </c>
      <c r="I534" t="s">
        <v>10112</v>
      </c>
      <c r="J534" t="s">
        <v>10113</v>
      </c>
      <c r="K534" t="s">
        <v>74</v>
      </c>
      <c r="L534" t="s">
        <v>74</v>
      </c>
      <c r="M534" t="s">
        <v>78</v>
      </c>
      <c r="N534" t="s">
        <v>79</v>
      </c>
      <c r="O534" t="s">
        <v>74</v>
      </c>
      <c r="P534" t="s">
        <v>74</v>
      </c>
      <c r="Q534" t="s">
        <v>74</v>
      </c>
      <c r="R534" t="s">
        <v>74</v>
      </c>
      <c r="S534" t="s">
        <v>74</v>
      </c>
      <c r="T534" t="s">
        <v>74</v>
      </c>
      <c r="U534" t="s">
        <v>10114</v>
      </c>
      <c r="V534" t="s">
        <v>10115</v>
      </c>
      <c r="W534" t="s">
        <v>10116</v>
      </c>
      <c r="X534" t="s">
        <v>10117</v>
      </c>
      <c r="Y534" t="s">
        <v>10118</v>
      </c>
      <c r="Z534" t="s">
        <v>10119</v>
      </c>
      <c r="AA534" t="s">
        <v>10120</v>
      </c>
      <c r="AB534" t="s">
        <v>10121</v>
      </c>
      <c r="AC534" t="s">
        <v>10122</v>
      </c>
      <c r="AD534" t="s">
        <v>10123</v>
      </c>
      <c r="AE534" t="s">
        <v>10124</v>
      </c>
      <c r="AF534" t="s">
        <v>74</v>
      </c>
      <c r="AG534">
        <v>41</v>
      </c>
      <c r="AH534">
        <v>24</v>
      </c>
      <c r="AI534">
        <v>24</v>
      </c>
      <c r="AJ534">
        <v>3</v>
      </c>
      <c r="AK534">
        <v>29</v>
      </c>
      <c r="AL534" t="s">
        <v>529</v>
      </c>
      <c r="AM534" t="s">
        <v>391</v>
      </c>
      <c r="AN534" t="s">
        <v>530</v>
      </c>
      <c r="AO534" t="s">
        <v>10125</v>
      </c>
      <c r="AP534" t="s">
        <v>10126</v>
      </c>
      <c r="AQ534" t="s">
        <v>74</v>
      </c>
      <c r="AR534" t="s">
        <v>10127</v>
      </c>
      <c r="AS534" t="s">
        <v>10128</v>
      </c>
      <c r="AT534" t="s">
        <v>9169</v>
      </c>
      <c r="AU534">
        <v>2013</v>
      </c>
      <c r="AV534">
        <v>112</v>
      </c>
      <c r="AW534">
        <v>5</v>
      </c>
      <c r="AX534" t="s">
        <v>74</v>
      </c>
      <c r="AY534" t="s">
        <v>74</v>
      </c>
      <c r="AZ534" t="s">
        <v>74</v>
      </c>
      <c r="BA534" t="s">
        <v>74</v>
      </c>
      <c r="BB534">
        <v>1877</v>
      </c>
      <c r="BC534">
        <v>1881</v>
      </c>
      <c r="BD534" t="s">
        <v>74</v>
      </c>
      <c r="BE534" t="s">
        <v>10129</v>
      </c>
      <c r="BF534" t="str">
        <f>HYPERLINK("http://dx.doi.org/10.1007/s00436-013-3341-3","http://dx.doi.org/10.1007/s00436-013-3341-3")</f>
        <v>http://dx.doi.org/10.1007/s00436-013-3341-3</v>
      </c>
      <c r="BG534" t="s">
        <v>74</v>
      </c>
      <c r="BH534" t="s">
        <v>74</v>
      </c>
      <c r="BI534">
        <v>5</v>
      </c>
      <c r="BJ534" t="s">
        <v>5794</v>
      </c>
      <c r="BK534" t="s">
        <v>102</v>
      </c>
      <c r="BL534" t="s">
        <v>5794</v>
      </c>
      <c r="BM534" t="s">
        <v>10130</v>
      </c>
      <c r="BN534">
        <v>23435921</v>
      </c>
      <c r="BO534" t="s">
        <v>426</v>
      </c>
      <c r="BP534" t="s">
        <v>74</v>
      </c>
      <c r="BQ534" t="s">
        <v>74</v>
      </c>
      <c r="BR534" t="s">
        <v>105</v>
      </c>
      <c r="BS534" t="s">
        <v>10131</v>
      </c>
      <c r="BT534" t="str">
        <f>HYPERLINK("https%3A%2F%2Fwww.webofscience.com%2Fwos%2Fwoscc%2Ffull-record%2FWOS:000317678700007","View Full Record in Web of Science")</f>
        <v>View Full Record in Web of Science</v>
      </c>
    </row>
    <row r="535" spans="1:72" x14ac:dyDescent="0.15">
      <c r="A535" t="s">
        <v>72</v>
      </c>
      <c r="B535" t="s">
        <v>10132</v>
      </c>
      <c r="C535" t="s">
        <v>74</v>
      </c>
      <c r="D535" t="s">
        <v>74</v>
      </c>
      <c r="E535" t="s">
        <v>74</v>
      </c>
      <c r="F535" t="s">
        <v>10133</v>
      </c>
      <c r="G535" t="s">
        <v>74</v>
      </c>
      <c r="H535" t="s">
        <v>74</v>
      </c>
      <c r="I535" t="s">
        <v>10134</v>
      </c>
      <c r="J535" t="s">
        <v>1257</v>
      </c>
      <c r="K535" t="s">
        <v>74</v>
      </c>
      <c r="L535" t="s">
        <v>74</v>
      </c>
      <c r="M535" t="s">
        <v>78</v>
      </c>
      <c r="N535" t="s">
        <v>79</v>
      </c>
      <c r="O535" t="s">
        <v>74</v>
      </c>
      <c r="P535" t="s">
        <v>74</v>
      </c>
      <c r="Q535" t="s">
        <v>74</v>
      </c>
      <c r="R535" t="s">
        <v>74</v>
      </c>
      <c r="S535" t="s">
        <v>74</v>
      </c>
      <c r="T535" t="s">
        <v>10135</v>
      </c>
      <c r="U535" t="s">
        <v>10136</v>
      </c>
      <c r="V535" t="s">
        <v>10137</v>
      </c>
      <c r="W535" t="s">
        <v>10138</v>
      </c>
      <c r="X535" t="s">
        <v>10139</v>
      </c>
      <c r="Y535" t="s">
        <v>10140</v>
      </c>
      <c r="Z535" t="s">
        <v>10141</v>
      </c>
      <c r="AA535" t="s">
        <v>10142</v>
      </c>
      <c r="AB535" t="s">
        <v>10143</v>
      </c>
      <c r="AC535" t="s">
        <v>10144</v>
      </c>
      <c r="AD535" t="s">
        <v>10145</v>
      </c>
      <c r="AE535" t="s">
        <v>10146</v>
      </c>
      <c r="AF535" t="s">
        <v>74</v>
      </c>
      <c r="AG535">
        <v>101</v>
      </c>
      <c r="AH535">
        <v>118</v>
      </c>
      <c r="AI535">
        <v>129</v>
      </c>
      <c r="AJ535">
        <v>0</v>
      </c>
      <c r="AK535">
        <v>38</v>
      </c>
      <c r="AL535" t="s">
        <v>506</v>
      </c>
      <c r="AM535" t="s">
        <v>442</v>
      </c>
      <c r="AN535" t="s">
        <v>507</v>
      </c>
      <c r="AO535" t="s">
        <v>1269</v>
      </c>
      <c r="AP535" t="s">
        <v>1270</v>
      </c>
      <c r="AQ535" t="s">
        <v>74</v>
      </c>
      <c r="AR535" t="s">
        <v>1271</v>
      </c>
      <c r="AS535" t="s">
        <v>1272</v>
      </c>
      <c r="AT535" t="s">
        <v>9169</v>
      </c>
      <c r="AU535">
        <v>2013</v>
      </c>
      <c r="AV535">
        <v>75</v>
      </c>
      <c r="AW535" t="s">
        <v>74</v>
      </c>
      <c r="AX535" t="s">
        <v>74</v>
      </c>
      <c r="AY535" t="s">
        <v>74</v>
      </c>
      <c r="AZ535" t="s">
        <v>74</v>
      </c>
      <c r="BA535" t="s">
        <v>74</v>
      </c>
      <c r="BB535">
        <v>157</v>
      </c>
      <c r="BC535">
        <v>174</v>
      </c>
      <c r="BD535" t="s">
        <v>74</v>
      </c>
      <c r="BE535" t="s">
        <v>10147</v>
      </c>
      <c r="BF535" t="str">
        <f>HYPERLINK("http://dx.doi.org/10.1016/j.dsr.2012.12.013","http://dx.doi.org/10.1016/j.dsr.2012.12.013")</f>
        <v>http://dx.doi.org/10.1016/j.dsr.2012.12.013</v>
      </c>
      <c r="BG535" t="s">
        <v>74</v>
      </c>
      <c r="BH535" t="s">
        <v>74</v>
      </c>
      <c r="BI535">
        <v>18</v>
      </c>
      <c r="BJ535" t="s">
        <v>327</v>
      </c>
      <c r="BK535" t="s">
        <v>102</v>
      </c>
      <c r="BL535" t="s">
        <v>327</v>
      </c>
      <c r="BM535" t="s">
        <v>10148</v>
      </c>
      <c r="BN535" t="s">
        <v>74</v>
      </c>
      <c r="BO535" t="s">
        <v>426</v>
      </c>
      <c r="BP535" t="s">
        <v>74</v>
      </c>
      <c r="BQ535" t="s">
        <v>74</v>
      </c>
      <c r="BR535" t="s">
        <v>105</v>
      </c>
      <c r="BS535" t="s">
        <v>10149</v>
      </c>
      <c r="BT535" t="str">
        <f>HYPERLINK("https%3A%2F%2Fwww.webofscience.com%2Fwos%2Fwoscc%2Ffull-record%2FWOS:000317888800013","View Full Record in Web of Science")</f>
        <v>View Full Record in Web of Science</v>
      </c>
    </row>
    <row r="536" spans="1:72" x14ac:dyDescent="0.15">
      <c r="A536" t="s">
        <v>72</v>
      </c>
      <c r="B536" t="s">
        <v>10150</v>
      </c>
      <c r="C536" t="s">
        <v>74</v>
      </c>
      <c r="D536" t="s">
        <v>74</v>
      </c>
      <c r="E536" t="s">
        <v>74</v>
      </c>
      <c r="F536" t="s">
        <v>10151</v>
      </c>
      <c r="G536" t="s">
        <v>74</v>
      </c>
      <c r="H536" t="s">
        <v>74</v>
      </c>
      <c r="I536" t="s">
        <v>10152</v>
      </c>
      <c r="J536" t="s">
        <v>10153</v>
      </c>
      <c r="K536" t="s">
        <v>74</v>
      </c>
      <c r="L536" t="s">
        <v>74</v>
      </c>
      <c r="M536" t="s">
        <v>78</v>
      </c>
      <c r="N536" t="s">
        <v>79</v>
      </c>
      <c r="O536" t="s">
        <v>74</v>
      </c>
      <c r="P536" t="s">
        <v>74</v>
      </c>
      <c r="Q536" t="s">
        <v>74</v>
      </c>
      <c r="R536" t="s">
        <v>74</v>
      </c>
      <c r="S536" t="s">
        <v>74</v>
      </c>
      <c r="T536" t="s">
        <v>10154</v>
      </c>
      <c r="U536" t="s">
        <v>10155</v>
      </c>
      <c r="V536" t="s">
        <v>10156</v>
      </c>
      <c r="W536" t="s">
        <v>10157</v>
      </c>
      <c r="X536" t="s">
        <v>10158</v>
      </c>
      <c r="Y536" t="s">
        <v>10159</v>
      </c>
      <c r="Z536" t="s">
        <v>10160</v>
      </c>
      <c r="AA536" t="s">
        <v>10161</v>
      </c>
      <c r="AB536" t="s">
        <v>10162</v>
      </c>
      <c r="AC536" t="s">
        <v>10163</v>
      </c>
      <c r="AD536" t="s">
        <v>10164</v>
      </c>
      <c r="AE536" t="s">
        <v>10165</v>
      </c>
      <c r="AF536" t="s">
        <v>74</v>
      </c>
      <c r="AG536">
        <v>59</v>
      </c>
      <c r="AH536">
        <v>68</v>
      </c>
      <c r="AI536">
        <v>73</v>
      </c>
      <c r="AJ536">
        <v>1</v>
      </c>
      <c r="AK536">
        <v>45</v>
      </c>
      <c r="AL536" t="s">
        <v>195</v>
      </c>
      <c r="AM536" t="s">
        <v>155</v>
      </c>
      <c r="AN536" t="s">
        <v>196</v>
      </c>
      <c r="AO536" t="s">
        <v>10166</v>
      </c>
      <c r="AP536" t="s">
        <v>10167</v>
      </c>
      <c r="AQ536" t="s">
        <v>74</v>
      </c>
      <c r="AR536" t="s">
        <v>10168</v>
      </c>
      <c r="AS536" t="s">
        <v>10169</v>
      </c>
      <c r="AT536" t="s">
        <v>9169</v>
      </c>
      <c r="AU536">
        <v>2013</v>
      </c>
      <c r="AV536">
        <v>104</v>
      </c>
      <c r="AW536" t="s">
        <v>74</v>
      </c>
      <c r="AX536" t="s">
        <v>74</v>
      </c>
      <c r="AY536" t="s">
        <v>74</v>
      </c>
      <c r="AZ536" t="s">
        <v>74</v>
      </c>
      <c r="BA536" t="s">
        <v>74</v>
      </c>
      <c r="BB536">
        <v>34</v>
      </c>
      <c r="BC536">
        <v>50</v>
      </c>
      <c r="BD536" t="s">
        <v>74</v>
      </c>
      <c r="BE536" t="s">
        <v>10170</v>
      </c>
      <c r="BF536" t="str">
        <f>HYPERLINK("http://dx.doi.org/10.1016/j.gloplacha.2013.02.006","http://dx.doi.org/10.1016/j.gloplacha.2013.02.006")</f>
        <v>http://dx.doi.org/10.1016/j.gloplacha.2013.02.006</v>
      </c>
      <c r="BG536" t="s">
        <v>74</v>
      </c>
      <c r="BH536" t="s">
        <v>74</v>
      </c>
      <c r="BI536">
        <v>17</v>
      </c>
      <c r="BJ536" t="s">
        <v>650</v>
      </c>
      <c r="BK536" t="s">
        <v>102</v>
      </c>
      <c r="BL536" t="s">
        <v>651</v>
      </c>
      <c r="BM536" t="s">
        <v>10171</v>
      </c>
      <c r="BN536" t="s">
        <v>74</v>
      </c>
      <c r="BO536" t="s">
        <v>74</v>
      </c>
      <c r="BP536" t="s">
        <v>74</v>
      </c>
      <c r="BQ536" t="s">
        <v>74</v>
      </c>
      <c r="BR536" t="s">
        <v>105</v>
      </c>
      <c r="BS536" t="s">
        <v>10172</v>
      </c>
      <c r="BT536" t="str">
        <f>HYPERLINK("https%3A%2F%2Fwww.webofscience.com%2Fwos%2Fwoscc%2Ffull-record%2FWOS:000317875000004","View Full Record in Web of Science")</f>
        <v>View Full Record in Web of Science</v>
      </c>
    </row>
    <row r="537" spans="1:72" x14ac:dyDescent="0.15">
      <c r="A537" t="s">
        <v>72</v>
      </c>
      <c r="B537" t="s">
        <v>10173</v>
      </c>
      <c r="C537" t="s">
        <v>74</v>
      </c>
      <c r="D537" t="s">
        <v>74</v>
      </c>
      <c r="E537" t="s">
        <v>74</v>
      </c>
      <c r="F537" t="s">
        <v>10174</v>
      </c>
      <c r="G537" t="s">
        <v>74</v>
      </c>
      <c r="H537" t="s">
        <v>74</v>
      </c>
      <c r="I537" t="s">
        <v>10175</v>
      </c>
      <c r="J537" t="s">
        <v>10176</v>
      </c>
      <c r="K537" t="s">
        <v>74</v>
      </c>
      <c r="L537" t="s">
        <v>74</v>
      </c>
      <c r="M537" t="s">
        <v>78</v>
      </c>
      <c r="N537" t="s">
        <v>79</v>
      </c>
      <c r="O537" t="s">
        <v>74</v>
      </c>
      <c r="P537" t="s">
        <v>74</v>
      </c>
      <c r="Q537" t="s">
        <v>74</v>
      </c>
      <c r="R537" t="s">
        <v>74</v>
      </c>
      <c r="S537" t="s">
        <v>74</v>
      </c>
      <c r="T537" t="s">
        <v>10177</v>
      </c>
      <c r="U537" t="s">
        <v>10178</v>
      </c>
      <c r="V537" t="s">
        <v>10179</v>
      </c>
      <c r="W537" t="s">
        <v>10180</v>
      </c>
      <c r="X537" t="s">
        <v>10181</v>
      </c>
      <c r="Y537" t="s">
        <v>10182</v>
      </c>
      <c r="Z537" t="s">
        <v>10183</v>
      </c>
      <c r="AA537" t="s">
        <v>10184</v>
      </c>
      <c r="AB537" t="s">
        <v>10185</v>
      </c>
      <c r="AC537" t="s">
        <v>74</v>
      </c>
      <c r="AD537" t="s">
        <v>74</v>
      </c>
      <c r="AE537" t="s">
        <v>74</v>
      </c>
      <c r="AF537" t="s">
        <v>74</v>
      </c>
      <c r="AG537">
        <v>29</v>
      </c>
      <c r="AH537">
        <v>8</v>
      </c>
      <c r="AI537">
        <v>10</v>
      </c>
      <c r="AJ537">
        <v>0</v>
      </c>
      <c r="AK537">
        <v>30</v>
      </c>
      <c r="AL537" t="s">
        <v>1515</v>
      </c>
      <c r="AM537" t="s">
        <v>442</v>
      </c>
      <c r="AN537" t="s">
        <v>1516</v>
      </c>
      <c r="AO537" t="s">
        <v>10186</v>
      </c>
      <c r="AP537" t="s">
        <v>10187</v>
      </c>
      <c r="AQ537" t="s">
        <v>74</v>
      </c>
      <c r="AR537" t="s">
        <v>10188</v>
      </c>
      <c r="AS537" t="s">
        <v>10189</v>
      </c>
      <c r="AT537" t="s">
        <v>9169</v>
      </c>
      <c r="AU537">
        <v>2013</v>
      </c>
      <c r="AV537">
        <v>39</v>
      </c>
      <c r="AW537" t="s">
        <v>74</v>
      </c>
      <c r="AX537" t="s">
        <v>74</v>
      </c>
      <c r="AY537" t="s">
        <v>74</v>
      </c>
      <c r="AZ537" t="s">
        <v>74</v>
      </c>
      <c r="BA537" t="s">
        <v>74</v>
      </c>
      <c r="BB537">
        <v>64</v>
      </c>
      <c r="BC537">
        <v>71</v>
      </c>
      <c r="BD537" t="s">
        <v>74</v>
      </c>
      <c r="BE537" t="s">
        <v>10190</v>
      </c>
      <c r="BF537" t="str">
        <f>HYPERLINK("http://dx.doi.org/10.1016/j.marpol.2012.10.004","http://dx.doi.org/10.1016/j.marpol.2012.10.004")</f>
        <v>http://dx.doi.org/10.1016/j.marpol.2012.10.004</v>
      </c>
      <c r="BG537" t="s">
        <v>74</v>
      </c>
      <c r="BH537" t="s">
        <v>74</v>
      </c>
      <c r="BI537">
        <v>8</v>
      </c>
      <c r="BJ537" t="s">
        <v>10191</v>
      </c>
      <c r="BK537" t="s">
        <v>3958</v>
      </c>
      <c r="BL537" t="s">
        <v>10192</v>
      </c>
      <c r="BM537" t="s">
        <v>10193</v>
      </c>
      <c r="BN537" t="s">
        <v>74</v>
      </c>
      <c r="BO537" t="s">
        <v>74</v>
      </c>
      <c r="BP537" t="s">
        <v>74</v>
      </c>
      <c r="BQ537" t="s">
        <v>74</v>
      </c>
      <c r="BR537" t="s">
        <v>105</v>
      </c>
      <c r="BS537" t="s">
        <v>10194</v>
      </c>
      <c r="BT537" t="str">
        <f>HYPERLINK("https%3A%2F%2Fwww.webofscience.com%2Fwos%2Fwoscc%2Ffull-record%2FWOS:000317456100008","View Full Record in Web of Science")</f>
        <v>View Full Record in Web of Science</v>
      </c>
    </row>
    <row r="538" spans="1:72" x14ac:dyDescent="0.15">
      <c r="A538" t="s">
        <v>72</v>
      </c>
      <c r="B538" t="s">
        <v>10195</v>
      </c>
      <c r="C538" t="s">
        <v>74</v>
      </c>
      <c r="D538" t="s">
        <v>74</v>
      </c>
      <c r="E538" t="s">
        <v>74</v>
      </c>
      <c r="F538" t="s">
        <v>10196</v>
      </c>
      <c r="G538" t="s">
        <v>74</v>
      </c>
      <c r="H538" t="s">
        <v>74</v>
      </c>
      <c r="I538" t="s">
        <v>10197</v>
      </c>
      <c r="J538" t="s">
        <v>7544</v>
      </c>
      <c r="K538" t="s">
        <v>74</v>
      </c>
      <c r="L538" t="s">
        <v>74</v>
      </c>
      <c r="M538" t="s">
        <v>78</v>
      </c>
      <c r="N538" t="s">
        <v>79</v>
      </c>
      <c r="O538" t="s">
        <v>74</v>
      </c>
      <c r="P538" t="s">
        <v>74</v>
      </c>
      <c r="Q538" t="s">
        <v>74</v>
      </c>
      <c r="R538" t="s">
        <v>74</v>
      </c>
      <c r="S538" t="s">
        <v>74</v>
      </c>
      <c r="T538" t="s">
        <v>10198</v>
      </c>
      <c r="U538" t="s">
        <v>10199</v>
      </c>
      <c r="V538" t="s">
        <v>10200</v>
      </c>
      <c r="W538" t="s">
        <v>10201</v>
      </c>
      <c r="X538" t="s">
        <v>10202</v>
      </c>
      <c r="Y538" t="s">
        <v>10203</v>
      </c>
      <c r="Z538" t="s">
        <v>10204</v>
      </c>
      <c r="AA538" t="s">
        <v>10205</v>
      </c>
      <c r="AB538" t="s">
        <v>10206</v>
      </c>
      <c r="AC538" t="s">
        <v>74</v>
      </c>
      <c r="AD538" t="s">
        <v>74</v>
      </c>
      <c r="AE538" t="s">
        <v>74</v>
      </c>
      <c r="AF538" t="s">
        <v>74</v>
      </c>
      <c r="AG538">
        <v>40</v>
      </c>
      <c r="AH538">
        <v>15</v>
      </c>
      <c r="AI538">
        <v>16</v>
      </c>
      <c r="AJ538">
        <v>0</v>
      </c>
      <c r="AK538">
        <v>22</v>
      </c>
      <c r="AL538" t="s">
        <v>529</v>
      </c>
      <c r="AM538" t="s">
        <v>1151</v>
      </c>
      <c r="AN538" t="s">
        <v>1152</v>
      </c>
      <c r="AO538" t="s">
        <v>7557</v>
      </c>
      <c r="AP538" t="s">
        <v>10207</v>
      </c>
      <c r="AQ538" t="s">
        <v>74</v>
      </c>
      <c r="AR538" t="s">
        <v>7558</v>
      </c>
      <c r="AS538" t="s">
        <v>7559</v>
      </c>
      <c r="AT538" t="s">
        <v>9169</v>
      </c>
      <c r="AU538">
        <v>2013</v>
      </c>
      <c r="AV538">
        <v>185</v>
      </c>
      <c r="AW538">
        <v>5</v>
      </c>
      <c r="AX538" t="s">
        <v>74</v>
      </c>
      <c r="AY538" t="s">
        <v>74</v>
      </c>
      <c r="AZ538" t="s">
        <v>74</v>
      </c>
      <c r="BA538" t="s">
        <v>74</v>
      </c>
      <c r="BB538">
        <v>3625</v>
      </c>
      <c r="BC538">
        <v>3636</v>
      </c>
      <c r="BD538" t="s">
        <v>74</v>
      </c>
      <c r="BE538" t="s">
        <v>10208</v>
      </c>
      <c r="BF538" t="str">
        <f>HYPERLINK("http://dx.doi.org/10.1007/s10661-012-2814-7","http://dx.doi.org/10.1007/s10661-012-2814-7")</f>
        <v>http://dx.doi.org/10.1007/s10661-012-2814-7</v>
      </c>
      <c r="BG538" t="s">
        <v>74</v>
      </c>
      <c r="BH538" t="s">
        <v>74</v>
      </c>
      <c r="BI538">
        <v>12</v>
      </c>
      <c r="BJ538" t="s">
        <v>512</v>
      </c>
      <c r="BK538" t="s">
        <v>102</v>
      </c>
      <c r="BL538" t="s">
        <v>262</v>
      </c>
      <c r="BM538" t="s">
        <v>10209</v>
      </c>
      <c r="BN538">
        <v>22892996</v>
      </c>
      <c r="BO538" t="s">
        <v>74</v>
      </c>
      <c r="BP538" t="s">
        <v>74</v>
      </c>
      <c r="BQ538" t="s">
        <v>74</v>
      </c>
      <c r="BR538" t="s">
        <v>105</v>
      </c>
      <c r="BS538" t="s">
        <v>10210</v>
      </c>
      <c r="BT538" t="str">
        <f>HYPERLINK("https%3A%2F%2Fwww.webofscience.com%2Fwos%2Fwoscc%2Ffull-record%2FWOS:000316968500003","View Full Record in Web of Science")</f>
        <v>View Full Record in Web of Science</v>
      </c>
    </row>
    <row r="539" spans="1:72" x14ac:dyDescent="0.15">
      <c r="A539" t="s">
        <v>72</v>
      </c>
      <c r="B539" t="s">
        <v>10211</v>
      </c>
      <c r="C539" t="s">
        <v>74</v>
      </c>
      <c r="D539" t="s">
        <v>74</v>
      </c>
      <c r="E539" t="s">
        <v>74</v>
      </c>
      <c r="F539" t="s">
        <v>10212</v>
      </c>
      <c r="G539" t="s">
        <v>74</v>
      </c>
      <c r="H539" t="s">
        <v>74</v>
      </c>
      <c r="I539" t="s">
        <v>10213</v>
      </c>
      <c r="J539" t="s">
        <v>10214</v>
      </c>
      <c r="K539" t="s">
        <v>74</v>
      </c>
      <c r="L539" t="s">
        <v>74</v>
      </c>
      <c r="M539" t="s">
        <v>78</v>
      </c>
      <c r="N539" t="s">
        <v>79</v>
      </c>
      <c r="O539" t="s">
        <v>74</v>
      </c>
      <c r="P539" t="s">
        <v>74</v>
      </c>
      <c r="Q539" t="s">
        <v>74</v>
      </c>
      <c r="R539" t="s">
        <v>74</v>
      </c>
      <c r="S539" t="s">
        <v>74</v>
      </c>
      <c r="T539" t="s">
        <v>10215</v>
      </c>
      <c r="U539" t="s">
        <v>10216</v>
      </c>
      <c r="V539" t="s">
        <v>10217</v>
      </c>
      <c r="W539" t="s">
        <v>10218</v>
      </c>
      <c r="X539" t="s">
        <v>10219</v>
      </c>
      <c r="Y539" t="s">
        <v>10220</v>
      </c>
      <c r="Z539" t="s">
        <v>10221</v>
      </c>
      <c r="AA539" t="s">
        <v>10222</v>
      </c>
      <c r="AB539" t="s">
        <v>10223</v>
      </c>
      <c r="AC539" t="s">
        <v>10224</v>
      </c>
      <c r="AD539" t="s">
        <v>10225</v>
      </c>
      <c r="AE539" t="s">
        <v>10226</v>
      </c>
      <c r="AF539" t="s">
        <v>74</v>
      </c>
      <c r="AG539">
        <v>51</v>
      </c>
      <c r="AH539">
        <v>21</v>
      </c>
      <c r="AI539">
        <v>23</v>
      </c>
      <c r="AJ539">
        <v>0</v>
      </c>
      <c r="AK539">
        <v>75</v>
      </c>
      <c r="AL539" t="s">
        <v>368</v>
      </c>
      <c r="AM539" t="s">
        <v>369</v>
      </c>
      <c r="AN539" t="s">
        <v>370</v>
      </c>
      <c r="AO539" t="s">
        <v>10227</v>
      </c>
      <c r="AP539" t="s">
        <v>10228</v>
      </c>
      <c r="AQ539" t="s">
        <v>74</v>
      </c>
      <c r="AR539" t="s">
        <v>10229</v>
      </c>
      <c r="AS539" t="s">
        <v>10230</v>
      </c>
      <c r="AT539" t="s">
        <v>9169</v>
      </c>
      <c r="AU539">
        <v>2013</v>
      </c>
      <c r="AV539">
        <v>24</v>
      </c>
      <c r="AW539">
        <v>3</v>
      </c>
      <c r="AX539" t="s">
        <v>74</v>
      </c>
      <c r="AY539" t="s">
        <v>74</v>
      </c>
      <c r="AZ539" t="s">
        <v>74</v>
      </c>
      <c r="BA539" t="s">
        <v>74</v>
      </c>
      <c r="BB539">
        <v>463</v>
      </c>
      <c r="BC539">
        <v>472</v>
      </c>
      <c r="BD539" t="s">
        <v>74</v>
      </c>
      <c r="BE539" t="s">
        <v>10231</v>
      </c>
      <c r="BF539" t="str">
        <f>HYPERLINK("http://dx.doi.org/10.1111/j.1654-1103.2012.01480.x","http://dx.doi.org/10.1111/j.1654-1103.2012.01480.x")</f>
        <v>http://dx.doi.org/10.1111/j.1654-1103.2012.01480.x</v>
      </c>
      <c r="BG539" t="s">
        <v>74</v>
      </c>
      <c r="BH539" t="s">
        <v>74</v>
      </c>
      <c r="BI539">
        <v>10</v>
      </c>
      <c r="BJ539" t="s">
        <v>10232</v>
      </c>
      <c r="BK539" t="s">
        <v>102</v>
      </c>
      <c r="BL539" t="s">
        <v>10233</v>
      </c>
      <c r="BM539" t="s">
        <v>10234</v>
      </c>
      <c r="BN539" t="s">
        <v>74</v>
      </c>
      <c r="BO539" t="s">
        <v>74</v>
      </c>
      <c r="BP539" t="s">
        <v>74</v>
      </c>
      <c r="BQ539" t="s">
        <v>74</v>
      </c>
      <c r="BR539" t="s">
        <v>105</v>
      </c>
      <c r="BS539" t="s">
        <v>10235</v>
      </c>
      <c r="BT539" t="str">
        <f>HYPERLINK("https%3A%2F%2Fwww.webofscience.com%2Fwos%2Fwoscc%2Ffull-record%2FWOS:000317018300007","View Full Record in Web of Science")</f>
        <v>View Full Record in Web of Science</v>
      </c>
    </row>
    <row r="540" spans="1:72" x14ac:dyDescent="0.15">
      <c r="A540" t="s">
        <v>72</v>
      </c>
      <c r="B540" t="s">
        <v>10236</v>
      </c>
      <c r="C540" t="s">
        <v>74</v>
      </c>
      <c r="D540" t="s">
        <v>74</v>
      </c>
      <c r="E540" t="s">
        <v>74</v>
      </c>
      <c r="F540" t="s">
        <v>10237</v>
      </c>
      <c r="G540" t="s">
        <v>74</v>
      </c>
      <c r="H540" t="s">
        <v>74</v>
      </c>
      <c r="I540" t="s">
        <v>10238</v>
      </c>
      <c r="J540" t="s">
        <v>10239</v>
      </c>
      <c r="K540" t="s">
        <v>74</v>
      </c>
      <c r="L540" t="s">
        <v>74</v>
      </c>
      <c r="M540" t="s">
        <v>78</v>
      </c>
      <c r="N540" t="s">
        <v>79</v>
      </c>
      <c r="O540" t="s">
        <v>74</v>
      </c>
      <c r="P540" t="s">
        <v>74</v>
      </c>
      <c r="Q540" t="s">
        <v>74</v>
      </c>
      <c r="R540" t="s">
        <v>74</v>
      </c>
      <c r="S540" t="s">
        <v>74</v>
      </c>
      <c r="T540" t="s">
        <v>10240</v>
      </c>
      <c r="U540" t="s">
        <v>10241</v>
      </c>
      <c r="V540" t="s">
        <v>10242</v>
      </c>
      <c r="W540" t="s">
        <v>10243</v>
      </c>
      <c r="X540" t="s">
        <v>10244</v>
      </c>
      <c r="Y540" t="s">
        <v>10245</v>
      </c>
      <c r="Z540" t="s">
        <v>10246</v>
      </c>
      <c r="AA540" t="s">
        <v>10247</v>
      </c>
      <c r="AB540" t="s">
        <v>10248</v>
      </c>
      <c r="AC540" t="s">
        <v>10249</v>
      </c>
      <c r="AD540" t="s">
        <v>10249</v>
      </c>
      <c r="AE540" t="s">
        <v>10250</v>
      </c>
      <c r="AF540" t="s">
        <v>74</v>
      </c>
      <c r="AG540">
        <v>72</v>
      </c>
      <c r="AH540">
        <v>11</v>
      </c>
      <c r="AI540">
        <v>11</v>
      </c>
      <c r="AJ540">
        <v>2</v>
      </c>
      <c r="AK540">
        <v>53</v>
      </c>
      <c r="AL540" t="s">
        <v>10251</v>
      </c>
      <c r="AM540" t="s">
        <v>10252</v>
      </c>
      <c r="AN540" t="s">
        <v>10253</v>
      </c>
      <c r="AO540" t="s">
        <v>10254</v>
      </c>
      <c r="AP540" t="s">
        <v>10255</v>
      </c>
      <c r="AQ540" t="s">
        <v>74</v>
      </c>
      <c r="AR540" t="s">
        <v>10256</v>
      </c>
      <c r="AS540" t="s">
        <v>10257</v>
      </c>
      <c r="AT540" t="s">
        <v>9399</v>
      </c>
      <c r="AU540">
        <v>2013</v>
      </c>
      <c r="AV540">
        <v>24</v>
      </c>
      <c r="AW540">
        <v>3</v>
      </c>
      <c r="AX540" t="s">
        <v>74</v>
      </c>
      <c r="AY540" t="s">
        <v>74</v>
      </c>
      <c r="AZ540" t="s">
        <v>74</v>
      </c>
      <c r="BA540" t="s">
        <v>74</v>
      </c>
      <c r="BB540">
        <v>659</v>
      </c>
      <c r="BC540">
        <v>667</v>
      </c>
      <c r="BD540" t="s">
        <v>74</v>
      </c>
      <c r="BE540" t="s">
        <v>10258</v>
      </c>
      <c r="BF540" t="str">
        <f>HYPERLINK("http://dx.doi.org/10.1093/beheco/ars217","http://dx.doi.org/10.1093/beheco/ars217")</f>
        <v>http://dx.doi.org/10.1093/beheco/ars217</v>
      </c>
      <c r="BG540" t="s">
        <v>74</v>
      </c>
      <c r="BH540" t="s">
        <v>74</v>
      </c>
      <c r="BI540">
        <v>9</v>
      </c>
      <c r="BJ540" t="s">
        <v>10259</v>
      </c>
      <c r="BK540" t="s">
        <v>102</v>
      </c>
      <c r="BL540" t="s">
        <v>10260</v>
      </c>
      <c r="BM540" t="s">
        <v>10261</v>
      </c>
      <c r="BN540" t="s">
        <v>74</v>
      </c>
      <c r="BO540" t="s">
        <v>104</v>
      </c>
      <c r="BP540" t="s">
        <v>74</v>
      </c>
      <c r="BQ540" t="s">
        <v>74</v>
      </c>
      <c r="BR540" t="s">
        <v>105</v>
      </c>
      <c r="BS540" t="s">
        <v>10262</v>
      </c>
      <c r="BT540" t="str">
        <f>HYPERLINK("https%3A%2F%2Fwww.webofscience.com%2Fwos%2Fwoscc%2Ffull-record%2FWOS:000317320100015","View Full Record in Web of Science")</f>
        <v>View Full Record in Web of Science</v>
      </c>
    </row>
    <row r="541" spans="1:72" x14ac:dyDescent="0.15">
      <c r="A541" t="s">
        <v>72</v>
      </c>
      <c r="B541" t="s">
        <v>10263</v>
      </c>
      <c r="C541" t="s">
        <v>74</v>
      </c>
      <c r="D541" t="s">
        <v>74</v>
      </c>
      <c r="E541" t="s">
        <v>74</v>
      </c>
      <c r="F541" t="s">
        <v>10264</v>
      </c>
      <c r="G541" t="s">
        <v>74</v>
      </c>
      <c r="H541" t="s">
        <v>74</v>
      </c>
      <c r="I541" t="s">
        <v>10265</v>
      </c>
      <c r="J541" t="s">
        <v>10266</v>
      </c>
      <c r="K541" t="s">
        <v>74</v>
      </c>
      <c r="L541" t="s">
        <v>74</v>
      </c>
      <c r="M541" t="s">
        <v>78</v>
      </c>
      <c r="N541" t="s">
        <v>79</v>
      </c>
      <c r="O541" t="s">
        <v>74</v>
      </c>
      <c r="P541" t="s">
        <v>74</v>
      </c>
      <c r="Q541" t="s">
        <v>74</v>
      </c>
      <c r="R541" t="s">
        <v>74</v>
      </c>
      <c r="S541" t="s">
        <v>74</v>
      </c>
      <c r="T541" t="s">
        <v>10267</v>
      </c>
      <c r="U541" t="s">
        <v>10268</v>
      </c>
      <c r="V541" t="s">
        <v>10269</v>
      </c>
      <c r="W541" t="s">
        <v>10270</v>
      </c>
      <c r="X541" t="s">
        <v>10271</v>
      </c>
      <c r="Y541" t="s">
        <v>10272</v>
      </c>
      <c r="Z541" t="s">
        <v>10273</v>
      </c>
      <c r="AA541" t="s">
        <v>10274</v>
      </c>
      <c r="AB541" t="s">
        <v>10275</v>
      </c>
      <c r="AC541" t="s">
        <v>10276</v>
      </c>
      <c r="AD541" t="s">
        <v>10277</v>
      </c>
      <c r="AE541" t="s">
        <v>10278</v>
      </c>
      <c r="AF541" t="s">
        <v>74</v>
      </c>
      <c r="AG541">
        <v>27</v>
      </c>
      <c r="AH541">
        <v>26</v>
      </c>
      <c r="AI541">
        <v>27</v>
      </c>
      <c r="AJ541">
        <v>1</v>
      </c>
      <c r="AK541">
        <v>45</v>
      </c>
      <c r="AL541" t="s">
        <v>506</v>
      </c>
      <c r="AM541" t="s">
        <v>442</v>
      </c>
      <c r="AN541" t="s">
        <v>507</v>
      </c>
      <c r="AO541" t="s">
        <v>10279</v>
      </c>
      <c r="AP541" t="s">
        <v>10280</v>
      </c>
      <c r="AQ541" t="s">
        <v>74</v>
      </c>
      <c r="AR541" t="s">
        <v>10281</v>
      </c>
      <c r="AS541" t="s">
        <v>10282</v>
      </c>
      <c r="AT541" t="s">
        <v>10283</v>
      </c>
      <c r="AU541">
        <v>2013</v>
      </c>
      <c r="AV541">
        <v>85</v>
      </c>
      <c r="AW541">
        <v>9</v>
      </c>
      <c r="AX541" t="s">
        <v>74</v>
      </c>
      <c r="AY541" t="s">
        <v>74</v>
      </c>
      <c r="AZ541" t="s">
        <v>74</v>
      </c>
      <c r="BA541" t="s">
        <v>74</v>
      </c>
      <c r="BB541">
        <v>1257</v>
      </c>
      <c r="BC541">
        <v>1268</v>
      </c>
      <c r="BD541" t="s">
        <v>74</v>
      </c>
      <c r="BE541" t="s">
        <v>10284</v>
      </c>
      <c r="BF541" t="str">
        <f>HYPERLINK("http://dx.doi.org/10.1016/j.bcp.2013.02.005","http://dx.doi.org/10.1016/j.bcp.2013.02.005")</f>
        <v>http://dx.doi.org/10.1016/j.bcp.2013.02.005</v>
      </c>
      <c r="BG541" t="s">
        <v>74</v>
      </c>
      <c r="BH541" t="s">
        <v>74</v>
      </c>
      <c r="BI541">
        <v>12</v>
      </c>
      <c r="BJ541" t="s">
        <v>7999</v>
      </c>
      <c r="BK541" t="s">
        <v>102</v>
      </c>
      <c r="BL541" t="s">
        <v>7999</v>
      </c>
      <c r="BM541" t="s">
        <v>10285</v>
      </c>
      <c r="BN541">
        <v>23415901</v>
      </c>
      <c r="BO541" t="s">
        <v>74</v>
      </c>
      <c r="BP541" t="s">
        <v>74</v>
      </c>
      <c r="BQ541" t="s">
        <v>74</v>
      </c>
      <c r="BR541" t="s">
        <v>105</v>
      </c>
      <c r="BS541" t="s">
        <v>10286</v>
      </c>
      <c r="BT541" t="str">
        <f>HYPERLINK("https%3A%2F%2Fwww.webofscience.com%2Fwos%2Fwoscc%2Ffull-record%2FWOS:000317320900006","View Full Record in Web of Science")</f>
        <v>View Full Record in Web of Science</v>
      </c>
    </row>
    <row r="542" spans="1:72" x14ac:dyDescent="0.15">
      <c r="A542" t="s">
        <v>72</v>
      </c>
      <c r="B542" t="s">
        <v>10287</v>
      </c>
      <c r="C542" t="s">
        <v>74</v>
      </c>
      <c r="D542" t="s">
        <v>74</v>
      </c>
      <c r="E542" t="s">
        <v>74</v>
      </c>
      <c r="F542" t="s">
        <v>10288</v>
      </c>
      <c r="G542" t="s">
        <v>74</v>
      </c>
      <c r="H542" t="s">
        <v>74</v>
      </c>
      <c r="I542" t="s">
        <v>10289</v>
      </c>
      <c r="J542" t="s">
        <v>10290</v>
      </c>
      <c r="K542" t="s">
        <v>74</v>
      </c>
      <c r="L542" t="s">
        <v>74</v>
      </c>
      <c r="M542" t="s">
        <v>78</v>
      </c>
      <c r="N542" t="s">
        <v>79</v>
      </c>
      <c r="O542" t="s">
        <v>74</v>
      </c>
      <c r="P542" t="s">
        <v>74</v>
      </c>
      <c r="Q542" t="s">
        <v>74</v>
      </c>
      <c r="R542" t="s">
        <v>74</v>
      </c>
      <c r="S542" t="s">
        <v>74</v>
      </c>
      <c r="T542" t="s">
        <v>10291</v>
      </c>
      <c r="U542" t="s">
        <v>10292</v>
      </c>
      <c r="V542" t="s">
        <v>10293</v>
      </c>
      <c r="W542" t="s">
        <v>10294</v>
      </c>
      <c r="X542" t="s">
        <v>74</v>
      </c>
      <c r="Y542" t="s">
        <v>10295</v>
      </c>
      <c r="Z542" t="s">
        <v>10296</v>
      </c>
      <c r="AA542" t="s">
        <v>74</v>
      </c>
      <c r="AB542" t="s">
        <v>74</v>
      </c>
      <c r="AC542" t="s">
        <v>74</v>
      </c>
      <c r="AD542" t="s">
        <v>74</v>
      </c>
      <c r="AE542" t="s">
        <v>74</v>
      </c>
      <c r="AF542" t="s">
        <v>74</v>
      </c>
      <c r="AG542">
        <v>38</v>
      </c>
      <c r="AH542">
        <v>2</v>
      </c>
      <c r="AI542">
        <v>2</v>
      </c>
      <c r="AJ542">
        <v>0</v>
      </c>
      <c r="AK542">
        <v>1</v>
      </c>
      <c r="AL542" t="s">
        <v>10297</v>
      </c>
      <c r="AM542" t="s">
        <v>10298</v>
      </c>
      <c r="AN542" t="s">
        <v>10299</v>
      </c>
      <c r="AO542" t="s">
        <v>10300</v>
      </c>
      <c r="AP542" t="s">
        <v>10301</v>
      </c>
      <c r="AQ542" t="s">
        <v>74</v>
      </c>
      <c r="AR542" t="s">
        <v>10302</v>
      </c>
      <c r="AS542" t="s">
        <v>10303</v>
      </c>
      <c r="AT542" t="s">
        <v>9169</v>
      </c>
      <c r="AU542">
        <v>2013</v>
      </c>
      <c r="AV542">
        <v>87</v>
      </c>
      <c r="AW542">
        <v>5</v>
      </c>
      <c r="AX542" t="s">
        <v>74</v>
      </c>
      <c r="AY542" t="s">
        <v>74</v>
      </c>
      <c r="AZ542" t="s">
        <v>74</v>
      </c>
      <c r="BA542" t="s">
        <v>74</v>
      </c>
      <c r="BB542">
        <v>401</v>
      </c>
      <c r="BC542">
        <v>409</v>
      </c>
      <c r="BD542" t="s">
        <v>74</v>
      </c>
      <c r="BE542" t="s">
        <v>10304</v>
      </c>
      <c r="BF542" t="str">
        <f>HYPERLINK("http://dx.doi.org/10.1007/s12648-012-0244-6","http://dx.doi.org/10.1007/s12648-012-0244-6")</f>
        <v>http://dx.doi.org/10.1007/s12648-012-0244-6</v>
      </c>
      <c r="BG542" t="s">
        <v>74</v>
      </c>
      <c r="BH542" t="s">
        <v>74</v>
      </c>
      <c r="BI542">
        <v>9</v>
      </c>
      <c r="BJ542" t="s">
        <v>4562</v>
      </c>
      <c r="BK542" t="s">
        <v>102</v>
      </c>
      <c r="BL542" t="s">
        <v>2683</v>
      </c>
      <c r="BM542" t="s">
        <v>10305</v>
      </c>
      <c r="BN542" t="s">
        <v>74</v>
      </c>
      <c r="BO542" t="s">
        <v>74</v>
      </c>
      <c r="BP542" t="s">
        <v>74</v>
      </c>
      <c r="BQ542" t="s">
        <v>74</v>
      </c>
      <c r="BR542" t="s">
        <v>105</v>
      </c>
      <c r="BS542" t="s">
        <v>10306</v>
      </c>
      <c r="BT542" t="str">
        <f>HYPERLINK("https%3A%2F%2Fwww.webofscience.com%2Fwos%2Fwoscc%2Ffull-record%2FWOS:000317304100001","View Full Record in Web of Science")</f>
        <v>View Full Record in Web of Science</v>
      </c>
    </row>
    <row r="543" spans="1:72" x14ac:dyDescent="0.15">
      <c r="A543" t="s">
        <v>72</v>
      </c>
      <c r="B543" t="s">
        <v>10307</v>
      </c>
      <c r="C543" t="s">
        <v>74</v>
      </c>
      <c r="D543" t="s">
        <v>74</v>
      </c>
      <c r="E543" t="s">
        <v>74</v>
      </c>
      <c r="F543" t="s">
        <v>10308</v>
      </c>
      <c r="G543" t="s">
        <v>74</v>
      </c>
      <c r="H543" t="s">
        <v>74</v>
      </c>
      <c r="I543" t="s">
        <v>10309</v>
      </c>
      <c r="J543" t="s">
        <v>9667</v>
      </c>
      <c r="K543" t="s">
        <v>74</v>
      </c>
      <c r="L543" t="s">
        <v>74</v>
      </c>
      <c r="M543" t="s">
        <v>78</v>
      </c>
      <c r="N543" t="s">
        <v>79</v>
      </c>
      <c r="O543" t="s">
        <v>74</v>
      </c>
      <c r="P543" t="s">
        <v>74</v>
      </c>
      <c r="Q543" t="s">
        <v>74</v>
      </c>
      <c r="R543" t="s">
        <v>74</v>
      </c>
      <c r="S543" t="s">
        <v>74</v>
      </c>
      <c r="T543" t="s">
        <v>10310</v>
      </c>
      <c r="U543" t="s">
        <v>10311</v>
      </c>
      <c r="V543" t="s">
        <v>10312</v>
      </c>
      <c r="W543" t="s">
        <v>10313</v>
      </c>
      <c r="X543" t="s">
        <v>10314</v>
      </c>
      <c r="Y543" t="s">
        <v>10315</v>
      </c>
      <c r="Z543" t="s">
        <v>10316</v>
      </c>
      <c r="AA543" t="s">
        <v>10317</v>
      </c>
      <c r="AB543" t="s">
        <v>10318</v>
      </c>
      <c r="AC543" t="s">
        <v>10319</v>
      </c>
      <c r="AD543" t="s">
        <v>10320</v>
      </c>
      <c r="AE543" t="s">
        <v>10321</v>
      </c>
      <c r="AF543" t="s">
        <v>74</v>
      </c>
      <c r="AG543">
        <v>68</v>
      </c>
      <c r="AH543">
        <v>40</v>
      </c>
      <c r="AI543">
        <v>43</v>
      </c>
      <c r="AJ543">
        <v>0</v>
      </c>
      <c r="AK543">
        <v>31</v>
      </c>
      <c r="AL543" t="s">
        <v>1515</v>
      </c>
      <c r="AM543" t="s">
        <v>442</v>
      </c>
      <c r="AN543" t="s">
        <v>1516</v>
      </c>
      <c r="AO543" t="s">
        <v>9680</v>
      </c>
      <c r="AP543" t="s">
        <v>9681</v>
      </c>
      <c r="AQ543" t="s">
        <v>74</v>
      </c>
      <c r="AR543" t="s">
        <v>9682</v>
      </c>
      <c r="AS543" t="s">
        <v>9683</v>
      </c>
      <c r="AT543" t="s">
        <v>9169</v>
      </c>
      <c r="AU543">
        <v>2013</v>
      </c>
      <c r="AV543">
        <v>55</v>
      </c>
      <c r="AW543" t="s">
        <v>74</v>
      </c>
      <c r="AX543" t="s">
        <v>74</v>
      </c>
      <c r="AY543" t="s">
        <v>74</v>
      </c>
      <c r="AZ543" t="s">
        <v>74</v>
      </c>
      <c r="BA543" t="s">
        <v>74</v>
      </c>
      <c r="BB543">
        <v>178</v>
      </c>
      <c r="BC543">
        <v>189</v>
      </c>
      <c r="BD543" t="s">
        <v>74</v>
      </c>
      <c r="BE543" t="s">
        <v>10322</v>
      </c>
      <c r="BF543" t="str">
        <f>HYPERLINK("http://dx.doi.org/10.1016/j.advwatres.2012.06.010","http://dx.doi.org/10.1016/j.advwatres.2012.06.010")</f>
        <v>http://dx.doi.org/10.1016/j.advwatres.2012.06.010</v>
      </c>
      <c r="BG543" t="s">
        <v>74</v>
      </c>
      <c r="BH543" t="s">
        <v>74</v>
      </c>
      <c r="BI543">
        <v>12</v>
      </c>
      <c r="BJ543" t="s">
        <v>9685</v>
      </c>
      <c r="BK543" t="s">
        <v>102</v>
      </c>
      <c r="BL543" t="s">
        <v>9685</v>
      </c>
      <c r="BM543" t="s">
        <v>9686</v>
      </c>
      <c r="BN543" t="s">
        <v>74</v>
      </c>
      <c r="BO543" t="s">
        <v>74</v>
      </c>
      <c r="BP543" t="s">
        <v>74</v>
      </c>
      <c r="BQ543" t="s">
        <v>74</v>
      </c>
      <c r="BR543" t="s">
        <v>105</v>
      </c>
      <c r="BS543" t="s">
        <v>10323</v>
      </c>
      <c r="BT543" t="str">
        <f>HYPERLINK("https%3A%2F%2Fwww.webofscience.com%2Fwos%2Fwoscc%2Ffull-record%2FWOS:000318605000016","View Full Record in Web of Science")</f>
        <v>View Full Record in Web of Science</v>
      </c>
    </row>
    <row r="544" spans="1:72" x14ac:dyDescent="0.15">
      <c r="A544" t="s">
        <v>72</v>
      </c>
      <c r="B544" t="s">
        <v>10324</v>
      </c>
      <c r="C544" t="s">
        <v>74</v>
      </c>
      <c r="D544" t="s">
        <v>74</v>
      </c>
      <c r="E544" t="s">
        <v>74</v>
      </c>
      <c r="F544" t="s">
        <v>10325</v>
      </c>
      <c r="G544" t="s">
        <v>74</v>
      </c>
      <c r="H544" t="s">
        <v>74</v>
      </c>
      <c r="I544" t="s">
        <v>10326</v>
      </c>
      <c r="J544" t="s">
        <v>6636</v>
      </c>
      <c r="K544" t="s">
        <v>74</v>
      </c>
      <c r="L544" t="s">
        <v>74</v>
      </c>
      <c r="M544" t="s">
        <v>78</v>
      </c>
      <c r="N544" t="s">
        <v>79</v>
      </c>
      <c r="O544" t="s">
        <v>74</v>
      </c>
      <c r="P544" t="s">
        <v>74</v>
      </c>
      <c r="Q544" t="s">
        <v>74</v>
      </c>
      <c r="R544" t="s">
        <v>74</v>
      </c>
      <c r="S544" t="s">
        <v>74</v>
      </c>
      <c r="T544" t="s">
        <v>10327</v>
      </c>
      <c r="U544" t="s">
        <v>10328</v>
      </c>
      <c r="V544" t="s">
        <v>10329</v>
      </c>
      <c r="W544" t="s">
        <v>10330</v>
      </c>
      <c r="X544" t="s">
        <v>10331</v>
      </c>
      <c r="Y544" t="s">
        <v>10332</v>
      </c>
      <c r="Z544" t="s">
        <v>10333</v>
      </c>
      <c r="AA544" t="s">
        <v>74</v>
      </c>
      <c r="AB544" t="s">
        <v>74</v>
      </c>
      <c r="AC544" t="s">
        <v>10334</v>
      </c>
      <c r="AD544" t="s">
        <v>10335</v>
      </c>
      <c r="AE544" t="s">
        <v>10336</v>
      </c>
      <c r="AF544" t="s">
        <v>74</v>
      </c>
      <c r="AG544">
        <v>52</v>
      </c>
      <c r="AH544">
        <v>10</v>
      </c>
      <c r="AI544">
        <v>14</v>
      </c>
      <c r="AJ544">
        <v>1</v>
      </c>
      <c r="AK544">
        <v>29</v>
      </c>
      <c r="AL544" t="s">
        <v>529</v>
      </c>
      <c r="AM544" t="s">
        <v>391</v>
      </c>
      <c r="AN544" t="s">
        <v>1220</v>
      </c>
      <c r="AO544" t="s">
        <v>6648</v>
      </c>
      <c r="AP544" t="s">
        <v>6649</v>
      </c>
      <c r="AQ544" t="s">
        <v>74</v>
      </c>
      <c r="AR544" t="s">
        <v>6650</v>
      </c>
      <c r="AS544" t="s">
        <v>6651</v>
      </c>
      <c r="AT544" t="s">
        <v>9169</v>
      </c>
      <c r="AU544">
        <v>2013</v>
      </c>
      <c r="AV544">
        <v>97</v>
      </c>
      <c r="AW544">
        <v>10</v>
      </c>
      <c r="AX544" t="s">
        <v>74</v>
      </c>
      <c r="AY544" t="s">
        <v>74</v>
      </c>
      <c r="AZ544" t="s">
        <v>74</v>
      </c>
      <c r="BA544" t="s">
        <v>74</v>
      </c>
      <c r="BB544">
        <v>4511</v>
      </c>
      <c r="BC544">
        <v>4521</v>
      </c>
      <c r="BD544" t="s">
        <v>74</v>
      </c>
      <c r="BE544" t="s">
        <v>10337</v>
      </c>
      <c r="BF544" t="str">
        <f>HYPERLINK("http://dx.doi.org/10.1007/s00253-012-4669-9","http://dx.doi.org/10.1007/s00253-012-4669-9")</f>
        <v>http://dx.doi.org/10.1007/s00253-012-4669-9</v>
      </c>
      <c r="BG544" t="s">
        <v>74</v>
      </c>
      <c r="BH544" t="s">
        <v>74</v>
      </c>
      <c r="BI544">
        <v>11</v>
      </c>
      <c r="BJ544" t="s">
        <v>2583</v>
      </c>
      <c r="BK544" t="s">
        <v>102</v>
      </c>
      <c r="BL544" t="s">
        <v>2583</v>
      </c>
      <c r="BM544" t="s">
        <v>10338</v>
      </c>
      <c r="BN544">
        <v>23296502</v>
      </c>
      <c r="BO544" t="s">
        <v>74</v>
      </c>
      <c r="BP544" t="s">
        <v>74</v>
      </c>
      <c r="BQ544" t="s">
        <v>74</v>
      </c>
      <c r="BR544" t="s">
        <v>105</v>
      </c>
      <c r="BS544" t="s">
        <v>10339</v>
      </c>
      <c r="BT544" t="str">
        <f>HYPERLINK("https%3A%2F%2Fwww.webofscience.com%2Fwos%2Fwoscc%2Ffull-record%2FWOS:000318716700026","View Full Record in Web of Science")</f>
        <v>View Full Record in Web of Science</v>
      </c>
    </row>
    <row r="545" spans="1:72" x14ac:dyDescent="0.15">
      <c r="A545" t="s">
        <v>72</v>
      </c>
      <c r="B545" t="s">
        <v>10340</v>
      </c>
      <c r="C545" t="s">
        <v>74</v>
      </c>
      <c r="D545" t="s">
        <v>74</v>
      </c>
      <c r="E545" t="s">
        <v>74</v>
      </c>
      <c r="F545" t="s">
        <v>10341</v>
      </c>
      <c r="G545" t="s">
        <v>74</v>
      </c>
      <c r="H545" t="s">
        <v>74</v>
      </c>
      <c r="I545" t="s">
        <v>10342</v>
      </c>
      <c r="J545" t="s">
        <v>1068</v>
      </c>
      <c r="K545" t="s">
        <v>74</v>
      </c>
      <c r="L545" t="s">
        <v>74</v>
      </c>
      <c r="M545" t="s">
        <v>78</v>
      </c>
      <c r="N545" t="s">
        <v>79</v>
      </c>
      <c r="O545" t="s">
        <v>74</v>
      </c>
      <c r="P545" t="s">
        <v>74</v>
      </c>
      <c r="Q545" t="s">
        <v>74</v>
      </c>
      <c r="R545" t="s">
        <v>74</v>
      </c>
      <c r="S545" t="s">
        <v>74</v>
      </c>
      <c r="T545" t="s">
        <v>74</v>
      </c>
      <c r="U545" t="s">
        <v>10343</v>
      </c>
      <c r="V545" t="s">
        <v>10344</v>
      </c>
      <c r="W545" t="s">
        <v>10345</v>
      </c>
      <c r="X545" t="s">
        <v>10346</v>
      </c>
      <c r="Y545" t="s">
        <v>10347</v>
      </c>
      <c r="Z545" t="s">
        <v>10348</v>
      </c>
      <c r="AA545" t="s">
        <v>10349</v>
      </c>
      <c r="AB545" t="s">
        <v>10350</v>
      </c>
      <c r="AC545" t="s">
        <v>10351</v>
      </c>
      <c r="AD545" t="s">
        <v>10352</v>
      </c>
      <c r="AE545" t="s">
        <v>10353</v>
      </c>
      <c r="AF545" t="s">
        <v>74</v>
      </c>
      <c r="AG545">
        <v>70</v>
      </c>
      <c r="AH545">
        <v>16</v>
      </c>
      <c r="AI545">
        <v>19</v>
      </c>
      <c r="AJ545">
        <v>0</v>
      </c>
      <c r="AK545">
        <v>22</v>
      </c>
      <c r="AL545" t="s">
        <v>1080</v>
      </c>
      <c r="AM545" t="s">
        <v>1081</v>
      </c>
      <c r="AN545" t="s">
        <v>1082</v>
      </c>
      <c r="AO545" t="s">
        <v>1083</v>
      </c>
      <c r="AP545" t="s">
        <v>1084</v>
      </c>
      <c r="AQ545" t="s">
        <v>74</v>
      </c>
      <c r="AR545" t="s">
        <v>1085</v>
      </c>
      <c r="AS545" t="s">
        <v>1086</v>
      </c>
      <c r="AT545" t="s">
        <v>9169</v>
      </c>
      <c r="AU545">
        <v>2013</v>
      </c>
      <c r="AV545">
        <v>45</v>
      </c>
      <c r="AW545">
        <v>2</v>
      </c>
      <c r="AX545" t="s">
        <v>74</v>
      </c>
      <c r="AY545" t="s">
        <v>74</v>
      </c>
      <c r="AZ545" t="s">
        <v>74</v>
      </c>
      <c r="BA545" t="s">
        <v>74</v>
      </c>
      <c r="BB545">
        <v>161</v>
      </c>
      <c r="BC545">
        <v>178</v>
      </c>
      <c r="BD545" t="s">
        <v>74</v>
      </c>
      <c r="BE545" t="s">
        <v>10354</v>
      </c>
      <c r="BF545" t="str">
        <f>HYPERLINK("http://dx.doi.org/10.1657/1938-4246-45.2.161","http://dx.doi.org/10.1657/1938-4246-45.2.161")</f>
        <v>http://dx.doi.org/10.1657/1938-4246-45.2.161</v>
      </c>
      <c r="BG545" t="s">
        <v>74</v>
      </c>
      <c r="BH545" t="s">
        <v>74</v>
      </c>
      <c r="BI545">
        <v>18</v>
      </c>
      <c r="BJ545" t="s">
        <v>1088</v>
      </c>
      <c r="BK545" t="s">
        <v>102</v>
      </c>
      <c r="BL545" t="s">
        <v>1089</v>
      </c>
      <c r="BM545" t="s">
        <v>9171</v>
      </c>
      <c r="BN545" t="s">
        <v>74</v>
      </c>
      <c r="BO545" t="s">
        <v>577</v>
      </c>
      <c r="BP545" t="s">
        <v>74</v>
      </c>
      <c r="BQ545" t="s">
        <v>74</v>
      </c>
      <c r="BR545" t="s">
        <v>105</v>
      </c>
      <c r="BS545" t="s">
        <v>10355</v>
      </c>
      <c r="BT545" t="str">
        <f>HYPERLINK("https%3A%2F%2Fwww.webofscience.com%2Fwos%2Fwoscc%2Ffull-record%2FWOS:000329533100001","View Full Record in Web of Science")</f>
        <v>View Full Record in Web of Science</v>
      </c>
    </row>
    <row r="546" spans="1:72" x14ac:dyDescent="0.15">
      <c r="A546" t="s">
        <v>72</v>
      </c>
      <c r="B546" t="s">
        <v>10356</v>
      </c>
      <c r="C546" t="s">
        <v>74</v>
      </c>
      <c r="D546" t="s">
        <v>74</v>
      </c>
      <c r="E546" t="s">
        <v>74</v>
      </c>
      <c r="F546" t="s">
        <v>10357</v>
      </c>
      <c r="G546" t="s">
        <v>74</v>
      </c>
      <c r="H546" t="s">
        <v>74</v>
      </c>
      <c r="I546" t="s">
        <v>10358</v>
      </c>
      <c r="J546" t="s">
        <v>1068</v>
      </c>
      <c r="K546" t="s">
        <v>74</v>
      </c>
      <c r="L546" t="s">
        <v>74</v>
      </c>
      <c r="M546" t="s">
        <v>78</v>
      </c>
      <c r="N546" t="s">
        <v>79</v>
      </c>
      <c r="O546" t="s">
        <v>74</v>
      </c>
      <c r="P546" t="s">
        <v>74</v>
      </c>
      <c r="Q546" t="s">
        <v>74</v>
      </c>
      <c r="R546" t="s">
        <v>74</v>
      </c>
      <c r="S546" t="s">
        <v>74</v>
      </c>
      <c r="T546" t="s">
        <v>74</v>
      </c>
      <c r="U546" t="s">
        <v>10359</v>
      </c>
      <c r="V546" t="s">
        <v>10360</v>
      </c>
      <c r="W546" t="s">
        <v>10361</v>
      </c>
      <c r="X546" t="s">
        <v>10362</v>
      </c>
      <c r="Y546" t="s">
        <v>10363</v>
      </c>
      <c r="Z546" t="s">
        <v>10364</v>
      </c>
      <c r="AA546" t="s">
        <v>10365</v>
      </c>
      <c r="AB546" t="s">
        <v>10366</v>
      </c>
      <c r="AC546" t="s">
        <v>10367</v>
      </c>
      <c r="AD546" t="s">
        <v>10368</v>
      </c>
      <c r="AE546" t="s">
        <v>10369</v>
      </c>
      <c r="AF546" t="s">
        <v>74</v>
      </c>
      <c r="AG546">
        <v>51</v>
      </c>
      <c r="AH546">
        <v>19</v>
      </c>
      <c r="AI546">
        <v>26</v>
      </c>
      <c r="AJ546">
        <v>0</v>
      </c>
      <c r="AK546">
        <v>30</v>
      </c>
      <c r="AL546" t="s">
        <v>1080</v>
      </c>
      <c r="AM546" t="s">
        <v>1081</v>
      </c>
      <c r="AN546" t="s">
        <v>1082</v>
      </c>
      <c r="AO546" t="s">
        <v>1083</v>
      </c>
      <c r="AP546" t="s">
        <v>1084</v>
      </c>
      <c r="AQ546" t="s">
        <v>74</v>
      </c>
      <c r="AR546" t="s">
        <v>1085</v>
      </c>
      <c r="AS546" t="s">
        <v>1086</v>
      </c>
      <c r="AT546" t="s">
        <v>9169</v>
      </c>
      <c r="AU546">
        <v>2013</v>
      </c>
      <c r="AV546">
        <v>45</v>
      </c>
      <c r="AW546">
        <v>2</v>
      </c>
      <c r="AX546" t="s">
        <v>74</v>
      </c>
      <c r="AY546" t="s">
        <v>74</v>
      </c>
      <c r="AZ546" t="s">
        <v>74</v>
      </c>
      <c r="BA546" t="s">
        <v>74</v>
      </c>
      <c r="BB546">
        <v>179</v>
      </c>
      <c r="BC546">
        <v>189</v>
      </c>
      <c r="BD546" t="s">
        <v>74</v>
      </c>
      <c r="BE546" t="s">
        <v>10370</v>
      </c>
      <c r="BF546" t="str">
        <f>HYPERLINK("http://dx.doi.org/10.1657/1938-4246-45.2.179","http://dx.doi.org/10.1657/1938-4246-45.2.179")</f>
        <v>http://dx.doi.org/10.1657/1938-4246-45.2.179</v>
      </c>
      <c r="BG546" t="s">
        <v>74</v>
      </c>
      <c r="BH546" t="s">
        <v>74</v>
      </c>
      <c r="BI546">
        <v>11</v>
      </c>
      <c r="BJ546" t="s">
        <v>1088</v>
      </c>
      <c r="BK546" t="s">
        <v>102</v>
      </c>
      <c r="BL546" t="s">
        <v>1089</v>
      </c>
      <c r="BM546" t="s">
        <v>9171</v>
      </c>
      <c r="BN546" t="s">
        <v>74</v>
      </c>
      <c r="BO546" t="s">
        <v>426</v>
      </c>
      <c r="BP546" t="s">
        <v>74</v>
      </c>
      <c r="BQ546" t="s">
        <v>74</v>
      </c>
      <c r="BR546" t="s">
        <v>105</v>
      </c>
      <c r="BS546" t="s">
        <v>10371</v>
      </c>
      <c r="BT546" t="str">
        <f>HYPERLINK("https%3A%2F%2Fwww.webofscience.com%2Fwos%2Fwoscc%2Ffull-record%2FWOS:000329533100002","View Full Record in Web of Science")</f>
        <v>View Full Record in Web of Science</v>
      </c>
    </row>
    <row r="547" spans="1:72" x14ac:dyDescent="0.15">
      <c r="A547" t="s">
        <v>72</v>
      </c>
      <c r="B547" t="s">
        <v>10372</v>
      </c>
      <c r="C547" t="s">
        <v>74</v>
      </c>
      <c r="D547" t="s">
        <v>74</v>
      </c>
      <c r="E547" t="s">
        <v>74</v>
      </c>
      <c r="F547" t="s">
        <v>10373</v>
      </c>
      <c r="G547" t="s">
        <v>74</v>
      </c>
      <c r="H547" t="s">
        <v>74</v>
      </c>
      <c r="I547" t="s">
        <v>10374</v>
      </c>
      <c r="J547" t="s">
        <v>1068</v>
      </c>
      <c r="K547" t="s">
        <v>74</v>
      </c>
      <c r="L547" t="s">
        <v>74</v>
      </c>
      <c r="M547" t="s">
        <v>78</v>
      </c>
      <c r="N547" t="s">
        <v>79</v>
      </c>
      <c r="O547" t="s">
        <v>74</v>
      </c>
      <c r="P547" t="s">
        <v>74</v>
      </c>
      <c r="Q547" t="s">
        <v>74</v>
      </c>
      <c r="R547" t="s">
        <v>74</v>
      </c>
      <c r="S547" t="s">
        <v>74</v>
      </c>
      <c r="T547" t="s">
        <v>74</v>
      </c>
      <c r="U547" t="s">
        <v>10375</v>
      </c>
      <c r="V547" t="s">
        <v>10376</v>
      </c>
      <c r="W547" t="s">
        <v>10377</v>
      </c>
      <c r="X547" t="s">
        <v>10378</v>
      </c>
      <c r="Y547" t="s">
        <v>10379</v>
      </c>
      <c r="Z547" t="s">
        <v>10380</v>
      </c>
      <c r="AA547" t="s">
        <v>74</v>
      </c>
      <c r="AB547" t="s">
        <v>10381</v>
      </c>
      <c r="AC547" t="s">
        <v>10382</v>
      </c>
      <c r="AD547" t="s">
        <v>10383</v>
      </c>
      <c r="AE547" t="s">
        <v>10384</v>
      </c>
      <c r="AF547" t="s">
        <v>74</v>
      </c>
      <c r="AG547">
        <v>48</v>
      </c>
      <c r="AH547">
        <v>46</v>
      </c>
      <c r="AI547">
        <v>57</v>
      </c>
      <c r="AJ547">
        <v>2</v>
      </c>
      <c r="AK547">
        <v>55</v>
      </c>
      <c r="AL547" t="s">
        <v>1080</v>
      </c>
      <c r="AM547" t="s">
        <v>1081</v>
      </c>
      <c r="AN547" t="s">
        <v>1082</v>
      </c>
      <c r="AO547" t="s">
        <v>1083</v>
      </c>
      <c r="AP547" t="s">
        <v>1084</v>
      </c>
      <c r="AQ547" t="s">
        <v>74</v>
      </c>
      <c r="AR547" t="s">
        <v>1085</v>
      </c>
      <c r="AS547" t="s">
        <v>1086</v>
      </c>
      <c r="AT547" t="s">
        <v>9169</v>
      </c>
      <c r="AU547">
        <v>2013</v>
      </c>
      <c r="AV547">
        <v>45</v>
      </c>
      <c r="AW547">
        <v>2</v>
      </c>
      <c r="AX547" t="s">
        <v>74</v>
      </c>
      <c r="AY547" t="s">
        <v>74</v>
      </c>
      <c r="AZ547" t="s">
        <v>74</v>
      </c>
      <c r="BA547" t="s">
        <v>74</v>
      </c>
      <c r="BB547">
        <v>249</v>
      </c>
      <c r="BC547">
        <v>260</v>
      </c>
      <c r="BD547" t="s">
        <v>74</v>
      </c>
      <c r="BE547" t="s">
        <v>10385</v>
      </c>
      <c r="BF547" t="str">
        <f>HYPERLINK("http://dx.doi.org/10.1657/1938-4246-45.2.249","http://dx.doi.org/10.1657/1938-4246-45.2.249")</f>
        <v>http://dx.doi.org/10.1657/1938-4246-45.2.249</v>
      </c>
      <c r="BG547" t="s">
        <v>74</v>
      </c>
      <c r="BH547" t="s">
        <v>74</v>
      </c>
      <c r="BI547">
        <v>12</v>
      </c>
      <c r="BJ547" t="s">
        <v>1088</v>
      </c>
      <c r="BK547" t="s">
        <v>102</v>
      </c>
      <c r="BL547" t="s">
        <v>1089</v>
      </c>
      <c r="BM547" t="s">
        <v>9171</v>
      </c>
      <c r="BN547" t="s">
        <v>74</v>
      </c>
      <c r="BO547" t="s">
        <v>997</v>
      </c>
      <c r="BP547" t="s">
        <v>74</v>
      </c>
      <c r="BQ547" t="s">
        <v>74</v>
      </c>
      <c r="BR547" t="s">
        <v>105</v>
      </c>
      <c r="BS547" t="s">
        <v>10386</v>
      </c>
      <c r="BT547" t="str">
        <f>HYPERLINK("https%3A%2F%2Fwww.webofscience.com%2Fwos%2Fwoscc%2Ffull-record%2FWOS:000329533100009","View Full Record in Web of Science")</f>
        <v>View Full Record in Web of Science</v>
      </c>
    </row>
    <row r="548" spans="1:72" x14ac:dyDescent="0.15">
      <c r="A548" t="s">
        <v>72</v>
      </c>
      <c r="B548" t="s">
        <v>10387</v>
      </c>
      <c r="C548" t="s">
        <v>74</v>
      </c>
      <c r="D548" t="s">
        <v>74</v>
      </c>
      <c r="E548" t="s">
        <v>74</v>
      </c>
      <c r="F548" t="s">
        <v>10388</v>
      </c>
      <c r="G548" t="s">
        <v>74</v>
      </c>
      <c r="H548" t="s">
        <v>74</v>
      </c>
      <c r="I548" t="s">
        <v>10389</v>
      </c>
      <c r="J548" t="s">
        <v>1068</v>
      </c>
      <c r="K548" t="s">
        <v>74</v>
      </c>
      <c r="L548" t="s">
        <v>74</v>
      </c>
      <c r="M548" t="s">
        <v>78</v>
      </c>
      <c r="N548" t="s">
        <v>79</v>
      </c>
      <c r="O548" t="s">
        <v>74</v>
      </c>
      <c r="P548" t="s">
        <v>74</v>
      </c>
      <c r="Q548" t="s">
        <v>74</v>
      </c>
      <c r="R548" t="s">
        <v>74</v>
      </c>
      <c r="S548" t="s">
        <v>74</v>
      </c>
      <c r="T548" t="s">
        <v>74</v>
      </c>
      <c r="U548" t="s">
        <v>10390</v>
      </c>
      <c r="V548" t="s">
        <v>10391</v>
      </c>
      <c r="W548" t="s">
        <v>10392</v>
      </c>
      <c r="X548" t="s">
        <v>10393</v>
      </c>
      <c r="Y548" t="s">
        <v>10394</v>
      </c>
      <c r="Z548" t="s">
        <v>10395</v>
      </c>
      <c r="AA548" t="s">
        <v>10396</v>
      </c>
      <c r="AB548" t="s">
        <v>10397</v>
      </c>
      <c r="AC548" t="s">
        <v>10398</v>
      </c>
      <c r="AD548" t="s">
        <v>10399</v>
      </c>
      <c r="AE548" t="s">
        <v>10400</v>
      </c>
      <c r="AF548" t="s">
        <v>74</v>
      </c>
      <c r="AG548">
        <v>64</v>
      </c>
      <c r="AH548">
        <v>19</v>
      </c>
      <c r="AI548">
        <v>23</v>
      </c>
      <c r="AJ548">
        <v>6</v>
      </c>
      <c r="AK548">
        <v>59</v>
      </c>
      <c r="AL548" t="s">
        <v>1080</v>
      </c>
      <c r="AM548" t="s">
        <v>1081</v>
      </c>
      <c r="AN548" t="s">
        <v>1082</v>
      </c>
      <c r="AO548" t="s">
        <v>1083</v>
      </c>
      <c r="AP548" t="s">
        <v>1084</v>
      </c>
      <c r="AQ548" t="s">
        <v>74</v>
      </c>
      <c r="AR548" t="s">
        <v>1085</v>
      </c>
      <c r="AS548" t="s">
        <v>1086</v>
      </c>
      <c r="AT548" t="s">
        <v>9169</v>
      </c>
      <c r="AU548">
        <v>2013</v>
      </c>
      <c r="AV548">
        <v>45</v>
      </c>
      <c r="AW548">
        <v>2</v>
      </c>
      <c r="AX548" t="s">
        <v>74</v>
      </c>
      <c r="AY548" t="s">
        <v>74</v>
      </c>
      <c r="AZ548" t="s">
        <v>74</v>
      </c>
      <c r="BA548" t="s">
        <v>74</v>
      </c>
      <c r="BB548">
        <v>275</v>
      </c>
      <c r="BC548">
        <v>284</v>
      </c>
      <c r="BD548" t="s">
        <v>74</v>
      </c>
      <c r="BE548" t="s">
        <v>10401</v>
      </c>
      <c r="BF548" t="str">
        <f>HYPERLINK("http://dx.doi.org/10.1657/1938-4246-45.2.275","http://dx.doi.org/10.1657/1938-4246-45.2.275")</f>
        <v>http://dx.doi.org/10.1657/1938-4246-45.2.275</v>
      </c>
      <c r="BG548" t="s">
        <v>74</v>
      </c>
      <c r="BH548" t="s">
        <v>74</v>
      </c>
      <c r="BI548">
        <v>10</v>
      </c>
      <c r="BJ548" t="s">
        <v>1088</v>
      </c>
      <c r="BK548" t="s">
        <v>102</v>
      </c>
      <c r="BL548" t="s">
        <v>1089</v>
      </c>
      <c r="BM548" t="s">
        <v>9171</v>
      </c>
      <c r="BN548" t="s">
        <v>74</v>
      </c>
      <c r="BO548" t="s">
        <v>577</v>
      </c>
      <c r="BP548" t="s">
        <v>74</v>
      </c>
      <c r="BQ548" t="s">
        <v>74</v>
      </c>
      <c r="BR548" t="s">
        <v>105</v>
      </c>
      <c r="BS548" t="s">
        <v>10402</v>
      </c>
      <c r="BT548" t="str">
        <f>HYPERLINK("https%3A%2F%2Fwww.webofscience.com%2Fwos%2Fwoscc%2Ffull-record%2FWOS:000329533100011","View Full Record in Web of Science")</f>
        <v>View Full Record in Web of Science</v>
      </c>
    </row>
    <row r="549" spans="1:72" x14ac:dyDescent="0.15">
      <c r="A549" t="s">
        <v>72</v>
      </c>
      <c r="B549" t="s">
        <v>10403</v>
      </c>
      <c r="C549" t="s">
        <v>74</v>
      </c>
      <c r="D549" t="s">
        <v>74</v>
      </c>
      <c r="E549" t="s">
        <v>74</v>
      </c>
      <c r="F549" t="s">
        <v>10404</v>
      </c>
      <c r="G549" t="s">
        <v>74</v>
      </c>
      <c r="H549" t="s">
        <v>74</v>
      </c>
      <c r="I549" t="s">
        <v>10405</v>
      </c>
      <c r="J549" t="s">
        <v>10406</v>
      </c>
      <c r="K549" t="s">
        <v>74</v>
      </c>
      <c r="L549" t="s">
        <v>74</v>
      </c>
      <c r="M549" t="s">
        <v>78</v>
      </c>
      <c r="N549" t="s">
        <v>79</v>
      </c>
      <c r="O549" t="s">
        <v>74</v>
      </c>
      <c r="P549" t="s">
        <v>74</v>
      </c>
      <c r="Q549" t="s">
        <v>74</v>
      </c>
      <c r="R549" t="s">
        <v>74</v>
      </c>
      <c r="S549" t="s">
        <v>74</v>
      </c>
      <c r="T549" t="s">
        <v>10407</v>
      </c>
      <c r="U549" t="s">
        <v>10408</v>
      </c>
      <c r="V549" t="s">
        <v>10409</v>
      </c>
      <c r="W549" t="s">
        <v>10410</v>
      </c>
      <c r="X549" t="s">
        <v>10411</v>
      </c>
      <c r="Y549" t="s">
        <v>10412</v>
      </c>
      <c r="Z549" t="s">
        <v>10413</v>
      </c>
      <c r="AA549" t="s">
        <v>10414</v>
      </c>
      <c r="AB549" t="s">
        <v>10415</v>
      </c>
      <c r="AC549" t="s">
        <v>10416</v>
      </c>
      <c r="AD549" t="s">
        <v>10417</v>
      </c>
      <c r="AE549" t="s">
        <v>10418</v>
      </c>
      <c r="AF549" t="s">
        <v>74</v>
      </c>
      <c r="AG549">
        <v>60</v>
      </c>
      <c r="AH549">
        <v>5</v>
      </c>
      <c r="AI549">
        <v>5</v>
      </c>
      <c r="AJ549">
        <v>0</v>
      </c>
      <c r="AK549">
        <v>43</v>
      </c>
      <c r="AL549" t="s">
        <v>368</v>
      </c>
      <c r="AM549" t="s">
        <v>369</v>
      </c>
      <c r="AN549" t="s">
        <v>370</v>
      </c>
      <c r="AO549" t="s">
        <v>10419</v>
      </c>
      <c r="AP549" t="s">
        <v>10420</v>
      </c>
      <c r="AQ549" t="s">
        <v>74</v>
      </c>
      <c r="AR549" t="s">
        <v>10421</v>
      </c>
      <c r="AS549" t="s">
        <v>10422</v>
      </c>
      <c r="AT549" t="s">
        <v>9169</v>
      </c>
      <c r="AU549">
        <v>2013</v>
      </c>
      <c r="AV549">
        <v>38</v>
      </c>
      <c r="AW549">
        <v>3</v>
      </c>
      <c r="AX549" t="s">
        <v>74</v>
      </c>
      <c r="AY549" t="s">
        <v>74</v>
      </c>
      <c r="AZ549" t="s">
        <v>74</v>
      </c>
      <c r="BA549" t="s">
        <v>74</v>
      </c>
      <c r="BB549">
        <v>279</v>
      </c>
      <c r="BC549">
        <v>288</v>
      </c>
      <c r="BD549" t="s">
        <v>74</v>
      </c>
      <c r="BE549" t="s">
        <v>10423</v>
      </c>
      <c r="BF549" t="str">
        <f>HYPERLINK("http://dx.doi.org/10.1111/j.1442-9993.2012.02401.x","http://dx.doi.org/10.1111/j.1442-9993.2012.02401.x")</f>
        <v>http://dx.doi.org/10.1111/j.1442-9993.2012.02401.x</v>
      </c>
      <c r="BG549" t="s">
        <v>74</v>
      </c>
      <c r="BH549" t="s">
        <v>74</v>
      </c>
      <c r="BI549">
        <v>10</v>
      </c>
      <c r="BJ549" t="s">
        <v>5449</v>
      </c>
      <c r="BK549" t="s">
        <v>102</v>
      </c>
      <c r="BL549" t="s">
        <v>262</v>
      </c>
      <c r="BM549" t="s">
        <v>10424</v>
      </c>
      <c r="BN549" t="s">
        <v>74</v>
      </c>
      <c r="BO549" t="s">
        <v>74</v>
      </c>
      <c r="BP549" t="s">
        <v>74</v>
      </c>
      <c r="BQ549" t="s">
        <v>74</v>
      </c>
      <c r="BR549" t="s">
        <v>105</v>
      </c>
      <c r="BS549" t="s">
        <v>10425</v>
      </c>
      <c r="BT549" t="str">
        <f>HYPERLINK("https%3A%2F%2Fwww.webofscience.com%2Fwos%2Fwoscc%2Ffull-record%2FWOS:000318188200005","View Full Record in Web of Science")</f>
        <v>View Full Record in Web of Science</v>
      </c>
    </row>
    <row r="550" spans="1:72" x14ac:dyDescent="0.15">
      <c r="A550" t="s">
        <v>72</v>
      </c>
      <c r="B550" t="s">
        <v>10426</v>
      </c>
      <c r="C550" t="s">
        <v>74</v>
      </c>
      <c r="D550" t="s">
        <v>74</v>
      </c>
      <c r="E550" t="s">
        <v>74</v>
      </c>
      <c r="F550" t="s">
        <v>10427</v>
      </c>
      <c r="G550" t="s">
        <v>74</v>
      </c>
      <c r="H550" t="s">
        <v>74</v>
      </c>
      <c r="I550" t="s">
        <v>10428</v>
      </c>
      <c r="J550" t="s">
        <v>5906</v>
      </c>
      <c r="K550" t="s">
        <v>74</v>
      </c>
      <c r="L550" t="s">
        <v>74</v>
      </c>
      <c r="M550" t="s">
        <v>78</v>
      </c>
      <c r="N550" t="s">
        <v>79</v>
      </c>
      <c r="O550" t="s">
        <v>74</v>
      </c>
      <c r="P550" t="s">
        <v>74</v>
      </c>
      <c r="Q550" t="s">
        <v>74</v>
      </c>
      <c r="R550" t="s">
        <v>74</v>
      </c>
      <c r="S550" t="s">
        <v>74</v>
      </c>
      <c r="T550" t="s">
        <v>10429</v>
      </c>
      <c r="U550" t="s">
        <v>10430</v>
      </c>
      <c r="V550" t="s">
        <v>10431</v>
      </c>
      <c r="W550" t="s">
        <v>10432</v>
      </c>
      <c r="X550" t="s">
        <v>10433</v>
      </c>
      <c r="Y550" t="s">
        <v>10434</v>
      </c>
      <c r="Z550" t="s">
        <v>10435</v>
      </c>
      <c r="AA550" t="s">
        <v>74</v>
      </c>
      <c r="AB550" t="s">
        <v>10436</v>
      </c>
      <c r="AC550" t="s">
        <v>10437</v>
      </c>
      <c r="AD550" t="s">
        <v>5265</v>
      </c>
      <c r="AE550" t="s">
        <v>74</v>
      </c>
      <c r="AF550" t="s">
        <v>74</v>
      </c>
      <c r="AG550">
        <v>54</v>
      </c>
      <c r="AH550">
        <v>116</v>
      </c>
      <c r="AI550">
        <v>134</v>
      </c>
      <c r="AJ550">
        <v>6</v>
      </c>
      <c r="AK550">
        <v>130</v>
      </c>
      <c r="AL550" t="s">
        <v>1515</v>
      </c>
      <c r="AM550" t="s">
        <v>442</v>
      </c>
      <c r="AN550" t="s">
        <v>1516</v>
      </c>
      <c r="AO550" t="s">
        <v>5919</v>
      </c>
      <c r="AP550" t="s">
        <v>5920</v>
      </c>
      <c r="AQ550" t="s">
        <v>74</v>
      </c>
      <c r="AR550" t="s">
        <v>5921</v>
      </c>
      <c r="AS550" t="s">
        <v>5922</v>
      </c>
      <c r="AT550" t="s">
        <v>9169</v>
      </c>
      <c r="AU550">
        <v>2013</v>
      </c>
      <c r="AV550">
        <v>161</v>
      </c>
      <c r="AW550" t="s">
        <v>74</v>
      </c>
      <c r="AX550" t="s">
        <v>74</v>
      </c>
      <c r="AY550" t="s">
        <v>74</v>
      </c>
      <c r="AZ550" t="s">
        <v>74</v>
      </c>
      <c r="BA550" t="s">
        <v>74</v>
      </c>
      <c r="BB550">
        <v>10</v>
      </c>
      <c r="BC550">
        <v>17</v>
      </c>
      <c r="BD550" t="s">
        <v>74</v>
      </c>
      <c r="BE550" t="s">
        <v>10438</v>
      </c>
      <c r="BF550" t="str">
        <f>HYPERLINK("http://dx.doi.org/10.1016/j.biocon.2013.01.002","http://dx.doi.org/10.1016/j.biocon.2013.01.002")</f>
        <v>http://dx.doi.org/10.1016/j.biocon.2013.01.002</v>
      </c>
      <c r="BG550" t="s">
        <v>74</v>
      </c>
      <c r="BH550" t="s">
        <v>74</v>
      </c>
      <c r="BI550">
        <v>8</v>
      </c>
      <c r="BJ550" t="s">
        <v>3941</v>
      </c>
      <c r="BK550" t="s">
        <v>3246</v>
      </c>
      <c r="BL550" t="s">
        <v>1159</v>
      </c>
      <c r="BM550" t="s">
        <v>10439</v>
      </c>
      <c r="BN550" t="s">
        <v>74</v>
      </c>
      <c r="BO550" t="s">
        <v>74</v>
      </c>
      <c r="BP550" t="s">
        <v>74</v>
      </c>
      <c r="BQ550" t="s">
        <v>74</v>
      </c>
      <c r="BR550" t="s">
        <v>105</v>
      </c>
      <c r="BS550" t="s">
        <v>10440</v>
      </c>
      <c r="BT550" t="str">
        <f>HYPERLINK("https%3A%2F%2Fwww.webofscience.com%2Fwos%2Fwoscc%2Ffull-record%2FWOS:000320418000002","View Full Record in Web of Science")</f>
        <v>View Full Record in Web of Science</v>
      </c>
    </row>
    <row r="551" spans="1:72" x14ac:dyDescent="0.15">
      <c r="A551" t="s">
        <v>72</v>
      </c>
      <c r="B551" t="s">
        <v>10441</v>
      </c>
      <c r="C551" t="s">
        <v>74</v>
      </c>
      <c r="D551" t="s">
        <v>74</v>
      </c>
      <c r="E551" t="s">
        <v>74</v>
      </c>
      <c r="F551" t="s">
        <v>10442</v>
      </c>
      <c r="G551" t="s">
        <v>74</v>
      </c>
      <c r="H551" t="s">
        <v>74</v>
      </c>
      <c r="I551" t="s">
        <v>10443</v>
      </c>
      <c r="J551" t="s">
        <v>5906</v>
      </c>
      <c r="K551" t="s">
        <v>74</v>
      </c>
      <c r="L551" t="s">
        <v>74</v>
      </c>
      <c r="M551" t="s">
        <v>78</v>
      </c>
      <c r="N551" t="s">
        <v>79</v>
      </c>
      <c r="O551" t="s">
        <v>74</v>
      </c>
      <c r="P551" t="s">
        <v>74</v>
      </c>
      <c r="Q551" t="s">
        <v>74</v>
      </c>
      <c r="R551" t="s">
        <v>74</v>
      </c>
      <c r="S551" t="s">
        <v>74</v>
      </c>
      <c r="T551" t="s">
        <v>10444</v>
      </c>
      <c r="U551" t="s">
        <v>10445</v>
      </c>
      <c r="V551" t="s">
        <v>10446</v>
      </c>
      <c r="W551" t="s">
        <v>10447</v>
      </c>
      <c r="X551" t="s">
        <v>10448</v>
      </c>
      <c r="Y551" t="s">
        <v>10449</v>
      </c>
      <c r="Z551" t="s">
        <v>10450</v>
      </c>
      <c r="AA551" t="s">
        <v>10451</v>
      </c>
      <c r="AB551" t="s">
        <v>10452</v>
      </c>
      <c r="AC551" t="s">
        <v>10453</v>
      </c>
      <c r="AD551" t="s">
        <v>10454</v>
      </c>
      <c r="AE551" t="s">
        <v>10455</v>
      </c>
      <c r="AF551" t="s">
        <v>74</v>
      </c>
      <c r="AG551">
        <v>59</v>
      </c>
      <c r="AH551">
        <v>47</v>
      </c>
      <c r="AI551">
        <v>48</v>
      </c>
      <c r="AJ551">
        <v>1</v>
      </c>
      <c r="AK551">
        <v>76</v>
      </c>
      <c r="AL551" t="s">
        <v>1515</v>
      </c>
      <c r="AM551" t="s">
        <v>442</v>
      </c>
      <c r="AN551" t="s">
        <v>1516</v>
      </c>
      <c r="AO551" t="s">
        <v>5919</v>
      </c>
      <c r="AP551" t="s">
        <v>74</v>
      </c>
      <c r="AQ551" t="s">
        <v>74</v>
      </c>
      <c r="AR551" t="s">
        <v>5921</v>
      </c>
      <c r="AS551" t="s">
        <v>5922</v>
      </c>
      <c r="AT551" t="s">
        <v>9169</v>
      </c>
      <c r="AU551">
        <v>2013</v>
      </c>
      <c r="AV551">
        <v>161</v>
      </c>
      <c r="AW551" t="s">
        <v>74</v>
      </c>
      <c r="AX551" t="s">
        <v>74</v>
      </c>
      <c r="AY551" t="s">
        <v>74</v>
      </c>
      <c r="AZ551" t="s">
        <v>74</v>
      </c>
      <c r="BA551" t="s">
        <v>74</v>
      </c>
      <c r="BB551">
        <v>18</v>
      </c>
      <c r="BC551">
        <v>27</v>
      </c>
      <c r="BD551" t="s">
        <v>74</v>
      </c>
      <c r="BE551" t="s">
        <v>10456</v>
      </c>
      <c r="BF551" t="str">
        <f>HYPERLINK("http://dx.doi.org/10.1016/j.biocon.2013.02.005","http://dx.doi.org/10.1016/j.biocon.2013.02.005")</f>
        <v>http://dx.doi.org/10.1016/j.biocon.2013.02.005</v>
      </c>
      <c r="BG551" t="s">
        <v>74</v>
      </c>
      <c r="BH551" t="s">
        <v>74</v>
      </c>
      <c r="BI551">
        <v>10</v>
      </c>
      <c r="BJ551" t="s">
        <v>3941</v>
      </c>
      <c r="BK551" t="s">
        <v>102</v>
      </c>
      <c r="BL551" t="s">
        <v>1159</v>
      </c>
      <c r="BM551" t="s">
        <v>10439</v>
      </c>
      <c r="BN551" t="s">
        <v>74</v>
      </c>
      <c r="BO551" t="s">
        <v>74</v>
      </c>
      <c r="BP551" t="s">
        <v>74</v>
      </c>
      <c r="BQ551" t="s">
        <v>74</v>
      </c>
      <c r="BR551" t="s">
        <v>105</v>
      </c>
      <c r="BS551" t="s">
        <v>10457</v>
      </c>
      <c r="BT551" t="str">
        <f>HYPERLINK("https%3A%2F%2Fwww.webofscience.com%2Fwos%2Fwoscc%2Ffull-record%2FWOS:000320418000003","View Full Record in Web of Science")</f>
        <v>View Full Record in Web of Science</v>
      </c>
    </row>
    <row r="552" spans="1:72" x14ac:dyDescent="0.15">
      <c r="A552" t="s">
        <v>72</v>
      </c>
      <c r="B552" t="s">
        <v>10458</v>
      </c>
      <c r="C552" t="s">
        <v>74</v>
      </c>
      <c r="D552" t="s">
        <v>74</v>
      </c>
      <c r="E552" t="s">
        <v>74</v>
      </c>
      <c r="F552" t="s">
        <v>10459</v>
      </c>
      <c r="G552" t="s">
        <v>74</v>
      </c>
      <c r="H552" t="s">
        <v>74</v>
      </c>
      <c r="I552" t="s">
        <v>10460</v>
      </c>
      <c r="J552" t="s">
        <v>1207</v>
      </c>
      <c r="K552" t="s">
        <v>74</v>
      </c>
      <c r="L552" t="s">
        <v>74</v>
      </c>
      <c r="M552" t="s">
        <v>78</v>
      </c>
      <c r="N552" t="s">
        <v>79</v>
      </c>
      <c r="O552" t="s">
        <v>74</v>
      </c>
      <c r="P552" t="s">
        <v>74</v>
      </c>
      <c r="Q552" t="s">
        <v>74</v>
      </c>
      <c r="R552" t="s">
        <v>74</v>
      </c>
      <c r="S552" t="s">
        <v>74</v>
      </c>
      <c r="T552" t="s">
        <v>10461</v>
      </c>
      <c r="U552" t="s">
        <v>10462</v>
      </c>
      <c r="V552" t="s">
        <v>10463</v>
      </c>
      <c r="W552" t="s">
        <v>10464</v>
      </c>
      <c r="X552" t="s">
        <v>10465</v>
      </c>
      <c r="Y552" t="s">
        <v>10466</v>
      </c>
      <c r="Z552" t="s">
        <v>10467</v>
      </c>
      <c r="AA552" t="s">
        <v>10468</v>
      </c>
      <c r="AB552" t="s">
        <v>10469</v>
      </c>
      <c r="AC552" t="s">
        <v>10470</v>
      </c>
      <c r="AD552" t="s">
        <v>10471</v>
      </c>
      <c r="AE552" t="s">
        <v>10472</v>
      </c>
      <c r="AF552" t="s">
        <v>74</v>
      </c>
      <c r="AG552">
        <v>116</v>
      </c>
      <c r="AH552">
        <v>88</v>
      </c>
      <c r="AI552">
        <v>92</v>
      </c>
      <c r="AJ552">
        <v>0</v>
      </c>
      <c r="AK552">
        <v>53</v>
      </c>
      <c r="AL552" t="s">
        <v>529</v>
      </c>
      <c r="AM552" t="s">
        <v>391</v>
      </c>
      <c r="AN552" t="s">
        <v>530</v>
      </c>
      <c r="AO552" t="s">
        <v>1221</v>
      </c>
      <c r="AP552" t="s">
        <v>1222</v>
      </c>
      <c r="AQ552" t="s">
        <v>74</v>
      </c>
      <c r="AR552" t="s">
        <v>1223</v>
      </c>
      <c r="AS552" t="s">
        <v>1224</v>
      </c>
      <c r="AT552" t="s">
        <v>9169</v>
      </c>
      <c r="AU552">
        <v>2013</v>
      </c>
      <c r="AV552">
        <v>40</v>
      </c>
      <c r="AW552" t="s">
        <v>10473</v>
      </c>
      <c r="AX552" t="s">
        <v>74</v>
      </c>
      <c r="AY552" t="s">
        <v>74</v>
      </c>
      <c r="AZ552" t="s">
        <v>935</v>
      </c>
      <c r="BA552" t="s">
        <v>74</v>
      </c>
      <c r="BB552">
        <v>2549</v>
      </c>
      <c r="BC552">
        <v>2573</v>
      </c>
      <c r="BD552" t="s">
        <v>74</v>
      </c>
      <c r="BE552" t="s">
        <v>10474</v>
      </c>
      <c r="BF552" t="str">
        <f>HYPERLINK("http://dx.doi.org/10.1007/s00382-012-1362-8","http://dx.doi.org/10.1007/s00382-012-1362-8")</f>
        <v>http://dx.doi.org/10.1007/s00382-012-1362-8</v>
      </c>
      <c r="BG552" t="s">
        <v>74</v>
      </c>
      <c r="BH552" t="s">
        <v>74</v>
      </c>
      <c r="BI552">
        <v>25</v>
      </c>
      <c r="BJ552" t="s">
        <v>305</v>
      </c>
      <c r="BK552" t="s">
        <v>102</v>
      </c>
      <c r="BL552" t="s">
        <v>305</v>
      </c>
      <c r="BM552" t="s">
        <v>10475</v>
      </c>
      <c r="BN552" t="s">
        <v>74</v>
      </c>
      <c r="BO552" t="s">
        <v>6715</v>
      </c>
      <c r="BP552" t="s">
        <v>74</v>
      </c>
      <c r="BQ552" t="s">
        <v>74</v>
      </c>
      <c r="BR552" t="s">
        <v>105</v>
      </c>
      <c r="BS552" t="s">
        <v>10476</v>
      </c>
      <c r="BT552" t="str">
        <f>HYPERLINK("https%3A%2F%2Fwww.webofscience.com%2Fwos%2Fwoscc%2Ffull-record%2FWOS:000318278700023","View Full Record in Web of Science")</f>
        <v>View Full Record in Web of Science</v>
      </c>
    </row>
    <row r="553" spans="1:72" x14ac:dyDescent="0.15">
      <c r="A553" t="s">
        <v>72</v>
      </c>
      <c r="B553" t="s">
        <v>10477</v>
      </c>
      <c r="C553" t="s">
        <v>74</v>
      </c>
      <c r="D553" t="s">
        <v>74</v>
      </c>
      <c r="E553" t="s">
        <v>74</v>
      </c>
      <c r="F553" t="s">
        <v>10478</v>
      </c>
      <c r="G553" t="s">
        <v>74</v>
      </c>
      <c r="H553" t="s">
        <v>74</v>
      </c>
      <c r="I553" t="s">
        <v>10479</v>
      </c>
      <c r="J553" t="s">
        <v>10480</v>
      </c>
      <c r="K553" t="s">
        <v>74</v>
      </c>
      <c r="L553" t="s">
        <v>74</v>
      </c>
      <c r="M553" t="s">
        <v>78</v>
      </c>
      <c r="N553" t="s">
        <v>991</v>
      </c>
      <c r="O553" t="s">
        <v>74</v>
      </c>
      <c r="P553" t="s">
        <v>74</v>
      </c>
      <c r="Q553" t="s">
        <v>74</v>
      </c>
      <c r="R553" t="s">
        <v>74</v>
      </c>
      <c r="S553" t="s">
        <v>74</v>
      </c>
      <c r="T553" t="s">
        <v>10481</v>
      </c>
      <c r="U553" t="s">
        <v>74</v>
      </c>
      <c r="V553" t="s">
        <v>10482</v>
      </c>
      <c r="W553" t="s">
        <v>10483</v>
      </c>
      <c r="X553" t="s">
        <v>10484</v>
      </c>
      <c r="Y553" t="s">
        <v>10485</v>
      </c>
      <c r="Z553" t="s">
        <v>10486</v>
      </c>
      <c r="AA553" t="s">
        <v>10487</v>
      </c>
      <c r="AB553" t="s">
        <v>10488</v>
      </c>
      <c r="AC553" t="s">
        <v>74</v>
      </c>
      <c r="AD553" t="s">
        <v>74</v>
      </c>
      <c r="AE553" t="s">
        <v>74</v>
      </c>
      <c r="AF553" t="s">
        <v>74</v>
      </c>
      <c r="AG553">
        <v>8</v>
      </c>
      <c r="AH553">
        <v>7</v>
      </c>
      <c r="AI553">
        <v>7</v>
      </c>
      <c r="AJ553">
        <v>0</v>
      </c>
      <c r="AK553">
        <v>10</v>
      </c>
      <c r="AL553" t="s">
        <v>195</v>
      </c>
      <c r="AM553" t="s">
        <v>155</v>
      </c>
      <c r="AN553" t="s">
        <v>196</v>
      </c>
      <c r="AO553" t="s">
        <v>10489</v>
      </c>
      <c r="AP553" t="s">
        <v>10490</v>
      </c>
      <c r="AQ553" t="s">
        <v>74</v>
      </c>
      <c r="AR553" t="s">
        <v>10491</v>
      </c>
      <c r="AS553" t="s">
        <v>10492</v>
      </c>
      <c r="AT553" t="s">
        <v>9169</v>
      </c>
      <c r="AU553">
        <v>2013</v>
      </c>
      <c r="AV553">
        <v>75</v>
      </c>
      <c r="AW553" t="s">
        <v>74</v>
      </c>
      <c r="AX553" t="s">
        <v>74</v>
      </c>
      <c r="AY553" t="s">
        <v>74</v>
      </c>
      <c r="AZ553" t="s">
        <v>74</v>
      </c>
      <c r="BA553" t="s">
        <v>74</v>
      </c>
      <c r="BB553">
        <v>1</v>
      </c>
      <c r="BC553">
        <v>3</v>
      </c>
      <c r="BD553" t="s">
        <v>74</v>
      </c>
      <c r="BE553" t="s">
        <v>10493</v>
      </c>
      <c r="BF553" t="str">
        <f>HYPERLINK("http://dx.doi.org/10.1016/j.coastaleng.2012.12.003","http://dx.doi.org/10.1016/j.coastaleng.2012.12.003")</f>
        <v>http://dx.doi.org/10.1016/j.coastaleng.2012.12.003</v>
      </c>
      <c r="BG553" t="s">
        <v>74</v>
      </c>
      <c r="BH553" t="s">
        <v>74</v>
      </c>
      <c r="BI553">
        <v>3</v>
      </c>
      <c r="BJ553" t="s">
        <v>10494</v>
      </c>
      <c r="BK553" t="s">
        <v>102</v>
      </c>
      <c r="BL553" t="s">
        <v>6479</v>
      </c>
      <c r="BM553" t="s">
        <v>10495</v>
      </c>
      <c r="BN553" t="s">
        <v>74</v>
      </c>
      <c r="BO553" t="s">
        <v>74</v>
      </c>
      <c r="BP553" t="s">
        <v>74</v>
      </c>
      <c r="BQ553" t="s">
        <v>74</v>
      </c>
      <c r="BR553" t="s">
        <v>105</v>
      </c>
      <c r="BS553" t="s">
        <v>10496</v>
      </c>
      <c r="BT553" t="str">
        <f>HYPERLINK("https%3A%2F%2Fwww.webofscience.com%2Fwos%2Fwoscc%2Ffull-record%2FWOS:000316583200001","View Full Record in Web of Science")</f>
        <v>View Full Record in Web of Science</v>
      </c>
    </row>
    <row r="554" spans="1:72" x14ac:dyDescent="0.15">
      <c r="A554" t="s">
        <v>72</v>
      </c>
      <c r="B554" t="s">
        <v>10497</v>
      </c>
      <c r="C554" t="s">
        <v>74</v>
      </c>
      <c r="D554" t="s">
        <v>74</v>
      </c>
      <c r="E554" t="s">
        <v>74</v>
      </c>
      <c r="F554" t="s">
        <v>10498</v>
      </c>
      <c r="G554" t="s">
        <v>74</v>
      </c>
      <c r="H554" t="s">
        <v>74</v>
      </c>
      <c r="I554" t="s">
        <v>10499</v>
      </c>
      <c r="J554" t="s">
        <v>1231</v>
      </c>
      <c r="K554" t="s">
        <v>74</v>
      </c>
      <c r="L554" t="s">
        <v>74</v>
      </c>
      <c r="M554" t="s">
        <v>78</v>
      </c>
      <c r="N554" t="s">
        <v>79</v>
      </c>
      <c r="O554" t="s">
        <v>74</v>
      </c>
      <c r="P554" t="s">
        <v>74</v>
      </c>
      <c r="Q554" t="s">
        <v>74</v>
      </c>
      <c r="R554" t="s">
        <v>74</v>
      </c>
      <c r="S554" t="s">
        <v>74</v>
      </c>
      <c r="T554" t="s">
        <v>10500</v>
      </c>
      <c r="U554" t="s">
        <v>10501</v>
      </c>
      <c r="V554" t="s">
        <v>10502</v>
      </c>
      <c r="W554" t="s">
        <v>10503</v>
      </c>
      <c r="X554" t="s">
        <v>10504</v>
      </c>
      <c r="Y554" t="s">
        <v>10505</v>
      </c>
      <c r="Z554" t="s">
        <v>10506</v>
      </c>
      <c r="AA554" t="s">
        <v>10507</v>
      </c>
      <c r="AB554" t="s">
        <v>10508</v>
      </c>
      <c r="AC554" t="s">
        <v>10509</v>
      </c>
      <c r="AD554" t="s">
        <v>10510</v>
      </c>
      <c r="AE554" t="s">
        <v>10511</v>
      </c>
      <c r="AF554" t="s">
        <v>74</v>
      </c>
      <c r="AG554">
        <v>29</v>
      </c>
      <c r="AH554">
        <v>10</v>
      </c>
      <c r="AI554">
        <v>11</v>
      </c>
      <c r="AJ554">
        <v>0</v>
      </c>
      <c r="AK554">
        <v>14</v>
      </c>
      <c r="AL554" t="s">
        <v>1244</v>
      </c>
      <c r="AM554" t="s">
        <v>391</v>
      </c>
      <c r="AN554" t="s">
        <v>8959</v>
      </c>
      <c r="AO554" t="s">
        <v>1246</v>
      </c>
      <c r="AP554" t="s">
        <v>1247</v>
      </c>
      <c r="AQ554" t="s">
        <v>74</v>
      </c>
      <c r="AR554" t="s">
        <v>1248</v>
      </c>
      <c r="AS554" t="s">
        <v>1249</v>
      </c>
      <c r="AT554" t="s">
        <v>9169</v>
      </c>
      <c r="AU554">
        <v>2013</v>
      </c>
      <c r="AV554">
        <v>165</v>
      </c>
      <c r="AW554">
        <v>1</v>
      </c>
      <c r="AX554" t="s">
        <v>74</v>
      </c>
      <c r="AY554" t="s">
        <v>74</v>
      </c>
      <c r="AZ554" t="s">
        <v>74</v>
      </c>
      <c r="BA554" t="s">
        <v>74</v>
      </c>
      <c r="BB554">
        <v>58</v>
      </c>
      <c r="BC554">
        <v>65</v>
      </c>
      <c r="BD554" t="s">
        <v>74</v>
      </c>
      <c r="BE554" t="s">
        <v>10512</v>
      </c>
      <c r="BF554" t="str">
        <f>HYPERLINK("http://dx.doi.org/10.1016/j.cbpb.2013.03.002","http://dx.doi.org/10.1016/j.cbpb.2013.03.002")</f>
        <v>http://dx.doi.org/10.1016/j.cbpb.2013.03.002</v>
      </c>
      <c r="BG554" t="s">
        <v>74</v>
      </c>
      <c r="BH554" t="s">
        <v>74</v>
      </c>
      <c r="BI554">
        <v>8</v>
      </c>
      <c r="BJ554" t="s">
        <v>1251</v>
      </c>
      <c r="BK554" t="s">
        <v>102</v>
      </c>
      <c r="BL554" t="s">
        <v>1251</v>
      </c>
      <c r="BM554" t="s">
        <v>10513</v>
      </c>
      <c r="BN554">
        <v>23499940</v>
      </c>
      <c r="BO554" t="s">
        <v>74</v>
      </c>
      <c r="BP554" t="s">
        <v>74</v>
      </c>
      <c r="BQ554" t="s">
        <v>74</v>
      </c>
      <c r="BR554" t="s">
        <v>105</v>
      </c>
      <c r="BS554" t="s">
        <v>10514</v>
      </c>
      <c r="BT554" t="str">
        <f>HYPERLINK("https%3A%2F%2Fwww.webofscience.com%2Fwos%2Fwoscc%2Ffull-record%2FWOS:000318464900008","View Full Record in Web of Science")</f>
        <v>View Full Record in Web of Science</v>
      </c>
    </row>
    <row r="555" spans="1:72" x14ac:dyDescent="0.15">
      <c r="A555" t="s">
        <v>72</v>
      </c>
      <c r="B555" t="s">
        <v>10515</v>
      </c>
      <c r="C555" t="s">
        <v>74</v>
      </c>
      <c r="D555" t="s">
        <v>74</v>
      </c>
      <c r="E555" t="s">
        <v>74</v>
      </c>
      <c r="F555" t="s">
        <v>10516</v>
      </c>
      <c r="G555" t="s">
        <v>74</v>
      </c>
      <c r="H555" t="s">
        <v>74</v>
      </c>
      <c r="I555" t="s">
        <v>10517</v>
      </c>
      <c r="J555" t="s">
        <v>1257</v>
      </c>
      <c r="K555" t="s">
        <v>74</v>
      </c>
      <c r="L555" t="s">
        <v>74</v>
      </c>
      <c r="M555" t="s">
        <v>78</v>
      </c>
      <c r="N555" t="s">
        <v>79</v>
      </c>
      <c r="O555" t="s">
        <v>74</v>
      </c>
      <c r="P555" t="s">
        <v>74</v>
      </c>
      <c r="Q555" t="s">
        <v>74</v>
      </c>
      <c r="R555" t="s">
        <v>74</v>
      </c>
      <c r="S555" t="s">
        <v>74</v>
      </c>
      <c r="T555" t="s">
        <v>10518</v>
      </c>
      <c r="U555" t="s">
        <v>10519</v>
      </c>
      <c r="V555" t="s">
        <v>10520</v>
      </c>
      <c r="W555" t="s">
        <v>10521</v>
      </c>
      <c r="X555" t="s">
        <v>10522</v>
      </c>
      <c r="Y555" t="s">
        <v>10523</v>
      </c>
      <c r="Z555" t="s">
        <v>10524</v>
      </c>
      <c r="AA555" t="s">
        <v>10525</v>
      </c>
      <c r="AB555" t="s">
        <v>10526</v>
      </c>
      <c r="AC555" t="s">
        <v>10527</v>
      </c>
      <c r="AD555" t="s">
        <v>10528</v>
      </c>
      <c r="AE555" t="s">
        <v>10529</v>
      </c>
      <c r="AF555" t="s">
        <v>74</v>
      </c>
      <c r="AG555">
        <v>98</v>
      </c>
      <c r="AH555">
        <v>38</v>
      </c>
      <c r="AI555">
        <v>42</v>
      </c>
      <c r="AJ555">
        <v>1</v>
      </c>
      <c r="AK555">
        <v>74</v>
      </c>
      <c r="AL555" t="s">
        <v>506</v>
      </c>
      <c r="AM555" t="s">
        <v>442</v>
      </c>
      <c r="AN555" t="s">
        <v>507</v>
      </c>
      <c r="AO555" t="s">
        <v>1269</v>
      </c>
      <c r="AP555" t="s">
        <v>1270</v>
      </c>
      <c r="AQ555" t="s">
        <v>74</v>
      </c>
      <c r="AR555" t="s">
        <v>1271</v>
      </c>
      <c r="AS555" t="s">
        <v>1272</v>
      </c>
      <c r="AT555" t="s">
        <v>9169</v>
      </c>
      <c r="AU555">
        <v>2013</v>
      </c>
      <c r="AV555">
        <v>75</v>
      </c>
      <c r="AW555" t="s">
        <v>74</v>
      </c>
      <c r="AX555" t="s">
        <v>74</v>
      </c>
      <c r="AY555" t="s">
        <v>74</v>
      </c>
      <c r="AZ555" t="s">
        <v>74</v>
      </c>
      <c r="BA555" t="s">
        <v>74</v>
      </c>
      <c r="BB555">
        <v>52</v>
      </c>
      <c r="BC555">
        <v>66</v>
      </c>
      <c r="BD555" t="s">
        <v>74</v>
      </c>
      <c r="BE555" t="s">
        <v>10530</v>
      </c>
      <c r="BF555" t="str">
        <f>HYPERLINK("http://dx.doi.org/10.1016/j.dsr.2013.02.001","http://dx.doi.org/10.1016/j.dsr.2013.02.001")</f>
        <v>http://dx.doi.org/10.1016/j.dsr.2013.02.001</v>
      </c>
      <c r="BG555" t="s">
        <v>74</v>
      </c>
      <c r="BH555" t="s">
        <v>74</v>
      </c>
      <c r="BI555">
        <v>15</v>
      </c>
      <c r="BJ555" t="s">
        <v>327</v>
      </c>
      <c r="BK555" t="s">
        <v>102</v>
      </c>
      <c r="BL555" t="s">
        <v>327</v>
      </c>
      <c r="BM555" t="s">
        <v>10148</v>
      </c>
      <c r="BN555" t="s">
        <v>74</v>
      </c>
      <c r="BO555" t="s">
        <v>1063</v>
      </c>
      <c r="BP555" t="s">
        <v>74</v>
      </c>
      <c r="BQ555" t="s">
        <v>74</v>
      </c>
      <c r="BR555" t="s">
        <v>105</v>
      </c>
      <c r="BS555" t="s">
        <v>10531</v>
      </c>
      <c r="BT555" t="str">
        <f>HYPERLINK("https%3A%2F%2Fwww.webofscience.com%2Fwos%2Fwoscc%2Ffull-record%2FWOS:000317888800005","View Full Record in Web of Science")</f>
        <v>View Full Record in Web of Science</v>
      </c>
    </row>
    <row r="556" spans="1:72" x14ac:dyDescent="0.15">
      <c r="A556" t="s">
        <v>72</v>
      </c>
      <c r="B556" t="s">
        <v>10532</v>
      </c>
      <c r="C556" t="s">
        <v>74</v>
      </c>
      <c r="D556" t="s">
        <v>74</v>
      </c>
      <c r="E556" t="s">
        <v>74</v>
      </c>
      <c r="F556" t="s">
        <v>10533</v>
      </c>
      <c r="G556" t="s">
        <v>74</v>
      </c>
      <c r="H556" t="s">
        <v>74</v>
      </c>
      <c r="I556" t="s">
        <v>10534</v>
      </c>
      <c r="J556" t="s">
        <v>1257</v>
      </c>
      <c r="K556" t="s">
        <v>74</v>
      </c>
      <c r="L556" t="s">
        <v>74</v>
      </c>
      <c r="M556" t="s">
        <v>78</v>
      </c>
      <c r="N556" t="s">
        <v>79</v>
      </c>
      <c r="O556" t="s">
        <v>74</v>
      </c>
      <c r="P556" t="s">
        <v>74</v>
      </c>
      <c r="Q556" t="s">
        <v>74</v>
      </c>
      <c r="R556" t="s">
        <v>74</v>
      </c>
      <c r="S556" t="s">
        <v>74</v>
      </c>
      <c r="T556" t="s">
        <v>10535</v>
      </c>
      <c r="U556" t="s">
        <v>10536</v>
      </c>
      <c r="V556" t="s">
        <v>10537</v>
      </c>
      <c r="W556" t="s">
        <v>10538</v>
      </c>
      <c r="X556" t="s">
        <v>10539</v>
      </c>
      <c r="Y556" t="s">
        <v>10540</v>
      </c>
      <c r="Z556" t="s">
        <v>10541</v>
      </c>
      <c r="AA556" t="s">
        <v>74</v>
      </c>
      <c r="AB556" t="s">
        <v>10542</v>
      </c>
      <c r="AC556" t="s">
        <v>10543</v>
      </c>
      <c r="AD556" t="s">
        <v>995</v>
      </c>
      <c r="AE556" t="s">
        <v>74</v>
      </c>
      <c r="AF556" t="s">
        <v>74</v>
      </c>
      <c r="AG556">
        <v>86</v>
      </c>
      <c r="AH556">
        <v>17</v>
      </c>
      <c r="AI556">
        <v>21</v>
      </c>
      <c r="AJ556">
        <v>1</v>
      </c>
      <c r="AK556">
        <v>63</v>
      </c>
      <c r="AL556" t="s">
        <v>506</v>
      </c>
      <c r="AM556" t="s">
        <v>442</v>
      </c>
      <c r="AN556" t="s">
        <v>507</v>
      </c>
      <c r="AO556" t="s">
        <v>1269</v>
      </c>
      <c r="AP556" t="s">
        <v>1270</v>
      </c>
      <c r="AQ556" t="s">
        <v>74</v>
      </c>
      <c r="AR556" t="s">
        <v>1271</v>
      </c>
      <c r="AS556" t="s">
        <v>1272</v>
      </c>
      <c r="AT556" t="s">
        <v>9169</v>
      </c>
      <c r="AU556">
        <v>2013</v>
      </c>
      <c r="AV556">
        <v>75</v>
      </c>
      <c r="AW556" t="s">
        <v>74</v>
      </c>
      <c r="AX556" t="s">
        <v>74</v>
      </c>
      <c r="AY556" t="s">
        <v>74</v>
      </c>
      <c r="AZ556" t="s">
        <v>74</v>
      </c>
      <c r="BA556" t="s">
        <v>74</v>
      </c>
      <c r="BB556">
        <v>67</v>
      </c>
      <c r="BC556">
        <v>77</v>
      </c>
      <c r="BD556" t="s">
        <v>74</v>
      </c>
      <c r="BE556" t="s">
        <v>10544</v>
      </c>
      <c r="BF556" t="str">
        <f>HYPERLINK("http://dx.doi.org/10.1016/j.dsr.2012.12.012","http://dx.doi.org/10.1016/j.dsr.2012.12.012")</f>
        <v>http://dx.doi.org/10.1016/j.dsr.2012.12.012</v>
      </c>
      <c r="BG556" t="s">
        <v>74</v>
      </c>
      <c r="BH556" t="s">
        <v>74</v>
      </c>
      <c r="BI556">
        <v>11</v>
      </c>
      <c r="BJ556" t="s">
        <v>327</v>
      </c>
      <c r="BK556" t="s">
        <v>102</v>
      </c>
      <c r="BL556" t="s">
        <v>327</v>
      </c>
      <c r="BM556" t="s">
        <v>10148</v>
      </c>
      <c r="BN556" t="s">
        <v>74</v>
      </c>
      <c r="BO556" t="s">
        <v>1063</v>
      </c>
      <c r="BP556" t="s">
        <v>74</v>
      </c>
      <c r="BQ556" t="s">
        <v>74</v>
      </c>
      <c r="BR556" t="s">
        <v>105</v>
      </c>
      <c r="BS556" t="s">
        <v>10545</v>
      </c>
      <c r="BT556" t="str">
        <f>HYPERLINK("https%3A%2F%2Fwww.webofscience.com%2Fwos%2Fwoscc%2Ffull-record%2FWOS:000317888800006","View Full Record in Web of Science")</f>
        <v>View Full Record in Web of Science</v>
      </c>
    </row>
    <row r="557" spans="1:72" x14ac:dyDescent="0.15">
      <c r="A557" t="s">
        <v>72</v>
      </c>
      <c r="B557" t="s">
        <v>10546</v>
      </c>
      <c r="C557" t="s">
        <v>74</v>
      </c>
      <c r="D557" t="s">
        <v>74</v>
      </c>
      <c r="E557" t="s">
        <v>74</v>
      </c>
      <c r="F557" t="s">
        <v>10547</v>
      </c>
      <c r="G557" t="s">
        <v>74</v>
      </c>
      <c r="H557" t="s">
        <v>74</v>
      </c>
      <c r="I557" t="s">
        <v>10548</v>
      </c>
      <c r="J557" t="s">
        <v>10549</v>
      </c>
      <c r="K557" t="s">
        <v>74</v>
      </c>
      <c r="L557" t="s">
        <v>74</v>
      </c>
      <c r="M557" t="s">
        <v>78</v>
      </c>
      <c r="N557" t="s">
        <v>1459</v>
      </c>
      <c r="O557" t="s">
        <v>74</v>
      </c>
      <c r="P557" t="s">
        <v>74</v>
      </c>
      <c r="Q557" t="s">
        <v>74</v>
      </c>
      <c r="R557" t="s">
        <v>74</v>
      </c>
      <c r="S557" t="s">
        <v>74</v>
      </c>
      <c r="T557" t="s">
        <v>10550</v>
      </c>
      <c r="U557" t="s">
        <v>10551</v>
      </c>
      <c r="V557" t="s">
        <v>10552</v>
      </c>
      <c r="W557" t="s">
        <v>10553</v>
      </c>
      <c r="X557" t="s">
        <v>10554</v>
      </c>
      <c r="Y557" t="s">
        <v>10555</v>
      </c>
      <c r="Z557" t="s">
        <v>10556</v>
      </c>
      <c r="AA557" t="s">
        <v>10557</v>
      </c>
      <c r="AB557" t="s">
        <v>10558</v>
      </c>
      <c r="AC557" t="s">
        <v>74</v>
      </c>
      <c r="AD557" t="s">
        <v>74</v>
      </c>
      <c r="AE557" t="s">
        <v>74</v>
      </c>
      <c r="AF557" t="s">
        <v>74</v>
      </c>
      <c r="AG557">
        <v>101</v>
      </c>
      <c r="AH557">
        <v>210</v>
      </c>
      <c r="AI557">
        <v>238</v>
      </c>
      <c r="AJ557">
        <v>11</v>
      </c>
      <c r="AK557">
        <v>464</v>
      </c>
      <c r="AL557" t="s">
        <v>368</v>
      </c>
      <c r="AM557" t="s">
        <v>369</v>
      </c>
      <c r="AN557" t="s">
        <v>370</v>
      </c>
      <c r="AO557" t="s">
        <v>10559</v>
      </c>
      <c r="AP557" t="s">
        <v>10560</v>
      </c>
      <c r="AQ557" t="s">
        <v>74</v>
      </c>
      <c r="AR557" t="s">
        <v>10561</v>
      </c>
      <c r="AS557" t="s">
        <v>10562</v>
      </c>
      <c r="AT557" t="s">
        <v>9169</v>
      </c>
      <c r="AU557">
        <v>2013</v>
      </c>
      <c r="AV557">
        <v>16</v>
      </c>
      <c r="AW557" t="s">
        <v>74</v>
      </c>
      <c r="AX557" t="s">
        <v>74</v>
      </c>
      <c r="AY557">
        <v>1</v>
      </c>
      <c r="AZ557" t="s">
        <v>935</v>
      </c>
      <c r="BA557" t="s">
        <v>74</v>
      </c>
      <c r="BB557">
        <v>128</v>
      </c>
      <c r="BC557">
        <v>139</v>
      </c>
      <c r="BD557" t="s">
        <v>74</v>
      </c>
      <c r="BE557" t="s">
        <v>10563</v>
      </c>
      <c r="BF557" t="str">
        <f>HYPERLINK("http://dx.doi.org/10.1111/ele.12109","http://dx.doi.org/10.1111/ele.12109")</f>
        <v>http://dx.doi.org/10.1111/ele.12109</v>
      </c>
      <c r="BG557" t="s">
        <v>74</v>
      </c>
      <c r="BH557" t="s">
        <v>74</v>
      </c>
      <c r="BI557">
        <v>12</v>
      </c>
      <c r="BJ557" t="s">
        <v>5449</v>
      </c>
      <c r="BK557" t="s">
        <v>102</v>
      </c>
      <c r="BL557" t="s">
        <v>262</v>
      </c>
      <c r="BM557" t="s">
        <v>10564</v>
      </c>
      <c r="BN557">
        <v>23679012</v>
      </c>
      <c r="BO557" t="s">
        <v>104</v>
      </c>
      <c r="BP557" t="s">
        <v>74</v>
      </c>
      <c r="BQ557" t="s">
        <v>74</v>
      </c>
      <c r="BR557" t="s">
        <v>105</v>
      </c>
      <c r="BS557" t="s">
        <v>10565</v>
      </c>
      <c r="BT557" t="str">
        <f>HYPERLINK("https%3A%2F%2Fwww.webofscience.com%2Fwos%2Fwoscc%2Ffull-record%2FWOS:000319006400013","View Full Record in Web of Science")</f>
        <v>View Full Record in Web of Science</v>
      </c>
    </row>
    <row r="558" spans="1:72" x14ac:dyDescent="0.15">
      <c r="A558" t="s">
        <v>72</v>
      </c>
      <c r="B558" t="s">
        <v>10566</v>
      </c>
      <c r="C558" t="s">
        <v>74</v>
      </c>
      <c r="D558" t="s">
        <v>74</v>
      </c>
      <c r="E558" t="s">
        <v>74</v>
      </c>
      <c r="F558" t="s">
        <v>10567</v>
      </c>
      <c r="G558" t="s">
        <v>74</v>
      </c>
      <c r="H558" t="s">
        <v>74</v>
      </c>
      <c r="I558" t="s">
        <v>10568</v>
      </c>
      <c r="J558" t="s">
        <v>10549</v>
      </c>
      <c r="K558" t="s">
        <v>74</v>
      </c>
      <c r="L558" t="s">
        <v>74</v>
      </c>
      <c r="M558" t="s">
        <v>78</v>
      </c>
      <c r="N558" t="s">
        <v>79</v>
      </c>
      <c r="O558" t="s">
        <v>74</v>
      </c>
      <c r="P558" t="s">
        <v>74</v>
      </c>
      <c r="Q558" t="s">
        <v>74</v>
      </c>
      <c r="R558" t="s">
        <v>74</v>
      </c>
      <c r="S558" t="s">
        <v>74</v>
      </c>
      <c r="T558" t="s">
        <v>10569</v>
      </c>
      <c r="U558" t="s">
        <v>10570</v>
      </c>
      <c r="V558" t="s">
        <v>10571</v>
      </c>
      <c r="W558" t="s">
        <v>10572</v>
      </c>
      <c r="X558" t="s">
        <v>10573</v>
      </c>
      <c r="Y558" t="s">
        <v>10574</v>
      </c>
      <c r="Z558" t="s">
        <v>10575</v>
      </c>
      <c r="AA558" t="s">
        <v>10576</v>
      </c>
      <c r="AB558" t="s">
        <v>10577</v>
      </c>
      <c r="AC558" t="s">
        <v>10578</v>
      </c>
      <c r="AD558" t="s">
        <v>10579</v>
      </c>
      <c r="AE558" t="s">
        <v>74</v>
      </c>
      <c r="AF558" t="s">
        <v>74</v>
      </c>
      <c r="AG558">
        <v>50</v>
      </c>
      <c r="AH558">
        <v>94</v>
      </c>
      <c r="AI558">
        <v>103</v>
      </c>
      <c r="AJ558">
        <v>3</v>
      </c>
      <c r="AK558">
        <v>126</v>
      </c>
      <c r="AL558" t="s">
        <v>368</v>
      </c>
      <c r="AM558" t="s">
        <v>369</v>
      </c>
      <c r="AN558" t="s">
        <v>370</v>
      </c>
      <c r="AO558" t="s">
        <v>10559</v>
      </c>
      <c r="AP558" t="s">
        <v>10560</v>
      </c>
      <c r="AQ558" t="s">
        <v>74</v>
      </c>
      <c r="AR558" t="s">
        <v>10561</v>
      </c>
      <c r="AS558" t="s">
        <v>10562</v>
      </c>
      <c r="AT558" t="s">
        <v>9169</v>
      </c>
      <c r="AU558">
        <v>2013</v>
      </c>
      <c r="AV558">
        <v>16</v>
      </c>
      <c r="AW558">
        <v>5</v>
      </c>
      <c r="AX558" t="s">
        <v>74</v>
      </c>
      <c r="AY558" t="s">
        <v>74</v>
      </c>
      <c r="AZ558" t="s">
        <v>74</v>
      </c>
      <c r="BA558" t="s">
        <v>74</v>
      </c>
      <c r="BB558">
        <v>642</v>
      </c>
      <c r="BC558">
        <v>649</v>
      </c>
      <c r="BD558" t="s">
        <v>74</v>
      </c>
      <c r="BE558" t="s">
        <v>10580</v>
      </c>
      <c r="BF558" t="str">
        <f>HYPERLINK("http://dx.doi.org/10.1111/ele.12092","http://dx.doi.org/10.1111/ele.12092")</f>
        <v>http://dx.doi.org/10.1111/ele.12092</v>
      </c>
      <c r="BG558" t="s">
        <v>74</v>
      </c>
      <c r="BH558" t="s">
        <v>74</v>
      </c>
      <c r="BI558">
        <v>8</v>
      </c>
      <c r="BJ558" t="s">
        <v>5449</v>
      </c>
      <c r="BK558" t="s">
        <v>102</v>
      </c>
      <c r="BL558" t="s">
        <v>262</v>
      </c>
      <c r="BM558" t="s">
        <v>10581</v>
      </c>
      <c r="BN558">
        <v>23438213</v>
      </c>
      <c r="BO558" t="s">
        <v>1688</v>
      </c>
      <c r="BP558" t="s">
        <v>74</v>
      </c>
      <c r="BQ558" t="s">
        <v>74</v>
      </c>
      <c r="BR558" t="s">
        <v>105</v>
      </c>
      <c r="BS558" t="s">
        <v>10582</v>
      </c>
      <c r="BT558" t="str">
        <f>HYPERLINK("https%3A%2F%2Fwww.webofscience.com%2Fwos%2Fwoscc%2Ffull-record%2FWOS:000318077200009","View Full Record in Web of Science")</f>
        <v>View Full Record in Web of Science</v>
      </c>
    </row>
    <row r="559" spans="1:72" x14ac:dyDescent="0.15">
      <c r="A559" t="s">
        <v>72</v>
      </c>
      <c r="B559" t="s">
        <v>10583</v>
      </c>
      <c r="C559" t="s">
        <v>74</v>
      </c>
      <c r="D559" t="s">
        <v>74</v>
      </c>
      <c r="E559" t="s">
        <v>74</v>
      </c>
      <c r="F559" t="s">
        <v>10584</v>
      </c>
      <c r="G559" t="s">
        <v>74</v>
      </c>
      <c r="H559" t="s">
        <v>74</v>
      </c>
      <c r="I559" t="s">
        <v>10585</v>
      </c>
      <c r="J559" t="s">
        <v>10586</v>
      </c>
      <c r="K559" t="s">
        <v>74</v>
      </c>
      <c r="L559" t="s">
        <v>74</v>
      </c>
      <c r="M559" t="s">
        <v>78</v>
      </c>
      <c r="N559" t="s">
        <v>79</v>
      </c>
      <c r="O559" t="s">
        <v>74</v>
      </c>
      <c r="P559" t="s">
        <v>74</v>
      </c>
      <c r="Q559" t="s">
        <v>74</v>
      </c>
      <c r="R559" t="s">
        <v>74</v>
      </c>
      <c r="S559" t="s">
        <v>74</v>
      </c>
      <c r="T559" t="s">
        <v>74</v>
      </c>
      <c r="U559" t="s">
        <v>10587</v>
      </c>
      <c r="V559" t="s">
        <v>10588</v>
      </c>
      <c r="W559" t="s">
        <v>10589</v>
      </c>
      <c r="X559" t="s">
        <v>10590</v>
      </c>
      <c r="Y559" t="s">
        <v>10591</v>
      </c>
      <c r="Z559" t="s">
        <v>10592</v>
      </c>
      <c r="AA559" t="s">
        <v>10593</v>
      </c>
      <c r="AB559" t="s">
        <v>10594</v>
      </c>
      <c r="AC559" t="s">
        <v>10595</v>
      </c>
      <c r="AD559" t="s">
        <v>10596</v>
      </c>
      <c r="AE559" t="s">
        <v>10597</v>
      </c>
      <c r="AF559" t="s">
        <v>74</v>
      </c>
      <c r="AG559">
        <v>83</v>
      </c>
      <c r="AH559">
        <v>220</v>
      </c>
      <c r="AI559">
        <v>254</v>
      </c>
      <c r="AJ559">
        <v>2</v>
      </c>
      <c r="AK559">
        <v>130</v>
      </c>
      <c r="AL559" t="s">
        <v>368</v>
      </c>
      <c r="AM559" t="s">
        <v>369</v>
      </c>
      <c r="AN559" t="s">
        <v>370</v>
      </c>
      <c r="AO559" t="s">
        <v>10598</v>
      </c>
      <c r="AP559" t="s">
        <v>10599</v>
      </c>
      <c r="AQ559" t="s">
        <v>74</v>
      </c>
      <c r="AR559" t="s">
        <v>10600</v>
      </c>
      <c r="AS559" t="s">
        <v>10601</v>
      </c>
      <c r="AT559" t="s">
        <v>9169</v>
      </c>
      <c r="AU559">
        <v>2013</v>
      </c>
      <c r="AV559">
        <v>15</v>
      </c>
      <c r="AW559">
        <v>5</v>
      </c>
      <c r="AX559" t="s">
        <v>74</v>
      </c>
      <c r="AY559" t="s">
        <v>74</v>
      </c>
      <c r="AZ559" t="s">
        <v>935</v>
      </c>
      <c r="BA559" t="s">
        <v>74</v>
      </c>
      <c r="BB559">
        <v>1302</v>
      </c>
      <c r="BC559">
        <v>1317</v>
      </c>
      <c r="BD559" t="s">
        <v>74</v>
      </c>
      <c r="BE559" t="s">
        <v>10602</v>
      </c>
      <c r="BF559" t="str">
        <f>HYPERLINK("http://dx.doi.org/10.1111/1462-2920.12017","http://dx.doi.org/10.1111/1462-2920.12017")</f>
        <v>http://dx.doi.org/10.1111/1462-2920.12017</v>
      </c>
      <c r="BG559" t="s">
        <v>74</v>
      </c>
      <c r="BH559" t="s">
        <v>74</v>
      </c>
      <c r="BI559">
        <v>16</v>
      </c>
      <c r="BJ559" t="s">
        <v>3107</v>
      </c>
      <c r="BK559" t="s">
        <v>102</v>
      </c>
      <c r="BL559" t="s">
        <v>3107</v>
      </c>
      <c r="BM559" t="s">
        <v>10603</v>
      </c>
      <c r="BN559">
        <v>23126454</v>
      </c>
      <c r="BO559" t="s">
        <v>74</v>
      </c>
      <c r="BP559" t="s">
        <v>74</v>
      </c>
      <c r="BQ559" t="s">
        <v>74</v>
      </c>
      <c r="BR559" t="s">
        <v>105</v>
      </c>
      <c r="BS559" t="s">
        <v>10604</v>
      </c>
      <c r="BT559" t="str">
        <f>HYPERLINK("https%3A%2F%2Fwww.webofscience.com%2Fwos%2Fwoscc%2Ffull-record%2FWOS:000318041800006","View Full Record in Web of Science")</f>
        <v>View Full Record in Web of Science</v>
      </c>
    </row>
    <row r="560" spans="1:72" x14ac:dyDescent="0.15">
      <c r="A560" t="s">
        <v>72</v>
      </c>
      <c r="B560" t="s">
        <v>10605</v>
      </c>
      <c r="C560" t="s">
        <v>74</v>
      </c>
      <c r="D560" t="s">
        <v>74</v>
      </c>
      <c r="E560" t="s">
        <v>74</v>
      </c>
      <c r="F560" t="s">
        <v>10606</v>
      </c>
      <c r="G560" t="s">
        <v>74</v>
      </c>
      <c r="H560" t="s">
        <v>74</v>
      </c>
      <c r="I560" t="s">
        <v>10607</v>
      </c>
      <c r="J560" t="s">
        <v>10586</v>
      </c>
      <c r="K560" t="s">
        <v>74</v>
      </c>
      <c r="L560" t="s">
        <v>74</v>
      </c>
      <c r="M560" t="s">
        <v>78</v>
      </c>
      <c r="N560" t="s">
        <v>79</v>
      </c>
      <c r="O560" t="s">
        <v>74</v>
      </c>
      <c r="P560" t="s">
        <v>74</v>
      </c>
      <c r="Q560" t="s">
        <v>74</v>
      </c>
      <c r="R560" t="s">
        <v>74</v>
      </c>
      <c r="S560" t="s">
        <v>74</v>
      </c>
      <c r="T560" t="s">
        <v>74</v>
      </c>
      <c r="U560" t="s">
        <v>10608</v>
      </c>
      <c r="V560" t="s">
        <v>10609</v>
      </c>
      <c r="W560" t="s">
        <v>10610</v>
      </c>
      <c r="X560" t="s">
        <v>10611</v>
      </c>
      <c r="Y560" t="s">
        <v>10591</v>
      </c>
      <c r="Z560" t="s">
        <v>10592</v>
      </c>
      <c r="AA560" t="s">
        <v>10612</v>
      </c>
      <c r="AB560" t="s">
        <v>10613</v>
      </c>
      <c r="AC560" t="s">
        <v>10614</v>
      </c>
      <c r="AD560" t="s">
        <v>10615</v>
      </c>
      <c r="AE560" t="s">
        <v>10616</v>
      </c>
      <c r="AF560" t="s">
        <v>74</v>
      </c>
      <c r="AG560">
        <v>99</v>
      </c>
      <c r="AH560">
        <v>61</v>
      </c>
      <c r="AI560">
        <v>67</v>
      </c>
      <c r="AJ560">
        <v>2</v>
      </c>
      <c r="AK560">
        <v>120</v>
      </c>
      <c r="AL560" t="s">
        <v>368</v>
      </c>
      <c r="AM560" t="s">
        <v>369</v>
      </c>
      <c r="AN560" t="s">
        <v>370</v>
      </c>
      <c r="AO560" t="s">
        <v>10598</v>
      </c>
      <c r="AP560" t="s">
        <v>10599</v>
      </c>
      <c r="AQ560" t="s">
        <v>74</v>
      </c>
      <c r="AR560" t="s">
        <v>10600</v>
      </c>
      <c r="AS560" t="s">
        <v>10601</v>
      </c>
      <c r="AT560" t="s">
        <v>9169</v>
      </c>
      <c r="AU560">
        <v>2013</v>
      </c>
      <c r="AV560">
        <v>15</v>
      </c>
      <c r="AW560">
        <v>5</v>
      </c>
      <c r="AX560" t="s">
        <v>74</v>
      </c>
      <c r="AY560" t="s">
        <v>74</v>
      </c>
      <c r="AZ560" t="s">
        <v>935</v>
      </c>
      <c r="BA560" t="s">
        <v>74</v>
      </c>
      <c r="BB560">
        <v>1318</v>
      </c>
      <c r="BC560">
        <v>1333</v>
      </c>
      <c r="BD560" t="s">
        <v>74</v>
      </c>
      <c r="BE560" t="s">
        <v>10617</v>
      </c>
      <c r="BF560" t="str">
        <f>HYPERLINK("http://dx.doi.org/10.1111/1462-2920.12035","http://dx.doi.org/10.1111/1462-2920.12035")</f>
        <v>http://dx.doi.org/10.1111/1462-2920.12035</v>
      </c>
      <c r="BG560" t="s">
        <v>74</v>
      </c>
      <c r="BH560" t="s">
        <v>74</v>
      </c>
      <c r="BI560">
        <v>16</v>
      </c>
      <c r="BJ560" t="s">
        <v>3107</v>
      </c>
      <c r="BK560" t="s">
        <v>102</v>
      </c>
      <c r="BL560" t="s">
        <v>3107</v>
      </c>
      <c r="BM560" t="s">
        <v>10603</v>
      </c>
      <c r="BN560">
        <v>23199136</v>
      </c>
      <c r="BO560" t="s">
        <v>74</v>
      </c>
      <c r="BP560" t="s">
        <v>74</v>
      </c>
      <c r="BQ560" t="s">
        <v>74</v>
      </c>
      <c r="BR560" t="s">
        <v>105</v>
      </c>
      <c r="BS560" t="s">
        <v>10618</v>
      </c>
      <c r="BT560" t="str">
        <f>HYPERLINK("https%3A%2F%2Fwww.webofscience.com%2Fwos%2Fwoscc%2Ffull-record%2FWOS:000318041800007","View Full Record in Web of Science")</f>
        <v>View Full Record in Web of Science</v>
      </c>
    </row>
    <row r="561" spans="1:72" x14ac:dyDescent="0.15">
      <c r="A561" t="s">
        <v>72</v>
      </c>
      <c r="B561" t="s">
        <v>10619</v>
      </c>
      <c r="C561" t="s">
        <v>74</v>
      </c>
      <c r="D561" t="s">
        <v>74</v>
      </c>
      <c r="E561" t="s">
        <v>74</v>
      </c>
      <c r="F561" t="s">
        <v>10620</v>
      </c>
      <c r="G561" t="s">
        <v>74</v>
      </c>
      <c r="H561" t="s">
        <v>74</v>
      </c>
      <c r="I561" t="s">
        <v>10621</v>
      </c>
      <c r="J561" t="s">
        <v>10622</v>
      </c>
      <c r="K561" t="s">
        <v>74</v>
      </c>
      <c r="L561" t="s">
        <v>74</v>
      </c>
      <c r="M561" t="s">
        <v>78</v>
      </c>
      <c r="N561" t="s">
        <v>79</v>
      </c>
      <c r="O561" t="s">
        <v>74</v>
      </c>
      <c r="P561" t="s">
        <v>74</v>
      </c>
      <c r="Q561" t="s">
        <v>74</v>
      </c>
      <c r="R561" t="s">
        <v>74</v>
      </c>
      <c r="S561" t="s">
        <v>74</v>
      </c>
      <c r="T561" t="s">
        <v>10623</v>
      </c>
      <c r="U561" t="s">
        <v>10624</v>
      </c>
      <c r="V561" t="s">
        <v>10625</v>
      </c>
      <c r="W561" t="s">
        <v>10626</v>
      </c>
      <c r="X561" t="s">
        <v>10627</v>
      </c>
      <c r="Y561" t="s">
        <v>10628</v>
      </c>
      <c r="Z561" t="s">
        <v>10629</v>
      </c>
      <c r="AA561" t="s">
        <v>10630</v>
      </c>
      <c r="AB561" t="s">
        <v>10631</v>
      </c>
      <c r="AC561" t="s">
        <v>10632</v>
      </c>
      <c r="AD561" t="s">
        <v>10633</v>
      </c>
      <c r="AE561" t="s">
        <v>10634</v>
      </c>
      <c r="AF561" t="s">
        <v>74</v>
      </c>
      <c r="AG561">
        <v>68</v>
      </c>
      <c r="AH561">
        <v>32</v>
      </c>
      <c r="AI561">
        <v>34</v>
      </c>
      <c r="AJ561">
        <v>3</v>
      </c>
      <c r="AK561">
        <v>75</v>
      </c>
      <c r="AL561" t="s">
        <v>3724</v>
      </c>
      <c r="AM561" t="s">
        <v>3725</v>
      </c>
      <c r="AN561" t="s">
        <v>3726</v>
      </c>
      <c r="AO561" t="s">
        <v>10635</v>
      </c>
      <c r="AP561" t="s">
        <v>10636</v>
      </c>
      <c r="AQ561" t="s">
        <v>74</v>
      </c>
      <c r="AR561" t="s">
        <v>10637</v>
      </c>
      <c r="AS561" t="s">
        <v>10638</v>
      </c>
      <c r="AT561" t="s">
        <v>9169</v>
      </c>
      <c r="AU561">
        <v>2013</v>
      </c>
      <c r="AV561">
        <v>20</v>
      </c>
      <c r="AW561">
        <v>5</v>
      </c>
      <c r="AX561" t="s">
        <v>74</v>
      </c>
      <c r="AY561" t="s">
        <v>74</v>
      </c>
      <c r="AZ561" t="s">
        <v>74</v>
      </c>
      <c r="BA561" t="s">
        <v>74</v>
      </c>
      <c r="BB561">
        <v>3300</v>
      </c>
      <c r="BC561">
        <v>3311</v>
      </c>
      <c r="BD561" t="s">
        <v>74</v>
      </c>
      <c r="BE561" t="s">
        <v>10639</v>
      </c>
      <c r="BF561" t="str">
        <f>HYPERLINK("http://dx.doi.org/10.1007/s11356-012-1235-z","http://dx.doi.org/10.1007/s11356-012-1235-z")</f>
        <v>http://dx.doi.org/10.1007/s11356-012-1235-z</v>
      </c>
      <c r="BG561" t="s">
        <v>74</v>
      </c>
      <c r="BH561" t="s">
        <v>74</v>
      </c>
      <c r="BI561">
        <v>12</v>
      </c>
      <c r="BJ561" t="s">
        <v>512</v>
      </c>
      <c r="BK561" t="s">
        <v>102</v>
      </c>
      <c r="BL561" t="s">
        <v>262</v>
      </c>
      <c r="BM561" t="s">
        <v>10640</v>
      </c>
      <c r="BN561">
        <v>23093414</v>
      </c>
      <c r="BO561" t="s">
        <v>426</v>
      </c>
      <c r="BP561" t="s">
        <v>74</v>
      </c>
      <c r="BQ561" t="s">
        <v>74</v>
      </c>
      <c r="BR561" t="s">
        <v>105</v>
      </c>
      <c r="BS561" t="s">
        <v>10641</v>
      </c>
      <c r="BT561" t="str">
        <f>HYPERLINK("https%3A%2F%2Fwww.webofscience.com%2Fwos%2Fwoscc%2Ffull-record%2FWOS:000318175400059","View Full Record in Web of Science")</f>
        <v>View Full Record in Web of Science</v>
      </c>
    </row>
    <row r="562" spans="1:72" x14ac:dyDescent="0.15">
      <c r="A562" t="s">
        <v>72</v>
      </c>
      <c r="B562" t="s">
        <v>10642</v>
      </c>
      <c r="C562" t="s">
        <v>74</v>
      </c>
      <c r="D562" t="s">
        <v>74</v>
      </c>
      <c r="E562" t="s">
        <v>74</v>
      </c>
      <c r="F562" t="s">
        <v>10643</v>
      </c>
      <c r="G562" t="s">
        <v>74</v>
      </c>
      <c r="H562" t="s">
        <v>74</v>
      </c>
      <c r="I562" t="s">
        <v>10644</v>
      </c>
      <c r="J562" t="s">
        <v>3514</v>
      </c>
      <c r="K562" t="s">
        <v>74</v>
      </c>
      <c r="L562" t="s">
        <v>74</v>
      </c>
      <c r="M562" t="s">
        <v>78</v>
      </c>
      <c r="N562" t="s">
        <v>79</v>
      </c>
      <c r="O562" t="s">
        <v>74</v>
      </c>
      <c r="P562" t="s">
        <v>74</v>
      </c>
      <c r="Q562" t="s">
        <v>74</v>
      </c>
      <c r="R562" t="s">
        <v>74</v>
      </c>
      <c r="S562" t="s">
        <v>74</v>
      </c>
      <c r="T562" t="s">
        <v>10645</v>
      </c>
      <c r="U562" t="s">
        <v>10646</v>
      </c>
      <c r="V562" t="s">
        <v>10647</v>
      </c>
      <c r="W562" t="s">
        <v>10648</v>
      </c>
      <c r="X562" t="s">
        <v>3027</v>
      </c>
      <c r="Y562" t="s">
        <v>10649</v>
      </c>
      <c r="Z562" t="s">
        <v>10650</v>
      </c>
      <c r="AA562" t="s">
        <v>10651</v>
      </c>
      <c r="AB562" t="s">
        <v>10652</v>
      </c>
      <c r="AC562" t="s">
        <v>74</v>
      </c>
      <c r="AD562" t="s">
        <v>74</v>
      </c>
      <c r="AE562" t="s">
        <v>74</v>
      </c>
      <c r="AF562" t="s">
        <v>74</v>
      </c>
      <c r="AG562">
        <v>43</v>
      </c>
      <c r="AH562">
        <v>27</v>
      </c>
      <c r="AI562">
        <v>32</v>
      </c>
      <c r="AJ562">
        <v>1</v>
      </c>
      <c r="AK562">
        <v>24</v>
      </c>
      <c r="AL562" t="s">
        <v>3288</v>
      </c>
      <c r="AM562" t="s">
        <v>3076</v>
      </c>
      <c r="AN562" t="s">
        <v>3289</v>
      </c>
      <c r="AO562" t="s">
        <v>3527</v>
      </c>
      <c r="AP562" t="s">
        <v>3528</v>
      </c>
      <c r="AQ562" t="s">
        <v>74</v>
      </c>
      <c r="AR562" t="s">
        <v>3514</v>
      </c>
      <c r="AS562" t="s">
        <v>3529</v>
      </c>
      <c r="AT562" t="s">
        <v>9169</v>
      </c>
      <c r="AU562">
        <v>2013</v>
      </c>
      <c r="AV562">
        <v>17</v>
      </c>
      <c r="AW562">
        <v>3</v>
      </c>
      <c r="AX562" t="s">
        <v>74</v>
      </c>
      <c r="AY562" t="s">
        <v>74</v>
      </c>
      <c r="AZ562" t="s">
        <v>74</v>
      </c>
      <c r="BA562" t="s">
        <v>74</v>
      </c>
      <c r="BB562">
        <v>367</v>
      </c>
      <c r="BC562">
        <v>378</v>
      </c>
      <c r="BD562" t="s">
        <v>74</v>
      </c>
      <c r="BE562" t="s">
        <v>10653</v>
      </c>
      <c r="BF562" t="str">
        <f>HYPERLINK("http://dx.doi.org/10.1007/s00792-013-0525-9","http://dx.doi.org/10.1007/s00792-013-0525-9")</f>
        <v>http://dx.doi.org/10.1007/s00792-013-0525-9</v>
      </c>
      <c r="BG562" t="s">
        <v>74</v>
      </c>
      <c r="BH562" t="s">
        <v>74</v>
      </c>
      <c r="BI562">
        <v>12</v>
      </c>
      <c r="BJ562" t="s">
        <v>376</v>
      </c>
      <c r="BK562" t="s">
        <v>102</v>
      </c>
      <c r="BL562" t="s">
        <v>376</v>
      </c>
      <c r="BM562" t="s">
        <v>9764</v>
      </c>
      <c r="BN562">
        <v>23512118</v>
      </c>
      <c r="BO562" t="s">
        <v>74</v>
      </c>
      <c r="BP562" t="s">
        <v>74</v>
      </c>
      <c r="BQ562" t="s">
        <v>74</v>
      </c>
      <c r="BR562" t="s">
        <v>105</v>
      </c>
      <c r="BS562" t="s">
        <v>10654</v>
      </c>
      <c r="BT562" t="str">
        <f>HYPERLINK("https%3A%2F%2Fwww.webofscience.com%2Fwos%2Fwoscc%2Ffull-record%2FWOS:000318169900002","View Full Record in Web of Science")</f>
        <v>View Full Record in Web of Science</v>
      </c>
    </row>
    <row r="563" spans="1:72" x14ac:dyDescent="0.15">
      <c r="A563" t="s">
        <v>72</v>
      </c>
      <c r="B563" t="s">
        <v>10655</v>
      </c>
      <c r="C563" t="s">
        <v>74</v>
      </c>
      <c r="D563" t="s">
        <v>74</v>
      </c>
      <c r="E563" t="s">
        <v>74</v>
      </c>
      <c r="F563" t="s">
        <v>10656</v>
      </c>
      <c r="G563" t="s">
        <v>74</v>
      </c>
      <c r="H563" t="s">
        <v>74</v>
      </c>
      <c r="I563" t="s">
        <v>10657</v>
      </c>
      <c r="J563" t="s">
        <v>10658</v>
      </c>
      <c r="K563" t="s">
        <v>74</v>
      </c>
      <c r="L563" t="s">
        <v>74</v>
      </c>
      <c r="M563" t="s">
        <v>78</v>
      </c>
      <c r="N563" t="s">
        <v>1459</v>
      </c>
      <c r="O563" t="s">
        <v>74</v>
      </c>
      <c r="P563" t="s">
        <v>74</v>
      </c>
      <c r="Q563" t="s">
        <v>74</v>
      </c>
      <c r="R563" t="s">
        <v>74</v>
      </c>
      <c r="S563" t="s">
        <v>74</v>
      </c>
      <c r="T563" t="s">
        <v>10659</v>
      </c>
      <c r="U563" t="s">
        <v>10660</v>
      </c>
      <c r="V563" t="s">
        <v>10661</v>
      </c>
      <c r="W563" t="s">
        <v>10662</v>
      </c>
      <c r="X563" t="s">
        <v>10663</v>
      </c>
      <c r="Y563" t="s">
        <v>10591</v>
      </c>
      <c r="Z563" t="s">
        <v>10592</v>
      </c>
      <c r="AA563" t="s">
        <v>10664</v>
      </c>
      <c r="AB563" t="s">
        <v>10665</v>
      </c>
      <c r="AC563" t="s">
        <v>10666</v>
      </c>
      <c r="AD563" t="s">
        <v>10667</v>
      </c>
      <c r="AE563" t="s">
        <v>10668</v>
      </c>
      <c r="AF563" t="s">
        <v>74</v>
      </c>
      <c r="AG563">
        <v>321</v>
      </c>
      <c r="AH563">
        <v>105</v>
      </c>
      <c r="AI563">
        <v>115</v>
      </c>
      <c r="AJ563">
        <v>9</v>
      </c>
      <c r="AK563">
        <v>295</v>
      </c>
      <c r="AL563" t="s">
        <v>441</v>
      </c>
      <c r="AM563" t="s">
        <v>442</v>
      </c>
      <c r="AN563" t="s">
        <v>443</v>
      </c>
      <c r="AO563" t="s">
        <v>10669</v>
      </c>
      <c r="AP563" t="s">
        <v>10670</v>
      </c>
      <c r="AQ563" t="s">
        <v>74</v>
      </c>
      <c r="AR563" t="s">
        <v>10671</v>
      </c>
      <c r="AS563" t="s">
        <v>10672</v>
      </c>
      <c r="AT563" t="s">
        <v>9169</v>
      </c>
      <c r="AU563">
        <v>2013</v>
      </c>
      <c r="AV563">
        <v>37</v>
      </c>
      <c r="AW563">
        <v>3</v>
      </c>
      <c r="AX563" t="s">
        <v>74</v>
      </c>
      <c r="AY563" t="s">
        <v>74</v>
      </c>
      <c r="AZ563" t="s">
        <v>74</v>
      </c>
      <c r="BA563" t="s">
        <v>74</v>
      </c>
      <c r="BB563">
        <v>303</v>
      </c>
      <c r="BC563">
        <v>335</v>
      </c>
      <c r="BD563" t="s">
        <v>74</v>
      </c>
      <c r="BE563" t="s">
        <v>10673</v>
      </c>
      <c r="BF563" t="str">
        <f>HYPERLINK("http://dx.doi.org/10.1111/1574-6976.12007","http://dx.doi.org/10.1111/1574-6976.12007")</f>
        <v>http://dx.doi.org/10.1111/1574-6976.12007</v>
      </c>
      <c r="BG563" t="s">
        <v>74</v>
      </c>
      <c r="BH563" t="s">
        <v>74</v>
      </c>
      <c r="BI563">
        <v>33</v>
      </c>
      <c r="BJ563" t="s">
        <v>3107</v>
      </c>
      <c r="BK563" t="s">
        <v>102</v>
      </c>
      <c r="BL563" t="s">
        <v>3107</v>
      </c>
      <c r="BM563" t="s">
        <v>10674</v>
      </c>
      <c r="BN563">
        <v>23062173</v>
      </c>
      <c r="BO563" t="s">
        <v>74</v>
      </c>
      <c r="BP563" t="s">
        <v>74</v>
      </c>
      <c r="BQ563" t="s">
        <v>74</v>
      </c>
      <c r="BR563" t="s">
        <v>105</v>
      </c>
      <c r="BS563" t="s">
        <v>10675</v>
      </c>
      <c r="BT563" t="str">
        <f>HYPERLINK("https%3A%2F%2Fwww.webofscience.com%2Fwos%2Fwoscc%2Ffull-record%2FWOS:000317364700003","View Full Record in Web of Science")</f>
        <v>View Full Record in Web of Science</v>
      </c>
    </row>
    <row r="564" spans="1:72" x14ac:dyDescent="0.15">
      <c r="A564" t="s">
        <v>72</v>
      </c>
      <c r="B564" t="s">
        <v>10676</v>
      </c>
      <c r="C564" t="s">
        <v>74</v>
      </c>
      <c r="D564" t="s">
        <v>74</v>
      </c>
      <c r="E564" t="s">
        <v>74</v>
      </c>
      <c r="F564" t="s">
        <v>10677</v>
      </c>
      <c r="G564" t="s">
        <v>74</v>
      </c>
      <c r="H564" t="s">
        <v>74</v>
      </c>
      <c r="I564" t="s">
        <v>10678</v>
      </c>
      <c r="J564" t="s">
        <v>10679</v>
      </c>
      <c r="K564" t="s">
        <v>74</v>
      </c>
      <c r="L564" t="s">
        <v>74</v>
      </c>
      <c r="M564" t="s">
        <v>78</v>
      </c>
      <c r="N564" t="s">
        <v>79</v>
      </c>
      <c r="O564" t="s">
        <v>74</v>
      </c>
      <c r="P564" t="s">
        <v>74</v>
      </c>
      <c r="Q564" t="s">
        <v>74</v>
      </c>
      <c r="R564" t="s">
        <v>74</v>
      </c>
      <c r="S564" t="s">
        <v>74</v>
      </c>
      <c r="T564" t="s">
        <v>74</v>
      </c>
      <c r="U564" t="s">
        <v>74</v>
      </c>
      <c r="V564" t="s">
        <v>10680</v>
      </c>
      <c r="W564" t="s">
        <v>10681</v>
      </c>
      <c r="X564" t="s">
        <v>360</v>
      </c>
      <c r="Y564" t="s">
        <v>10682</v>
      </c>
      <c r="Z564" t="s">
        <v>362</v>
      </c>
      <c r="AA564" t="s">
        <v>74</v>
      </c>
      <c r="AB564" t="s">
        <v>74</v>
      </c>
      <c r="AC564" t="s">
        <v>10683</v>
      </c>
      <c r="AD564" t="s">
        <v>10684</v>
      </c>
      <c r="AE564" t="s">
        <v>10685</v>
      </c>
      <c r="AF564" t="s">
        <v>74</v>
      </c>
      <c r="AG564">
        <v>20</v>
      </c>
      <c r="AH564">
        <v>9</v>
      </c>
      <c r="AI564">
        <v>9</v>
      </c>
      <c r="AJ564">
        <v>0</v>
      </c>
      <c r="AK564">
        <v>0</v>
      </c>
      <c r="AL564" t="s">
        <v>10686</v>
      </c>
      <c r="AM564" t="s">
        <v>93</v>
      </c>
      <c r="AN564" t="s">
        <v>10687</v>
      </c>
      <c r="AO564" t="s">
        <v>74</v>
      </c>
      <c r="AP564" t="s">
        <v>10688</v>
      </c>
      <c r="AQ564" t="s">
        <v>74</v>
      </c>
      <c r="AR564" t="s">
        <v>10679</v>
      </c>
      <c r="AS564" t="s">
        <v>10689</v>
      </c>
      <c r="AT564" t="s">
        <v>9399</v>
      </c>
      <c r="AU564">
        <v>2013</v>
      </c>
      <c r="AV564">
        <v>1</v>
      </c>
      <c r="AW564">
        <v>3</v>
      </c>
      <c r="AX564" t="s">
        <v>74</v>
      </c>
      <c r="AY564" t="s">
        <v>74</v>
      </c>
      <c r="AZ564" t="s">
        <v>74</v>
      </c>
      <c r="BA564" t="s">
        <v>74</v>
      </c>
      <c r="BB564" t="s">
        <v>74</v>
      </c>
      <c r="BC564" t="s">
        <v>74</v>
      </c>
      <c r="BD564" t="s">
        <v>10690</v>
      </c>
      <c r="BE564" t="s">
        <v>10691</v>
      </c>
      <c r="BF564" t="str">
        <f>HYPERLINK("http://dx.doi.org/10.1128/genomeA.00377-13","http://dx.doi.org/10.1128/genomeA.00377-13")</f>
        <v>http://dx.doi.org/10.1128/genomeA.00377-13</v>
      </c>
      <c r="BG564" t="s">
        <v>74</v>
      </c>
      <c r="BH564" t="s">
        <v>74</v>
      </c>
      <c r="BI564">
        <v>2</v>
      </c>
      <c r="BJ564" t="s">
        <v>3107</v>
      </c>
      <c r="BK564" t="s">
        <v>1452</v>
      </c>
      <c r="BL564" t="s">
        <v>3107</v>
      </c>
      <c r="BM564" t="s">
        <v>10692</v>
      </c>
      <c r="BN564">
        <v>23788547</v>
      </c>
      <c r="BO564" t="s">
        <v>10693</v>
      </c>
      <c r="BP564" t="s">
        <v>74</v>
      </c>
      <c r="BQ564" t="s">
        <v>74</v>
      </c>
      <c r="BR564" t="s">
        <v>105</v>
      </c>
      <c r="BS564" t="s">
        <v>10694</v>
      </c>
      <c r="BT564" t="str">
        <f>HYPERLINK("https%3A%2F%2Fwww.webofscience.com%2Fwos%2Fwoscc%2Ffull-record%2FWOS:000460195200124","View Full Record in Web of Science")</f>
        <v>View Full Record in Web of Science</v>
      </c>
    </row>
    <row r="565" spans="1:72" x14ac:dyDescent="0.15">
      <c r="A565" t="s">
        <v>72</v>
      </c>
      <c r="B565" t="s">
        <v>10695</v>
      </c>
      <c r="C565" t="s">
        <v>74</v>
      </c>
      <c r="D565" t="s">
        <v>74</v>
      </c>
      <c r="E565" t="s">
        <v>74</v>
      </c>
      <c r="F565" t="s">
        <v>10696</v>
      </c>
      <c r="G565" t="s">
        <v>74</v>
      </c>
      <c r="H565" t="s">
        <v>74</v>
      </c>
      <c r="I565" t="s">
        <v>10697</v>
      </c>
      <c r="J565" t="s">
        <v>1571</v>
      </c>
      <c r="K565" t="s">
        <v>74</v>
      </c>
      <c r="L565" t="s">
        <v>74</v>
      </c>
      <c r="M565" t="s">
        <v>78</v>
      </c>
      <c r="N565" t="s">
        <v>79</v>
      </c>
      <c r="O565" t="s">
        <v>74</v>
      </c>
      <c r="P565" t="s">
        <v>74</v>
      </c>
      <c r="Q565" t="s">
        <v>74</v>
      </c>
      <c r="R565" t="s">
        <v>74</v>
      </c>
      <c r="S565" t="s">
        <v>74</v>
      </c>
      <c r="T565" t="s">
        <v>10698</v>
      </c>
      <c r="U565" t="s">
        <v>10699</v>
      </c>
      <c r="V565" t="s">
        <v>10700</v>
      </c>
      <c r="W565" t="s">
        <v>10701</v>
      </c>
      <c r="X565" t="s">
        <v>10702</v>
      </c>
      <c r="Y565" t="s">
        <v>10703</v>
      </c>
      <c r="Z565" t="s">
        <v>10704</v>
      </c>
      <c r="AA565" t="s">
        <v>10705</v>
      </c>
      <c r="AB565" t="s">
        <v>10706</v>
      </c>
      <c r="AC565" t="s">
        <v>10707</v>
      </c>
      <c r="AD565" t="s">
        <v>10708</v>
      </c>
      <c r="AE565" t="s">
        <v>10709</v>
      </c>
      <c r="AF565" t="s">
        <v>74</v>
      </c>
      <c r="AG565">
        <v>81</v>
      </c>
      <c r="AH565">
        <v>43</v>
      </c>
      <c r="AI565">
        <v>48</v>
      </c>
      <c r="AJ565">
        <v>3</v>
      </c>
      <c r="AK565">
        <v>48</v>
      </c>
      <c r="AL565" t="s">
        <v>92</v>
      </c>
      <c r="AM565" t="s">
        <v>93</v>
      </c>
      <c r="AN565" t="s">
        <v>94</v>
      </c>
      <c r="AO565" t="s">
        <v>74</v>
      </c>
      <c r="AP565" t="s">
        <v>1584</v>
      </c>
      <c r="AQ565" t="s">
        <v>74</v>
      </c>
      <c r="AR565" t="s">
        <v>1585</v>
      </c>
      <c r="AS565" t="s">
        <v>1586</v>
      </c>
      <c r="AT565" t="s">
        <v>9169</v>
      </c>
      <c r="AU565">
        <v>2013</v>
      </c>
      <c r="AV565">
        <v>14</v>
      </c>
      <c r="AW565">
        <v>5</v>
      </c>
      <c r="AX565" t="s">
        <v>74</v>
      </c>
      <c r="AY565" t="s">
        <v>74</v>
      </c>
      <c r="AZ565" t="s">
        <v>74</v>
      </c>
      <c r="BA565" t="s">
        <v>74</v>
      </c>
      <c r="BB565">
        <v>1399</v>
      </c>
      <c r="BC565">
        <v>1410</v>
      </c>
      <c r="BD565" t="s">
        <v>74</v>
      </c>
      <c r="BE565" t="s">
        <v>10710</v>
      </c>
      <c r="BF565" t="str">
        <f>HYPERLINK("http://dx.doi.org/10.1002/ggge.20106","http://dx.doi.org/10.1002/ggge.20106")</f>
        <v>http://dx.doi.org/10.1002/ggge.20106</v>
      </c>
      <c r="BG565" t="s">
        <v>74</v>
      </c>
      <c r="BH565" t="s">
        <v>74</v>
      </c>
      <c r="BI565">
        <v>12</v>
      </c>
      <c r="BJ565" t="s">
        <v>766</v>
      </c>
      <c r="BK565" t="s">
        <v>102</v>
      </c>
      <c r="BL565" t="s">
        <v>766</v>
      </c>
      <c r="BM565" t="s">
        <v>10711</v>
      </c>
      <c r="BN565" t="s">
        <v>74</v>
      </c>
      <c r="BO565" t="s">
        <v>104</v>
      </c>
      <c r="BP565" t="s">
        <v>74</v>
      </c>
      <c r="BQ565" t="s">
        <v>74</v>
      </c>
      <c r="BR565" t="s">
        <v>105</v>
      </c>
      <c r="BS565" t="s">
        <v>10712</v>
      </c>
      <c r="BT565" t="str">
        <f>HYPERLINK("https%3A%2F%2Fwww.webofscience.com%2Fwos%2Fwoscc%2Ffull-record%2FWOS:000324412600006","View Full Record in Web of Science")</f>
        <v>View Full Record in Web of Science</v>
      </c>
    </row>
    <row r="566" spans="1:72" x14ac:dyDescent="0.15">
      <c r="A566" t="s">
        <v>72</v>
      </c>
      <c r="B566" t="s">
        <v>10713</v>
      </c>
      <c r="C566" t="s">
        <v>74</v>
      </c>
      <c r="D566" t="s">
        <v>74</v>
      </c>
      <c r="E566" t="s">
        <v>74</v>
      </c>
      <c r="F566" t="s">
        <v>10714</v>
      </c>
      <c r="G566" t="s">
        <v>74</v>
      </c>
      <c r="H566" t="s">
        <v>74</v>
      </c>
      <c r="I566" t="s">
        <v>10715</v>
      </c>
      <c r="J566" t="s">
        <v>748</v>
      </c>
      <c r="K566" t="s">
        <v>74</v>
      </c>
      <c r="L566" t="s">
        <v>74</v>
      </c>
      <c r="M566" t="s">
        <v>78</v>
      </c>
      <c r="N566" t="s">
        <v>79</v>
      </c>
      <c r="O566" t="s">
        <v>74</v>
      </c>
      <c r="P566" t="s">
        <v>74</v>
      </c>
      <c r="Q566" t="s">
        <v>74</v>
      </c>
      <c r="R566" t="s">
        <v>74</v>
      </c>
      <c r="S566" t="s">
        <v>74</v>
      </c>
      <c r="T566" t="s">
        <v>10716</v>
      </c>
      <c r="U566" t="s">
        <v>10717</v>
      </c>
      <c r="V566" t="s">
        <v>10718</v>
      </c>
      <c r="W566" t="s">
        <v>10719</v>
      </c>
      <c r="X566" t="s">
        <v>10720</v>
      </c>
      <c r="Y566" t="s">
        <v>10721</v>
      </c>
      <c r="Z566" t="s">
        <v>10722</v>
      </c>
      <c r="AA566" t="s">
        <v>10723</v>
      </c>
      <c r="AB566" t="s">
        <v>10724</v>
      </c>
      <c r="AC566" t="s">
        <v>10725</v>
      </c>
      <c r="AD566" t="s">
        <v>10726</v>
      </c>
      <c r="AE566" t="s">
        <v>10727</v>
      </c>
      <c r="AF566" t="s">
        <v>74</v>
      </c>
      <c r="AG566">
        <v>31</v>
      </c>
      <c r="AH566">
        <v>88</v>
      </c>
      <c r="AI566">
        <v>102</v>
      </c>
      <c r="AJ566">
        <v>0</v>
      </c>
      <c r="AK566">
        <v>60</v>
      </c>
      <c r="AL566" t="s">
        <v>441</v>
      </c>
      <c r="AM566" t="s">
        <v>442</v>
      </c>
      <c r="AN566" t="s">
        <v>443</v>
      </c>
      <c r="AO566" t="s">
        <v>761</v>
      </c>
      <c r="AP566" t="s">
        <v>762</v>
      </c>
      <c r="AQ566" t="s">
        <v>74</v>
      </c>
      <c r="AR566" t="s">
        <v>763</v>
      </c>
      <c r="AS566" t="s">
        <v>764</v>
      </c>
      <c r="AT566" t="s">
        <v>9169</v>
      </c>
      <c r="AU566">
        <v>2013</v>
      </c>
      <c r="AV566">
        <v>193</v>
      </c>
      <c r="AW566">
        <v>2</v>
      </c>
      <c r="AX566" t="s">
        <v>74</v>
      </c>
      <c r="AY566" t="s">
        <v>74</v>
      </c>
      <c r="AZ566" t="s">
        <v>74</v>
      </c>
      <c r="BA566" t="s">
        <v>74</v>
      </c>
      <c r="BB566">
        <v>711</v>
      </c>
      <c r="BC566">
        <v>716</v>
      </c>
      <c r="BD566" t="s">
        <v>74</v>
      </c>
      <c r="BE566" t="s">
        <v>10728</v>
      </c>
      <c r="BF566" t="str">
        <f>HYPERLINK("http://dx.doi.org/10.1093/gji/ggt029","http://dx.doi.org/10.1093/gji/ggt029")</f>
        <v>http://dx.doi.org/10.1093/gji/ggt029</v>
      </c>
      <c r="BG566" t="s">
        <v>74</v>
      </c>
      <c r="BH566" t="s">
        <v>74</v>
      </c>
      <c r="BI566">
        <v>6</v>
      </c>
      <c r="BJ566" t="s">
        <v>766</v>
      </c>
      <c r="BK566" t="s">
        <v>102</v>
      </c>
      <c r="BL566" t="s">
        <v>766</v>
      </c>
      <c r="BM566" t="s">
        <v>10729</v>
      </c>
      <c r="BN566" t="s">
        <v>74</v>
      </c>
      <c r="BO566" t="s">
        <v>9782</v>
      </c>
      <c r="BP566" t="s">
        <v>74</v>
      </c>
      <c r="BQ566" t="s">
        <v>74</v>
      </c>
      <c r="BR566" t="s">
        <v>105</v>
      </c>
      <c r="BS566" t="s">
        <v>10730</v>
      </c>
      <c r="BT566" t="str">
        <f>HYPERLINK("https%3A%2F%2Fwww.webofscience.com%2Fwos%2Fwoscc%2Ffull-record%2FWOS:000318108400013","View Full Record in Web of Science")</f>
        <v>View Full Record in Web of Science</v>
      </c>
    </row>
    <row r="567" spans="1:72" x14ac:dyDescent="0.15">
      <c r="A567" t="s">
        <v>72</v>
      </c>
      <c r="B567" t="s">
        <v>10731</v>
      </c>
      <c r="C567" t="s">
        <v>74</v>
      </c>
      <c r="D567" t="s">
        <v>74</v>
      </c>
      <c r="E567" t="s">
        <v>74</v>
      </c>
      <c r="F567" t="s">
        <v>10732</v>
      </c>
      <c r="G567" t="s">
        <v>74</v>
      </c>
      <c r="H567" t="s">
        <v>74</v>
      </c>
      <c r="I567" t="s">
        <v>10733</v>
      </c>
      <c r="J567" t="s">
        <v>3923</v>
      </c>
      <c r="K567" t="s">
        <v>74</v>
      </c>
      <c r="L567" t="s">
        <v>74</v>
      </c>
      <c r="M567" t="s">
        <v>78</v>
      </c>
      <c r="N567" t="s">
        <v>79</v>
      </c>
      <c r="O567" t="s">
        <v>74</v>
      </c>
      <c r="P567" t="s">
        <v>74</v>
      </c>
      <c r="Q567" t="s">
        <v>74</v>
      </c>
      <c r="R567" t="s">
        <v>74</v>
      </c>
      <c r="S567" t="s">
        <v>74</v>
      </c>
      <c r="T567" t="s">
        <v>10734</v>
      </c>
      <c r="U567" t="s">
        <v>10735</v>
      </c>
      <c r="V567" t="s">
        <v>10736</v>
      </c>
      <c r="W567" t="s">
        <v>10737</v>
      </c>
      <c r="X567" t="s">
        <v>10738</v>
      </c>
      <c r="Y567" t="s">
        <v>10739</v>
      </c>
      <c r="Z567" t="s">
        <v>10740</v>
      </c>
      <c r="AA567" t="s">
        <v>10741</v>
      </c>
      <c r="AB567" t="s">
        <v>10742</v>
      </c>
      <c r="AC567" t="s">
        <v>10743</v>
      </c>
      <c r="AD567" t="s">
        <v>10744</v>
      </c>
      <c r="AE567" t="s">
        <v>10745</v>
      </c>
      <c r="AF567" t="s">
        <v>74</v>
      </c>
      <c r="AG567">
        <v>60</v>
      </c>
      <c r="AH567">
        <v>98</v>
      </c>
      <c r="AI567">
        <v>115</v>
      </c>
      <c r="AJ567">
        <v>3</v>
      </c>
      <c r="AK567">
        <v>141</v>
      </c>
      <c r="AL567" t="s">
        <v>368</v>
      </c>
      <c r="AM567" t="s">
        <v>369</v>
      </c>
      <c r="AN567" t="s">
        <v>370</v>
      </c>
      <c r="AO567" t="s">
        <v>3936</v>
      </c>
      <c r="AP567" t="s">
        <v>3937</v>
      </c>
      <c r="AQ567" t="s">
        <v>74</v>
      </c>
      <c r="AR567" t="s">
        <v>3938</v>
      </c>
      <c r="AS567" t="s">
        <v>3939</v>
      </c>
      <c r="AT567" t="s">
        <v>9169</v>
      </c>
      <c r="AU567">
        <v>2013</v>
      </c>
      <c r="AV567">
        <v>19</v>
      </c>
      <c r="AW567">
        <v>5</v>
      </c>
      <c r="AX567" t="s">
        <v>74</v>
      </c>
      <c r="AY567" t="s">
        <v>74</v>
      </c>
      <c r="AZ567" t="s">
        <v>74</v>
      </c>
      <c r="BA567" t="s">
        <v>74</v>
      </c>
      <c r="BB567">
        <v>1632</v>
      </c>
      <c r="BC567">
        <v>1641</v>
      </c>
      <c r="BD567" t="s">
        <v>74</v>
      </c>
      <c r="BE567" t="s">
        <v>10746</v>
      </c>
      <c r="BF567" t="str">
        <f>HYPERLINK("http://dx.doi.org/10.1111/gcb.12154","http://dx.doi.org/10.1111/gcb.12154")</f>
        <v>http://dx.doi.org/10.1111/gcb.12154</v>
      </c>
      <c r="BG567" t="s">
        <v>74</v>
      </c>
      <c r="BH567" t="s">
        <v>74</v>
      </c>
      <c r="BI567">
        <v>10</v>
      </c>
      <c r="BJ567" t="s">
        <v>3941</v>
      </c>
      <c r="BK567" t="s">
        <v>102</v>
      </c>
      <c r="BL567" t="s">
        <v>1159</v>
      </c>
      <c r="BM567" t="s">
        <v>10747</v>
      </c>
      <c r="BN567">
        <v>23505026</v>
      </c>
      <c r="BO567" t="s">
        <v>74</v>
      </c>
      <c r="BP567" t="s">
        <v>74</v>
      </c>
      <c r="BQ567" t="s">
        <v>74</v>
      </c>
      <c r="BR567" t="s">
        <v>105</v>
      </c>
      <c r="BS567" t="s">
        <v>10748</v>
      </c>
      <c r="BT567" t="str">
        <f>HYPERLINK("https%3A%2F%2Fwww.webofscience.com%2Fwos%2Fwoscc%2Ffull-record%2FWOS:000317284700026","View Full Record in Web of Science")</f>
        <v>View Full Record in Web of Science</v>
      </c>
    </row>
    <row r="568" spans="1:72" x14ac:dyDescent="0.15">
      <c r="A568" t="s">
        <v>72</v>
      </c>
      <c r="B568" t="s">
        <v>10749</v>
      </c>
      <c r="C568" t="s">
        <v>74</v>
      </c>
      <c r="D568" t="s">
        <v>74</v>
      </c>
      <c r="E568" t="s">
        <v>74</v>
      </c>
      <c r="F568" t="s">
        <v>10750</v>
      </c>
      <c r="G568" t="s">
        <v>74</v>
      </c>
      <c r="H568" t="s">
        <v>74</v>
      </c>
      <c r="I568" t="s">
        <v>10751</v>
      </c>
      <c r="J568" t="s">
        <v>657</v>
      </c>
      <c r="K568" t="s">
        <v>74</v>
      </c>
      <c r="L568" t="s">
        <v>74</v>
      </c>
      <c r="M568" t="s">
        <v>78</v>
      </c>
      <c r="N568" t="s">
        <v>79</v>
      </c>
      <c r="O568" t="s">
        <v>74</v>
      </c>
      <c r="P568" t="s">
        <v>74</v>
      </c>
      <c r="Q568" t="s">
        <v>74</v>
      </c>
      <c r="R568" t="s">
        <v>74</v>
      </c>
      <c r="S568" t="s">
        <v>74</v>
      </c>
      <c r="T568" t="s">
        <v>10752</v>
      </c>
      <c r="U568" t="s">
        <v>10753</v>
      </c>
      <c r="V568" t="s">
        <v>10754</v>
      </c>
      <c r="W568" t="s">
        <v>10755</v>
      </c>
      <c r="X568" t="s">
        <v>10756</v>
      </c>
      <c r="Y568" t="s">
        <v>10757</v>
      </c>
      <c r="Z568" t="s">
        <v>10758</v>
      </c>
      <c r="AA568" t="s">
        <v>10759</v>
      </c>
      <c r="AB568" t="s">
        <v>10760</v>
      </c>
      <c r="AC568" t="s">
        <v>10761</v>
      </c>
      <c r="AD568" t="s">
        <v>10762</v>
      </c>
      <c r="AE568" t="s">
        <v>10763</v>
      </c>
      <c r="AF568" t="s">
        <v>74</v>
      </c>
      <c r="AG568">
        <v>54</v>
      </c>
      <c r="AH568">
        <v>276</v>
      </c>
      <c r="AI568">
        <v>294</v>
      </c>
      <c r="AJ568">
        <v>11</v>
      </c>
      <c r="AK568">
        <v>255</v>
      </c>
      <c r="AL568" t="s">
        <v>4163</v>
      </c>
      <c r="AM568" t="s">
        <v>643</v>
      </c>
      <c r="AN568" t="s">
        <v>4164</v>
      </c>
      <c r="AO568" t="s">
        <v>672</v>
      </c>
      <c r="AP568" t="s">
        <v>4165</v>
      </c>
      <c r="AQ568" t="s">
        <v>74</v>
      </c>
      <c r="AR568" t="s">
        <v>673</v>
      </c>
      <c r="AS568" t="s">
        <v>674</v>
      </c>
      <c r="AT568" t="s">
        <v>9169</v>
      </c>
      <c r="AU568">
        <v>2013</v>
      </c>
      <c r="AV568">
        <v>7</v>
      </c>
      <c r="AW568">
        <v>5</v>
      </c>
      <c r="AX568" t="s">
        <v>74</v>
      </c>
      <c r="AY568" t="s">
        <v>74</v>
      </c>
      <c r="AZ568" t="s">
        <v>74</v>
      </c>
      <c r="BA568" t="s">
        <v>74</v>
      </c>
      <c r="BB568">
        <v>937</v>
      </c>
      <c r="BC568">
        <v>948</v>
      </c>
      <c r="BD568" t="s">
        <v>74</v>
      </c>
      <c r="BE568" t="s">
        <v>10764</v>
      </c>
      <c r="BF568" t="str">
        <f>HYPERLINK("http://dx.doi.org/10.1038/ismej.2012.168","http://dx.doi.org/10.1038/ismej.2012.168")</f>
        <v>http://dx.doi.org/10.1038/ismej.2012.168</v>
      </c>
      <c r="BG568" t="s">
        <v>74</v>
      </c>
      <c r="BH568" t="s">
        <v>74</v>
      </c>
      <c r="BI568">
        <v>12</v>
      </c>
      <c r="BJ568" t="s">
        <v>676</v>
      </c>
      <c r="BK568" t="s">
        <v>102</v>
      </c>
      <c r="BL568" t="s">
        <v>677</v>
      </c>
      <c r="BM568" t="s">
        <v>10765</v>
      </c>
      <c r="BN568">
        <v>23254515</v>
      </c>
      <c r="BO568" t="s">
        <v>10766</v>
      </c>
      <c r="BP568" t="s">
        <v>74</v>
      </c>
      <c r="BQ568" t="s">
        <v>74</v>
      </c>
      <c r="BR568" t="s">
        <v>105</v>
      </c>
      <c r="BS568" t="s">
        <v>10767</v>
      </c>
      <c r="BT568" t="str">
        <f>HYPERLINK("https%3A%2F%2Fwww.webofscience.com%2Fwos%2Fwoscc%2Ffull-record%2FWOS:000317963300005","View Full Record in Web of Science")</f>
        <v>View Full Record in Web of Science</v>
      </c>
    </row>
    <row r="569" spans="1:72" x14ac:dyDescent="0.15">
      <c r="A569" t="s">
        <v>72</v>
      </c>
      <c r="B569" t="s">
        <v>10768</v>
      </c>
      <c r="C569" t="s">
        <v>74</v>
      </c>
      <c r="D569" t="s">
        <v>74</v>
      </c>
      <c r="E569" t="s">
        <v>74</v>
      </c>
      <c r="F569" t="s">
        <v>10769</v>
      </c>
      <c r="G569" t="s">
        <v>74</v>
      </c>
      <c r="H569" t="s">
        <v>74</v>
      </c>
      <c r="I569" t="s">
        <v>10770</v>
      </c>
      <c r="J569" t="s">
        <v>10771</v>
      </c>
      <c r="K569" t="s">
        <v>74</v>
      </c>
      <c r="L569" t="s">
        <v>74</v>
      </c>
      <c r="M569" t="s">
        <v>78</v>
      </c>
      <c r="N569" t="s">
        <v>79</v>
      </c>
      <c r="O569" t="s">
        <v>74</v>
      </c>
      <c r="P569" t="s">
        <v>74</v>
      </c>
      <c r="Q569" t="s">
        <v>74</v>
      </c>
      <c r="R569" t="s">
        <v>74</v>
      </c>
      <c r="S569" t="s">
        <v>74</v>
      </c>
      <c r="T569" t="s">
        <v>10772</v>
      </c>
      <c r="U569" t="s">
        <v>74</v>
      </c>
      <c r="V569" t="s">
        <v>10773</v>
      </c>
      <c r="W569" t="s">
        <v>74</v>
      </c>
      <c r="X569" t="s">
        <v>74</v>
      </c>
      <c r="Y569" t="s">
        <v>74</v>
      </c>
      <c r="Z569" t="s">
        <v>10774</v>
      </c>
      <c r="AA569" t="s">
        <v>74</v>
      </c>
      <c r="AB569" t="s">
        <v>74</v>
      </c>
      <c r="AC569" t="s">
        <v>10775</v>
      </c>
      <c r="AD569" t="s">
        <v>10776</v>
      </c>
      <c r="AE569" t="s">
        <v>74</v>
      </c>
      <c r="AF569" t="s">
        <v>74</v>
      </c>
      <c r="AG569">
        <v>33</v>
      </c>
      <c r="AH569">
        <v>4</v>
      </c>
      <c r="AI569">
        <v>4</v>
      </c>
      <c r="AJ569">
        <v>0</v>
      </c>
      <c r="AK569">
        <v>0</v>
      </c>
      <c r="AL569" t="s">
        <v>10777</v>
      </c>
      <c r="AM569" t="s">
        <v>1851</v>
      </c>
      <c r="AN569" t="s">
        <v>10778</v>
      </c>
      <c r="AO569" t="s">
        <v>10779</v>
      </c>
      <c r="AP569" t="s">
        <v>10780</v>
      </c>
      <c r="AQ569" t="s">
        <v>74</v>
      </c>
      <c r="AR569" t="s">
        <v>10781</v>
      </c>
      <c r="AS569" t="s">
        <v>10782</v>
      </c>
      <c r="AT569" t="s">
        <v>9169</v>
      </c>
      <c r="AU569">
        <v>2013</v>
      </c>
      <c r="AV569">
        <v>1</v>
      </c>
      <c r="AW569">
        <v>1</v>
      </c>
      <c r="AX569" t="s">
        <v>74</v>
      </c>
      <c r="AY569" t="s">
        <v>74</v>
      </c>
      <c r="AZ569" t="s">
        <v>74</v>
      </c>
      <c r="BA569" t="s">
        <v>74</v>
      </c>
      <c r="BB569">
        <v>54</v>
      </c>
      <c r="BC569">
        <v>69</v>
      </c>
      <c r="BD569" t="s">
        <v>74</v>
      </c>
      <c r="BE569" t="s">
        <v>10783</v>
      </c>
      <c r="BF569" t="str">
        <f>HYPERLINK("http://dx.doi.org/10.1515/jcde-2013-0006","http://dx.doi.org/10.1515/jcde-2013-0006")</f>
        <v>http://dx.doi.org/10.1515/jcde-2013-0006</v>
      </c>
      <c r="BG569" t="s">
        <v>74</v>
      </c>
      <c r="BH569" t="s">
        <v>74</v>
      </c>
      <c r="BI569">
        <v>16</v>
      </c>
      <c r="BJ569" t="s">
        <v>398</v>
      </c>
      <c r="BK569" t="s">
        <v>1452</v>
      </c>
      <c r="BL569" t="s">
        <v>398</v>
      </c>
      <c r="BM569" t="s">
        <v>10784</v>
      </c>
      <c r="BN569" t="s">
        <v>74</v>
      </c>
      <c r="BO569" t="s">
        <v>74</v>
      </c>
      <c r="BP569" t="s">
        <v>74</v>
      </c>
      <c r="BQ569" t="s">
        <v>74</v>
      </c>
      <c r="BR569" t="s">
        <v>105</v>
      </c>
      <c r="BS569" t="s">
        <v>10785</v>
      </c>
      <c r="BT569" t="str">
        <f>HYPERLINK("https%3A%2F%2Fwww.webofscience.com%2Fwos%2Fwoscc%2Ffull-record%2FWOS:000436513000006","View Full Record in Web of Science")</f>
        <v>View Full Record in Web of Science</v>
      </c>
    </row>
    <row r="570" spans="1:72" x14ac:dyDescent="0.15">
      <c r="A570" t="s">
        <v>72</v>
      </c>
      <c r="B570" t="s">
        <v>10786</v>
      </c>
      <c r="C570" t="s">
        <v>74</v>
      </c>
      <c r="D570" t="s">
        <v>74</v>
      </c>
      <c r="E570" t="s">
        <v>74</v>
      </c>
      <c r="F570" t="s">
        <v>10787</v>
      </c>
      <c r="G570" t="s">
        <v>74</v>
      </c>
      <c r="H570" t="s">
        <v>74</v>
      </c>
      <c r="I570" t="s">
        <v>10788</v>
      </c>
      <c r="J570" t="s">
        <v>1665</v>
      </c>
      <c r="K570" t="s">
        <v>74</v>
      </c>
      <c r="L570" t="s">
        <v>74</v>
      </c>
      <c r="M570" t="s">
        <v>78</v>
      </c>
      <c r="N570" t="s">
        <v>79</v>
      </c>
      <c r="O570" t="s">
        <v>74</v>
      </c>
      <c r="P570" t="s">
        <v>74</v>
      </c>
      <c r="Q570" t="s">
        <v>74</v>
      </c>
      <c r="R570" t="s">
        <v>74</v>
      </c>
      <c r="S570" t="s">
        <v>74</v>
      </c>
      <c r="T570" t="s">
        <v>10789</v>
      </c>
      <c r="U570" t="s">
        <v>10790</v>
      </c>
      <c r="V570" t="s">
        <v>10791</v>
      </c>
      <c r="W570" t="s">
        <v>10792</v>
      </c>
      <c r="X570" t="s">
        <v>10793</v>
      </c>
      <c r="Y570" t="s">
        <v>10794</v>
      </c>
      <c r="Z570" t="s">
        <v>10795</v>
      </c>
      <c r="AA570" t="s">
        <v>10796</v>
      </c>
      <c r="AB570" t="s">
        <v>10797</v>
      </c>
      <c r="AC570" t="s">
        <v>10798</v>
      </c>
      <c r="AD570" t="s">
        <v>10799</v>
      </c>
      <c r="AE570" t="s">
        <v>10800</v>
      </c>
      <c r="AF570" t="s">
        <v>74</v>
      </c>
      <c r="AG570">
        <v>89</v>
      </c>
      <c r="AH570">
        <v>39</v>
      </c>
      <c r="AI570">
        <v>42</v>
      </c>
      <c r="AJ570">
        <v>2</v>
      </c>
      <c r="AK570">
        <v>65</v>
      </c>
      <c r="AL570" t="s">
        <v>1678</v>
      </c>
      <c r="AM570" t="s">
        <v>1679</v>
      </c>
      <c r="AN570" t="s">
        <v>1680</v>
      </c>
      <c r="AO570" t="s">
        <v>1681</v>
      </c>
      <c r="AP570" t="s">
        <v>74</v>
      </c>
      <c r="AQ570" t="s">
        <v>74</v>
      </c>
      <c r="AR570" t="s">
        <v>1682</v>
      </c>
      <c r="AS570" t="s">
        <v>1683</v>
      </c>
      <c r="AT570" t="s">
        <v>9169</v>
      </c>
      <c r="AU570">
        <v>2013</v>
      </c>
      <c r="AV570">
        <v>216</v>
      </c>
      <c r="AW570">
        <v>9</v>
      </c>
      <c r="AX570" t="s">
        <v>74</v>
      </c>
      <c r="AY570" t="s">
        <v>74</v>
      </c>
      <c r="AZ570" t="s">
        <v>74</v>
      </c>
      <c r="BA570" t="s">
        <v>74</v>
      </c>
      <c r="BB570">
        <v>1683</v>
      </c>
      <c r="BC570">
        <v>1694</v>
      </c>
      <c r="BD570" t="s">
        <v>74</v>
      </c>
      <c r="BE570" t="s">
        <v>10801</v>
      </c>
      <c r="BF570" t="str">
        <f>HYPERLINK("http://dx.doi.org/10.1242/jeb.081232","http://dx.doi.org/10.1242/jeb.081232")</f>
        <v>http://dx.doi.org/10.1242/jeb.081232</v>
      </c>
      <c r="BG570" t="s">
        <v>74</v>
      </c>
      <c r="BH570" t="s">
        <v>74</v>
      </c>
      <c r="BI570">
        <v>12</v>
      </c>
      <c r="BJ570" t="s">
        <v>1685</v>
      </c>
      <c r="BK570" t="s">
        <v>102</v>
      </c>
      <c r="BL570" t="s">
        <v>1686</v>
      </c>
      <c r="BM570" t="s">
        <v>10802</v>
      </c>
      <c r="BN570">
        <v>23348950</v>
      </c>
      <c r="BO570" t="s">
        <v>104</v>
      </c>
      <c r="BP570" t="s">
        <v>74</v>
      </c>
      <c r="BQ570" t="s">
        <v>74</v>
      </c>
      <c r="BR570" t="s">
        <v>105</v>
      </c>
      <c r="BS570" t="s">
        <v>10803</v>
      </c>
      <c r="BT570" t="str">
        <f>HYPERLINK("https%3A%2F%2Fwww.webofscience.com%2Fwos%2Fwoscc%2Ffull-record%2FWOS:000317722700027","View Full Record in Web of Science")</f>
        <v>View Full Record in Web of Science</v>
      </c>
    </row>
    <row r="571" spans="1:72" x14ac:dyDescent="0.15">
      <c r="A571" t="s">
        <v>72</v>
      </c>
      <c r="B571" t="s">
        <v>10804</v>
      </c>
      <c r="C571" t="s">
        <v>74</v>
      </c>
      <c r="D571" t="s">
        <v>74</v>
      </c>
      <c r="E571" t="s">
        <v>74</v>
      </c>
      <c r="F571" t="s">
        <v>10805</v>
      </c>
      <c r="G571" t="s">
        <v>74</v>
      </c>
      <c r="H571" t="s">
        <v>74</v>
      </c>
      <c r="I571" t="s">
        <v>10806</v>
      </c>
      <c r="J571" t="s">
        <v>10807</v>
      </c>
      <c r="K571" t="s">
        <v>74</v>
      </c>
      <c r="L571" t="s">
        <v>74</v>
      </c>
      <c r="M571" t="s">
        <v>78</v>
      </c>
      <c r="N571" t="s">
        <v>79</v>
      </c>
      <c r="O571" t="s">
        <v>74</v>
      </c>
      <c r="P571" t="s">
        <v>74</v>
      </c>
      <c r="Q571" t="s">
        <v>74</v>
      </c>
      <c r="R571" t="s">
        <v>74</v>
      </c>
      <c r="S571" t="s">
        <v>74</v>
      </c>
      <c r="T571" t="s">
        <v>10808</v>
      </c>
      <c r="U571" t="s">
        <v>10809</v>
      </c>
      <c r="V571" t="s">
        <v>10810</v>
      </c>
      <c r="W571" t="s">
        <v>10811</v>
      </c>
      <c r="X571" t="s">
        <v>10812</v>
      </c>
      <c r="Y571" t="s">
        <v>10813</v>
      </c>
      <c r="Z571" t="s">
        <v>10814</v>
      </c>
      <c r="AA571" t="s">
        <v>10815</v>
      </c>
      <c r="AB571" t="s">
        <v>4303</v>
      </c>
      <c r="AC571" t="s">
        <v>10816</v>
      </c>
      <c r="AD571" t="s">
        <v>10817</v>
      </c>
      <c r="AE571" t="s">
        <v>10818</v>
      </c>
      <c r="AF571" t="s">
        <v>74</v>
      </c>
      <c r="AG571">
        <v>82</v>
      </c>
      <c r="AH571">
        <v>14</v>
      </c>
      <c r="AI571">
        <v>14</v>
      </c>
      <c r="AJ571">
        <v>0</v>
      </c>
      <c r="AK571">
        <v>13</v>
      </c>
      <c r="AL571" t="s">
        <v>390</v>
      </c>
      <c r="AM571" t="s">
        <v>391</v>
      </c>
      <c r="AN571" t="s">
        <v>392</v>
      </c>
      <c r="AO571" t="s">
        <v>10819</v>
      </c>
      <c r="AP571" t="s">
        <v>10820</v>
      </c>
      <c r="AQ571" t="s">
        <v>74</v>
      </c>
      <c r="AR571" t="s">
        <v>10821</v>
      </c>
      <c r="AS571" t="s">
        <v>10822</v>
      </c>
      <c r="AT571" t="s">
        <v>9169</v>
      </c>
      <c r="AU571">
        <v>2013</v>
      </c>
      <c r="AV571">
        <v>723</v>
      </c>
      <c r="AW571" t="s">
        <v>74</v>
      </c>
      <c r="AX571" t="s">
        <v>74</v>
      </c>
      <c r="AY571" t="s">
        <v>74</v>
      </c>
      <c r="AZ571" t="s">
        <v>74</v>
      </c>
      <c r="BA571" t="s">
        <v>74</v>
      </c>
      <c r="BB571">
        <v>289</v>
      </c>
      <c r="BC571">
        <v>317</v>
      </c>
      <c r="BD571" t="s">
        <v>74</v>
      </c>
      <c r="BE571" t="s">
        <v>10823</v>
      </c>
      <c r="BF571" t="str">
        <f>HYPERLINK("http://dx.doi.org/10.1017/jfm.2013.121","http://dx.doi.org/10.1017/jfm.2013.121")</f>
        <v>http://dx.doi.org/10.1017/jfm.2013.121</v>
      </c>
      <c r="BG571" t="s">
        <v>74</v>
      </c>
      <c r="BH571" t="s">
        <v>74</v>
      </c>
      <c r="BI571">
        <v>29</v>
      </c>
      <c r="BJ571" t="s">
        <v>10824</v>
      </c>
      <c r="BK571" t="s">
        <v>102</v>
      </c>
      <c r="BL571" t="s">
        <v>10825</v>
      </c>
      <c r="BM571" t="s">
        <v>10826</v>
      </c>
      <c r="BN571" t="s">
        <v>74</v>
      </c>
      <c r="BO571" t="s">
        <v>74</v>
      </c>
      <c r="BP571" t="s">
        <v>74</v>
      </c>
      <c r="BQ571" t="s">
        <v>74</v>
      </c>
      <c r="BR571" t="s">
        <v>105</v>
      </c>
      <c r="BS571" t="s">
        <v>10827</v>
      </c>
      <c r="BT571" t="str">
        <f>HYPERLINK("https%3A%2F%2Fwww.webofscience.com%2Fwos%2Fwoscc%2Ffull-record%2FWOS:000317659400012","View Full Record in Web of Science")</f>
        <v>View Full Record in Web of Science</v>
      </c>
    </row>
    <row r="572" spans="1:72" x14ac:dyDescent="0.15">
      <c r="A572" t="s">
        <v>72</v>
      </c>
      <c r="B572" t="s">
        <v>10828</v>
      </c>
      <c r="C572" t="s">
        <v>74</v>
      </c>
      <c r="D572" t="s">
        <v>74</v>
      </c>
      <c r="E572" t="s">
        <v>74</v>
      </c>
      <c r="F572" t="s">
        <v>10829</v>
      </c>
      <c r="G572" t="s">
        <v>74</v>
      </c>
      <c r="H572" t="s">
        <v>74</v>
      </c>
      <c r="I572" t="s">
        <v>10830</v>
      </c>
      <c r="J572" t="s">
        <v>10807</v>
      </c>
      <c r="K572" t="s">
        <v>74</v>
      </c>
      <c r="L572" t="s">
        <v>74</v>
      </c>
      <c r="M572" t="s">
        <v>78</v>
      </c>
      <c r="N572" t="s">
        <v>79</v>
      </c>
      <c r="O572" t="s">
        <v>74</v>
      </c>
      <c r="P572" t="s">
        <v>74</v>
      </c>
      <c r="Q572" t="s">
        <v>74</v>
      </c>
      <c r="R572" t="s">
        <v>74</v>
      </c>
      <c r="S572" t="s">
        <v>74</v>
      </c>
      <c r="T572" t="s">
        <v>10831</v>
      </c>
      <c r="U572" t="s">
        <v>10832</v>
      </c>
      <c r="V572" t="s">
        <v>10833</v>
      </c>
      <c r="W572" t="s">
        <v>10834</v>
      </c>
      <c r="X572" t="s">
        <v>10812</v>
      </c>
      <c r="Y572" t="s">
        <v>10835</v>
      </c>
      <c r="Z572" t="s">
        <v>10814</v>
      </c>
      <c r="AA572" t="s">
        <v>10815</v>
      </c>
      <c r="AB572" t="s">
        <v>74</v>
      </c>
      <c r="AC572" t="s">
        <v>10816</v>
      </c>
      <c r="AD572" t="s">
        <v>10817</v>
      </c>
      <c r="AE572" t="s">
        <v>10836</v>
      </c>
      <c r="AF572" t="s">
        <v>74</v>
      </c>
      <c r="AG572">
        <v>115</v>
      </c>
      <c r="AH572">
        <v>29</v>
      </c>
      <c r="AI572">
        <v>30</v>
      </c>
      <c r="AJ572">
        <v>2</v>
      </c>
      <c r="AK572">
        <v>23</v>
      </c>
      <c r="AL572" t="s">
        <v>390</v>
      </c>
      <c r="AM572" t="s">
        <v>391</v>
      </c>
      <c r="AN572" t="s">
        <v>392</v>
      </c>
      <c r="AO572" t="s">
        <v>10819</v>
      </c>
      <c r="AP572" t="s">
        <v>10820</v>
      </c>
      <c r="AQ572" t="s">
        <v>74</v>
      </c>
      <c r="AR572" t="s">
        <v>10821</v>
      </c>
      <c r="AS572" t="s">
        <v>10822</v>
      </c>
      <c r="AT572" t="s">
        <v>9169</v>
      </c>
      <c r="AU572">
        <v>2013</v>
      </c>
      <c r="AV572">
        <v>723</v>
      </c>
      <c r="AW572" t="s">
        <v>74</v>
      </c>
      <c r="AX572" t="s">
        <v>74</v>
      </c>
      <c r="AY572" t="s">
        <v>74</v>
      </c>
      <c r="AZ572" t="s">
        <v>74</v>
      </c>
      <c r="BA572" t="s">
        <v>74</v>
      </c>
      <c r="BB572">
        <v>374</v>
      </c>
      <c r="BC572">
        <v>403</v>
      </c>
      <c r="BD572" t="s">
        <v>74</v>
      </c>
      <c r="BE572" t="s">
        <v>10837</v>
      </c>
      <c r="BF572" t="str">
        <f>HYPERLINK("http://dx.doi.org/10.1017/jfm.2013.101","http://dx.doi.org/10.1017/jfm.2013.101")</f>
        <v>http://dx.doi.org/10.1017/jfm.2013.101</v>
      </c>
      <c r="BG572" t="s">
        <v>74</v>
      </c>
      <c r="BH572" t="s">
        <v>74</v>
      </c>
      <c r="BI572">
        <v>30</v>
      </c>
      <c r="BJ572" t="s">
        <v>10824</v>
      </c>
      <c r="BK572" t="s">
        <v>102</v>
      </c>
      <c r="BL572" t="s">
        <v>10825</v>
      </c>
      <c r="BM572" t="s">
        <v>10826</v>
      </c>
      <c r="BN572" t="s">
        <v>74</v>
      </c>
      <c r="BO572" t="s">
        <v>74</v>
      </c>
      <c r="BP572" t="s">
        <v>74</v>
      </c>
      <c r="BQ572" t="s">
        <v>74</v>
      </c>
      <c r="BR572" t="s">
        <v>105</v>
      </c>
      <c r="BS572" t="s">
        <v>10838</v>
      </c>
      <c r="BT572" t="str">
        <f>HYPERLINK("https%3A%2F%2Fwww.webofscience.com%2Fwos%2Fwoscc%2Ffull-record%2FWOS:000317659400015","View Full Record in Web of Science")</f>
        <v>View Full Record in Web of Science</v>
      </c>
    </row>
    <row r="573" spans="1:72" x14ac:dyDescent="0.15">
      <c r="A573" t="s">
        <v>72</v>
      </c>
      <c r="B573" t="s">
        <v>10839</v>
      </c>
      <c r="C573" t="s">
        <v>74</v>
      </c>
      <c r="D573" t="s">
        <v>74</v>
      </c>
      <c r="E573" t="s">
        <v>74</v>
      </c>
      <c r="F573" t="s">
        <v>10840</v>
      </c>
      <c r="G573" t="s">
        <v>74</v>
      </c>
      <c r="H573" t="s">
        <v>74</v>
      </c>
      <c r="I573" t="s">
        <v>10841</v>
      </c>
      <c r="J573" t="s">
        <v>1710</v>
      </c>
      <c r="K573" t="s">
        <v>74</v>
      </c>
      <c r="L573" t="s">
        <v>74</v>
      </c>
      <c r="M573" t="s">
        <v>78</v>
      </c>
      <c r="N573" t="s">
        <v>79</v>
      </c>
      <c r="O573" t="s">
        <v>74</v>
      </c>
      <c r="P573" t="s">
        <v>74</v>
      </c>
      <c r="Q573" t="s">
        <v>74</v>
      </c>
      <c r="R573" t="s">
        <v>74</v>
      </c>
      <c r="S573" t="s">
        <v>74</v>
      </c>
      <c r="T573" t="s">
        <v>10842</v>
      </c>
      <c r="U573" t="s">
        <v>10843</v>
      </c>
      <c r="V573" t="s">
        <v>10844</v>
      </c>
      <c r="W573" t="s">
        <v>10845</v>
      </c>
      <c r="X573" t="s">
        <v>10846</v>
      </c>
      <c r="Y573" t="s">
        <v>10847</v>
      </c>
      <c r="Z573" t="s">
        <v>10848</v>
      </c>
      <c r="AA573" t="s">
        <v>10849</v>
      </c>
      <c r="AB573" t="s">
        <v>10850</v>
      </c>
      <c r="AC573" t="s">
        <v>10851</v>
      </c>
      <c r="AD573" t="s">
        <v>10852</v>
      </c>
      <c r="AE573" t="s">
        <v>10853</v>
      </c>
      <c r="AF573" t="s">
        <v>74</v>
      </c>
      <c r="AG573">
        <v>40</v>
      </c>
      <c r="AH573">
        <v>67</v>
      </c>
      <c r="AI573">
        <v>70</v>
      </c>
      <c r="AJ573">
        <v>7</v>
      </c>
      <c r="AK573">
        <v>64</v>
      </c>
      <c r="AL573" t="s">
        <v>92</v>
      </c>
      <c r="AM573" t="s">
        <v>93</v>
      </c>
      <c r="AN573" t="s">
        <v>94</v>
      </c>
      <c r="AO573" t="s">
        <v>1723</v>
      </c>
      <c r="AP573" t="s">
        <v>1724</v>
      </c>
      <c r="AQ573" t="s">
        <v>74</v>
      </c>
      <c r="AR573" t="s">
        <v>1725</v>
      </c>
      <c r="AS573" t="s">
        <v>1726</v>
      </c>
      <c r="AT573" t="s">
        <v>9169</v>
      </c>
      <c r="AU573">
        <v>2013</v>
      </c>
      <c r="AV573">
        <v>118</v>
      </c>
      <c r="AW573">
        <v>5</v>
      </c>
      <c r="AX573" t="s">
        <v>74</v>
      </c>
      <c r="AY573" t="s">
        <v>74</v>
      </c>
      <c r="AZ573" t="s">
        <v>74</v>
      </c>
      <c r="BA573" t="s">
        <v>74</v>
      </c>
      <c r="BB573">
        <v>2547</v>
      </c>
      <c r="BC573">
        <v>2564</v>
      </c>
      <c r="BD573" t="s">
        <v>74</v>
      </c>
      <c r="BE573" t="s">
        <v>10854</v>
      </c>
      <c r="BF573" t="str">
        <f>HYPERLINK("http://dx.doi.org/10.1002/jgrc.20181","http://dx.doi.org/10.1002/jgrc.20181")</f>
        <v>http://dx.doi.org/10.1002/jgrc.20181</v>
      </c>
      <c r="BG573" t="s">
        <v>74</v>
      </c>
      <c r="BH573" t="s">
        <v>74</v>
      </c>
      <c r="BI573">
        <v>18</v>
      </c>
      <c r="BJ573" t="s">
        <v>327</v>
      </c>
      <c r="BK573" t="s">
        <v>102</v>
      </c>
      <c r="BL573" t="s">
        <v>327</v>
      </c>
      <c r="BM573" t="s">
        <v>9343</v>
      </c>
      <c r="BN573" t="s">
        <v>74</v>
      </c>
      <c r="BO573" t="s">
        <v>1589</v>
      </c>
      <c r="BP573" t="s">
        <v>74</v>
      </c>
      <c r="BQ573" t="s">
        <v>74</v>
      </c>
      <c r="BR573" t="s">
        <v>105</v>
      </c>
      <c r="BS573" t="s">
        <v>10855</v>
      </c>
      <c r="BT573" t="str">
        <f>HYPERLINK("https%3A%2F%2Fwww.webofscience.com%2Fwos%2Fwoscc%2Ffull-record%2FWOS:000324913700021","View Full Record in Web of Science")</f>
        <v>View Full Record in Web of Science</v>
      </c>
    </row>
    <row r="574" spans="1:72" x14ac:dyDescent="0.15">
      <c r="A574" t="s">
        <v>72</v>
      </c>
      <c r="B574" t="s">
        <v>10856</v>
      </c>
      <c r="C574" t="s">
        <v>74</v>
      </c>
      <c r="D574" t="s">
        <v>74</v>
      </c>
      <c r="E574" t="s">
        <v>74</v>
      </c>
      <c r="F574" t="s">
        <v>10857</v>
      </c>
      <c r="G574" t="s">
        <v>74</v>
      </c>
      <c r="H574" t="s">
        <v>74</v>
      </c>
      <c r="I574" t="s">
        <v>10858</v>
      </c>
      <c r="J574" t="s">
        <v>1710</v>
      </c>
      <c r="K574" t="s">
        <v>74</v>
      </c>
      <c r="L574" t="s">
        <v>74</v>
      </c>
      <c r="M574" t="s">
        <v>78</v>
      </c>
      <c r="N574" t="s">
        <v>79</v>
      </c>
      <c r="O574" t="s">
        <v>74</v>
      </c>
      <c r="P574" t="s">
        <v>74</v>
      </c>
      <c r="Q574" t="s">
        <v>74</v>
      </c>
      <c r="R574" t="s">
        <v>74</v>
      </c>
      <c r="S574" t="s">
        <v>74</v>
      </c>
      <c r="T574" t="s">
        <v>10859</v>
      </c>
      <c r="U574" t="s">
        <v>10860</v>
      </c>
      <c r="V574" t="s">
        <v>10861</v>
      </c>
      <c r="W574" t="s">
        <v>10862</v>
      </c>
      <c r="X574" t="s">
        <v>10863</v>
      </c>
      <c r="Y574" t="s">
        <v>10864</v>
      </c>
      <c r="Z574" t="s">
        <v>10865</v>
      </c>
      <c r="AA574" t="s">
        <v>10866</v>
      </c>
      <c r="AB574" t="s">
        <v>10867</v>
      </c>
      <c r="AC574" t="s">
        <v>10868</v>
      </c>
      <c r="AD574" t="s">
        <v>10869</v>
      </c>
      <c r="AE574" t="s">
        <v>10870</v>
      </c>
      <c r="AF574" t="s">
        <v>74</v>
      </c>
      <c r="AG574">
        <v>45</v>
      </c>
      <c r="AH574">
        <v>25</v>
      </c>
      <c r="AI574">
        <v>28</v>
      </c>
      <c r="AJ574">
        <v>0</v>
      </c>
      <c r="AK574">
        <v>9</v>
      </c>
      <c r="AL574" t="s">
        <v>92</v>
      </c>
      <c r="AM574" t="s">
        <v>93</v>
      </c>
      <c r="AN574" t="s">
        <v>94</v>
      </c>
      <c r="AO574" t="s">
        <v>1723</v>
      </c>
      <c r="AP574" t="s">
        <v>1724</v>
      </c>
      <c r="AQ574" t="s">
        <v>74</v>
      </c>
      <c r="AR574" t="s">
        <v>1725</v>
      </c>
      <c r="AS574" t="s">
        <v>1726</v>
      </c>
      <c r="AT574" t="s">
        <v>9169</v>
      </c>
      <c r="AU574">
        <v>2013</v>
      </c>
      <c r="AV574">
        <v>118</v>
      </c>
      <c r="AW574">
        <v>5</v>
      </c>
      <c r="AX574" t="s">
        <v>74</v>
      </c>
      <c r="AY574" t="s">
        <v>74</v>
      </c>
      <c r="AZ574" t="s">
        <v>74</v>
      </c>
      <c r="BA574" t="s">
        <v>74</v>
      </c>
      <c r="BB574">
        <v>2653</v>
      </c>
      <c r="BC574">
        <v>2666</v>
      </c>
      <c r="BD574" t="s">
        <v>74</v>
      </c>
      <c r="BE574" t="s">
        <v>10871</v>
      </c>
      <c r="BF574" t="str">
        <f>HYPERLINK("http://dx.doi.org/10.1002/jgrc.20193","http://dx.doi.org/10.1002/jgrc.20193")</f>
        <v>http://dx.doi.org/10.1002/jgrc.20193</v>
      </c>
      <c r="BG574" t="s">
        <v>74</v>
      </c>
      <c r="BH574" t="s">
        <v>74</v>
      </c>
      <c r="BI574">
        <v>14</v>
      </c>
      <c r="BJ574" t="s">
        <v>327</v>
      </c>
      <c r="BK574" t="s">
        <v>102</v>
      </c>
      <c r="BL574" t="s">
        <v>327</v>
      </c>
      <c r="BM574" t="s">
        <v>9343</v>
      </c>
      <c r="BN574" t="s">
        <v>74</v>
      </c>
      <c r="BO574" t="s">
        <v>104</v>
      </c>
      <c r="BP574" t="s">
        <v>74</v>
      </c>
      <c r="BQ574" t="s">
        <v>74</v>
      </c>
      <c r="BR574" t="s">
        <v>105</v>
      </c>
      <c r="BS574" t="s">
        <v>10872</v>
      </c>
      <c r="BT574" t="str">
        <f>HYPERLINK("https%3A%2F%2Fwww.webofscience.com%2Fwos%2Fwoscc%2Ffull-record%2FWOS:000324913700028","View Full Record in Web of Science")</f>
        <v>View Full Record in Web of Science</v>
      </c>
    </row>
    <row r="575" spans="1:72" x14ac:dyDescent="0.15">
      <c r="A575" t="s">
        <v>72</v>
      </c>
      <c r="B575" t="s">
        <v>10873</v>
      </c>
      <c r="C575" t="s">
        <v>74</v>
      </c>
      <c r="D575" t="s">
        <v>74</v>
      </c>
      <c r="E575" t="s">
        <v>74</v>
      </c>
      <c r="F575" t="s">
        <v>10874</v>
      </c>
      <c r="G575" t="s">
        <v>74</v>
      </c>
      <c r="H575" t="s">
        <v>74</v>
      </c>
      <c r="I575" t="s">
        <v>10875</v>
      </c>
      <c r="J575" t="s">
        <v>311</v>
      </c>
      <c r="K575" t="s">
        <v>74</v>
      </c>
      <c r="L575" t="s">
        <v>74</v>
      </c>
      <c r="M575" t="s">
        <v>78</v>
      </c>
      <c r="N575" t="s">
        <v>79</v>
      </c>
      <c r="O575" t="s">
        <v>74</v>
      </c>
      <c r="P575" t="s">
        <v>74</v>
      </c>
      <c r="Q575" t="s">
        <v>74</v>
      </c>
      <c r="R575" t="s">
        <v>74</v>
      </c>
      <c r="S575" t="s">
        <v>74</v>
      </c>
      <c r="T575" t="s">
        <v>74</v>
      </c>
      <c r="U575" t="s">
        <v>10876</v>
      </c>
      <c r="V575" t="s">
        <v>10877</v>
      </c>
      <c r="W575" t="s">
        <v>10878</v>
      </c>
      <c r="X575" t="s">
        <v>10879</v>
      </c>
      <c r="Y575" t="s">
        <v>10880</v>
      </c>
      <c r="Z575" t="s">
        <v>10881</v>
      </c>
      <c r="AA575" t="s">
        <v>10882</v>
      </c>
      <c r="AB575" t="s">
        <v>10883</v>
      </c>
      <c r="AC575" t="s">
        <v>10884</v>
      </c>
      <c r="AD575" t="s">
        <v>995</v>
      </c>
      <c r="AE575" t="s">
        <v>74</v>
      </c>
      <c r="AF575" t="s">
        <v>74</v>
      </c>
      <c r="AG575">
        <v>62</v>
      </c>
      <c r="AH575">
        <v>45</v>
      </c>
      <c r="AI575">
        <v>52</v>
      </c>
      <c r="AJ575">
        <v>2</v>
      </c>
      <c r="AK575">
        <v>29</v>
      </c>
      <c r="AL575" t="s">
        <v>237</v>
      </c>
      <c r="AM575" t="s">
        <v>238</v>
      </c>
      <c r="AN575" t="s">
        <v>239</v>
      </c>
      <c r="AO575" t="s">
        <v>322</v>
      </c>
      <c r="AP575" t="s">
        <v>323</v>
      </c>
      <c r="AQ575" t="s">
        <v>74</v>
      </c>
      <c r="AR575" t="s">
        <v>324</v>
      </c>
      <c r="AS575" t="s">
        <v>325</v>
      </c>
      <c r="AT575" t="s">
        <v>9169</v>
      </c>
      <c r="AU575">
        <v>2013</v>
      </c>
      <c r="AV575">
        <v>43</v>
      </c>
      <c r="AW575">
        <v>5</v>
      </c>
      <c r="AX575" t="s">
        <v>74</v>
      </c>
      <c r="AY575" t="s">
        <v>74</v>
      </c>
      <c r="AZ575" t="s">
        <v>74</v>
      </c>
      <c r="BA575" t="s">
        <v>74</v>
      </c>
      <c r="BB575">
        <v>920</v>
      </c>
      <c r="BC575">
        <v>940</v>
      </c>
      <c r="BD575" t="s">
        <v>74</v>
      </c>
      <c r="BE575" t="s">
        <v>10885</v>
      </c>
      <c r="BF575" t="str">
        <f>HYPERLINK("http://dx.doi.org/10.1175/JPO-D-12-0172.1","http://dx.doi.org/10.1175/JPO-D-12-0172.1")</f>
        <v>http://dx.doi.org/10.1175/JPO-D-12-0172.1</v>
      </c>
      <c r="BG575" t="s">
        <v>74</v>
      </c>
      <c r="BH575" t="s">
        <v>74</v>
      </c>
      <c r="BI575">
        <v>21</v>
      </c>
      <c r="BJ575" t="s">
        <v>327</v>
      </c>
      <c r="BK575" t="s">
        <v>102</v>
      </c>
      <c r="BL575" t="s">
        <v>327</v>
      </c>
      <c r="BM575" t="s">
        <v>10886</v>
      </c>
      <c r="BN575" t="s">
        <v>74</v>
      </c>
      <c r="BO575" t="s">
        <v>4895</v>
      </c>
      <c r="BP575" t="s">
        <v>74</v>
      </c>
      <c r="BQ575" t="s">
        <v>74</v>
      </c>
      <c r="BR575" t="s">
        <v>105</v>
      </c>
      <c r="BS575" t="s">
        <v>10887</v>
      </c>
      <c r="BT575" t="str">
        <f>HYPERLINK("https%3A%2F%2Fwww.webofscience.com%2Fwos%2Fwoscc%2Ffull-record%2FWOS:000319669100006","View Full Record in Web of Science")</f>
        <v>View Full Record in Web of Science</v>
      </c>
    </row>
    <row r="576" spans="1:72" x14ac:dyDescent="0.15">
      <c r="A576" t="s">
        <v>72</v>
      </c>
      <c r="B576" t="s">
        <v>10888</v>
      </c>
      <c r="C576" t="s">
        <v>74</v>
      </c>
      <c r="D576" t="s">
        <v>74</v>
      </c>
      <c r="E576" t="s">
        <v>74</v>
      </c>
      <c r="F576" t="s">
        <v>10889</v>
      </c>
      <c r="G576" t="s">
        <v>74</v>
      </c>
      <c r="H576" t="s">
        <v>74</v>
      </c>
      <c r="I576" t="s">
        <v>10890</v>
      </c>
      <c r="J576" t="s">
        <v>311</v>
      </c>
      <c r="K576" t="s">
        <v>74</v>
      </c>
      <c r="L576" t="s">
        <v>74</v>
      </c>
      <c r="M576" t="s">
        <v>78</v>
      </c>
      <c r="N576" t="s">
        <v>79</v>
      </c>
      <c r="O576" t="s">
        <v>74</v>
      </c>
      <c r="P576" t="s">
        <v>74</v>
      </c>
      <c r="Q576" t="s">
        <v>74</v>
      </c>
      <c r="R576" t="s">
        <v>74</v>
      </c>
      <c r="S576" t="s">
        <v>74</v>
      </c>
      <c r="T576" t="s">
        <v>74</v>
      </c>
      <c r="U576" t="s">
        <v>10891</v>
      </c>
      <c r="V576" t="s">
        <v>10892</v>
      </c>
      <c r="W576" t="s">
        <v>10893</v>
      </c>
      <c r="X576" t="s">
        <v>10894</v>
      </c>
      <c r="Y576" t="s">
        <v>10895</v>
      </c>
      <c r="Z576" t="s">
        <v>10896</v>
      </c>
      <c r="AA576" t="s">
        <v>10897</v>
      </c>
      <c r="AB576" t="s">
        <v>10898</v>
      </c>
      <c r="AC576" t="s">
        <v>10899</v>
      </c>
      <c r="AD576" t="s">
        <v>10900</v>
      </c>
      <c r="AE576" t="s">
        <v>10901</v>
      </c>
      <c r="AF576" t="s">
        <v>74</v>
      </c>
      <c r="AG576">
        <v>33</v>
      </c>
      <c r="AH576">
        <v>36</v>
      </c>
      <c r="AI576">
        <v>40</v>
      </c>
      <c r="AJ576">
        <v>1</v>
      </c>
      <c r="AK576">
        <v>31</v>
      </c>
      <c r="AL576" t="s">
        <v>237</v>
      </c>
      <c r="AM576" t="s">
        <v>238</v>
      </c>
      <c r="AN576" t="s">
        <v>1197</v>
      </c>
      <c r="AO576" t="s">
        <v>322</v>
      </c>
      <c r="AP576" t="s">
        <v>323</v>
      </c>
      <c r="AQ576" t="s">
        <v>74</v>
      </c>
      <c r="AR576" t="s">
        <v>324</v>
      </c>
      <c r="AS576" t="s">
        <v>325</v>
      </c>
      <c r="AT576" t="s">
        <v>9169</v>
      </c>
      <c r="AU576">
        <v>2013</v>
      </c>
      <c r="AV576">
        <v>43</v>
      </c>
      <c r="AW576">
        <v>5</v>
      </c>
      <c r="AX576" t="s">
        <v>74</v>
      </c>
      <c r="AY576" t="s">
        <v>74</v>
      </c>
      <c r="AZ576" t="s">
        <v>74</v>
      </c>
      <c r="BA576" t="s">
        <v>74</v>
      </c>
      <c r="BB576">
        <v>941</v>
      </c>
      <c r="BC576">
        <v>955</v>
      </c>
      <c r="BD576" t="s">
        <v>74</v>
      </c>
      <c r="BE576" t="s">
        <v>10902</v>
      </c>
      <c r="BF576" t="str">
        <f>HYPERLINK("http://dx.doi.org/10.1175/JPO-D-12-0178.1","http://dx.doi.org/10.1175/JPO-D-12-0178.1")</f>
        <v>http://dx.doi.org/10.1175/JPO-D-12-0178.1</v>
      </c>
      <c r="BG576" t="s">
        <v>74</v>
      </c>
      <c r="BH576" t="s">
        <v>74</v>
      </c>
      <c r="BI576">
        <v>15</v>
      </c>
      <c r="BJ576" t="s">
        <v>327</v>
      </c>
      <c r="BK576" t="s">
        <v>102</v>
      </c>
      <c r="BL576" t="s">
        <v>327</v>
      </c>
      <c r="BM576" t="s">
        <v>10886</v>
      </c>
      <c r="BN576" t="s">
        <v>74</v>
      </c>
      <c r="BO576" t="s">
        <v>10903</v>
      </c>
      <c r="BP576" t="s">
        <v>74</v>
      </c>
      <c r="BQ576" t="s">
        <v>74</v>
      </c>
      <c r="BR576" t="s">
        <v>105</v>
      </c>
      <c r="BS576" t="s">
        <v>10904</v>
      </c>
      <c r="BT576" t="str">
        <f>HYPERLINK("https%3A%2F%2Fwww.webofscience.com%2Fwos%2Fwoscc%2Ffull-record%2FWOS:000319669100007","View Full Record in Web of Science")</f>
        <v>View Full Record in Web of Science</v>
      </c>
    </row>
    <row r="577" spans="1:72" x14ac:dyDescent="0.15">
      <c r="A577" t="s">
        <v>72</v>
      </c>
      <c r="B577" t="s">
        <v>10905</v>
      </c>
      <c r="C577" t="s">
        <v>74</v>
      </c>
      <c r="D577" t="s">
        <v>74</v>
      </c>
      <c r="E577" t="s">
        <v>74</v>
      </c>
      <c r="F577" t="s">
        <v>10906</v>
      </c>
      <c r="G577" t="s">
        <v>74</v>
      </c>
      <c r="H577" t="s">
        <v>74</v>
      </c>
      <c r="I577" t="s">
        <v>10907</v>
      </c>
      <c r="J577" t="s">
        <v>10908</v>
      </c>
      <c r="K577" t="s">
        <v>74</v>
      </c>
      <c r="L577" t="s">
        <v>74</v>
      </c>
      <c r="M577" t="s">
        <v>78</v>
      </c>
      <c r="N577" t="s">
        <v>79</v>
      </c>
      <c r="O577" t="s">
        <v>74</v>
      </c>
      <c r="P577" t="s">
        <v>74</v>
      </c>
      <c r="Q577" t="s">
        <v>74</v>
      </c>
      <c r="R577" t="s">
        <v>74</v>
      </c>
      <c r="S577" t="s">
        <v>74</v>
      </c>
      <c r="T577" t="s">
        <v>10909</v>
      </c>
      <c r="U577" t="s">
        <v>10910</v>
      </c>
      <c r="V577" t="s">
        <v>10911</v>
      </c>
      <c r="W577" t="s">
        <v>10912</v>
      </c>
      <c r="X577" t="s">
        <v>10913</v>
      </c>
      <c r="Y577" t="s">
        <v>10914</v>
      </c>
      <c r="Z577" t="s">
        <v>10915</v>
      </c>
      <c r="AA577" t="s">
        <v>74</v>
      </c>
      <c r="AB577" t="s">
        <v>10916</v>
      </c>
      <c r="AC577" t="s">
        <v>10917</v>
      </c>
      <c r="AD577" t="s">
        <v>10918</v>
      </c>
      <c r="AE577" t="s">
        <v>10919</v>
      </c>
      <c r="AF577" t="s">
        <v>74</v>
      </c>
      <c r="AG577">
        <v>100</v>
      </c>
      <c r="AH577">
        <v>29</v>
      </c>
      <c r="AI577">
        <v>32</v>
      </c>
      <c r="AJ577">
        <v>1</v>
      </c>
      <c r="AK577">
        <v>59</v>
      </c>
      <c r="AL577" t="s">
        <v>441</v>
      </c>
      <c r="AM577" t="s">
        <v>442</v>
      </c>
      <c r="AN577" t="s">
        <v>443</v>
      </c>
      <c r="AO577" t="s">
        <v>10920</v>
      </c>
      <c r="AP577" t="s">
        <v>10921</v>
      </c>
      <c r="AQ577" t="s">
        <v>74</v>
      </c>
      <c r="AR577" t="s">
        <v>10922</v>
      </c>
      <c r="AS577" t="s">
        <v>10923</v>
      </c>
      <c r="AT577" t="s">
        <v>9399</v>
      </c>
      <c r="AU577">
        <v>2013</v>
      </c>
      <c r="AV577">
        <v>35</v>
      </c>
      <c r="AW577">
        <v>3</v>
      </c>
      <c r="AX577" t="s">
        <v>74</v>
      </c>
      <c r="AY577" t="s">
        <v>74</v>
      </c>
      <c r="AZ577" t="s">
        <v>74</v>
      </c>
      <c r="BA577" t="s">
        <v>74</v>
      </c>
      <c r="BB577">
        <v>610</v>
      </c>
      <c r="BC577">
        <v>629</v>
      </c>
      <c r="BD577" t="s">
        <v>74</v>
      </c>
      <c r="BE577" t="s">
        <v>10924</v>
      </c>
      <c r="BF577" t="str">
        <f>HYPERLINK("http://dx.doi.org/10.1093/plankt/fbt014","http://dx.doi.org/10.1093/plankt/fbt014")</f>
        <v>http://dx.doi.org/10.1093/plankt/fbt014</v>
      </c>
      <c r="BG577" t="s">
        <v>74</v>
      </c>
      <c r="BH577" t="s">
        <v>74</v>
      </c>
      <c r="BI577">
        <v>20</v>
      </c>
      <c r="BJ577" t="s">
        <v>3206</v>
      </c>
      <c r="BK577" t="s">
        <v>102</v>
      </c>
      <c r="BL577" t="s">
        <v>3206</v>
      </c>
      <c r="BM577" t="s">
        <v>10925</v>
      </c>
      <c r="BN577" t="s">
        <v>74</v>
      </c>
      <c r="BO577" t="s">
        <v>2011</v>
      </c>
      <c r="BP577" t="s">
        <v>74</v>
      </c>
      <c r="BQ577" t="s">
        <v>74</v>
      </c>
      <c r="BR577" t="s">
        <v>105</v>
      </c>
      <c r="BS577" t="s">
        <v>10926</v>
      </c>
      <c r="BT577" t="str">
        <f>HYPERLINK("https%3A%2F%2Fwww.webofscience.com%2Fwos%2Fwoscc%2Ffull-record%2FWOS:000318573100012","View Full Record in Web of Science")</f>
        <v>View Full Record in Web of Science</v>
      </c>
    </row>
    <row r="578" spans="1:72" x14ac:dyDescent="0.15">
      <c r="A578" t="s">
        <v>72</v>
      </c>
      <c r="B578" t="s">
        <v>10927</v>
      </c>
      <c r="C578" t="s">
        <v>74</v>
      </c>
      <c r="D578" t="s">
        <v>74</v>
      </c>
      <c r="E578" t="s">
        <v>74</v>
      </c>
      <c r="F578" t="s">
        <v>10928</v>
      </c>
      <c r="G578" t="s">
        <v>74</v>
      </c>
      <c r="H578" t="s">
        <v>74</v>
      </c>
      <c r="I578" t="s">
        <v>10929</v>
      </c>
      <c r="J578" t="s">
        <v>3188</v>
      </c>
      <c r="K578" t="s">
        <v>74</v>
      </c>
      <c r="L578" t="s">
        <v>74</v>
      </c>
      <c r="M578" t="s">
        <v>78</v>
      </c>
      <c r="N578" t="s">
        <v>79</v>
      </c>
      <c r="O578" t="s">
        <v>74</v>
      </c>
      <c r="P578" t="s">
        <v>74</v>
      </c>
      <c r="Q578" t="s">
        <v>74</v>
      </c>
      <c r="R578" t="s">
        <v>74</v>
      </c>
      <c r="S578" t="s">
        <v>74</v>
      </c>
      <c r="T578" t="s">
        <v>74</v>
      </c>
      <c r="U578" t="s">
        <v>10930</v>
      </c>
      <c r="V578" t="s">
        <v>10931</v>
      </c>
      <c r="W578" t="s">
        <v>10932</v>
      </c>
      <c r="X578" t="s">
        <v>2692</v>
      </c>
      <c r="Y578" t="s">
        <v>10933</v>
      </c>
      <c r="Z578" t="s">
        <v>10934</v>
      </c>
      <c r="AA578" t="s">
        <v>10935</v>
      </c>
      <c r="AB578" t="s">
        <v>10936</v>
      </c>
      <c r="AC578" t="s">
        <v>10937</v>
      </c>
      <c r="AD578" t="s">
        <v>10938</v>
      </c>
      <c r="AE578" t="s">
        <v>10939</v>
      </c>
      <c r="AF578" t="s">
        <v>74</v>
      </c>
      <c r="AG578">
        <v>51</v>
      </c>
      <c r="AH578">
        <v>91</v>
      </c>
      <c r="AI578">
        <v>96</v>
      </c>
      <c r="AJ578">
        <v>4</v>
      </c>
      <c r="AK578">
        <v>113</v>
      </c>
      <c r="AL578" t="s">
        <v>368</v>
      </c>
      <c r="AM578" t="s">
        <v>369</v>
      </c>
      <c r="AN578" t="s">
        <v>370</v>
      </c>
      <c r="AO578" t="s">
        <v>3200</v>
      </c>
      <c r="AP578" t="s">
        <v>3201</v>
      </c>
      <c r="AQ578" t="s">
        <v>74</v>
      </c>
      <c r="AR578" t="s">
        <v>3202</v>
      </c>
      <c r="AS578" t="s">
        <v>3203</v>
      </c>
      <c r="AT578" t="s">
        <v>9169</v>
      </c>
      <c r="AU578">
        <v>2013</v>
      </c>
      <c r="AV578">
        <v>58</v>
      </c>
      <c r="AW578">
        <v>3</v>
      </c>
      <c r="AX578" t="s">
        <v>74</v>
      </c>
      <c r="AY578" t="s">
        <v>74</v>
      </c>
      <c r="AZ578" t="s">
        <v>74</v>
      </c>
      <c r="BA578" t="s">
        <v>74</v>
      </c>
      <c r="BB578">
        <v>997</v>
      </c>
      <c r="BC578">
        <v>1007</v>
      </c>
      <c r="BD578" t="s">
        <v>74</v>
      </c>
      <c r="BE578" t="s">
        <v>10940</v>
      </c>
      <c r="BF578" t="str">
        <f>HYPERLINK("http://dx.doi.org/10.4319/lo.2013.58.3.0997","http://dx.doi.org/10.4319/lo.2013.58.3.0997")</f>
        <v>http://dx.doi.org/10.4319/lo.2013.58.3.0997</v>
      </c>
      <c r="BG578" t="s">
        <v>74</v>
      </c>
      <c r="BH578" t="s">
        <v>74</v>
      </c>
      <c r="BI578">
        <v>11</v>
      </c>
      <c r="BJ578" t="s">
        <v>3205</v>
      </c>
      <c r="BK578" t="s">
        <v>102</v>
      </c>
      <c r="BL578" t="s">
        <v>3206</v>
      </c>
      <c r="BM578" t="s">
        <v>10941</v>
      </c>
      <c r="BN578" t="s">
        <v>74</v>
      </c>
      <c r="BO578" t="s">
        <v>1014</v>
      </c>
      <c r="BP578" t="s">
        <v>74</v>
      </c>
      <c r="BQ578" t="s">
        <v>74</v>
      </c>
      <c r="BR578" t="s">
        <v>105</v>
      </c>
      <c r="BS578" t="s">
        <v>10942</v>
      </c>
      <c r="BT578" t="str">
        <f>HYPERLINK("https%3A%2F%2Fwww.webofscience.com%2Fwos%2Fwoscc%2Ffull-record%2FWOS:000322491100020","View Full Record in Web of Science")</f>
        <v>View Full Record in Web of Science</v>
      </c>
    </row>
    <row r="579" spans="1:72" x14ac:dyDescent="0.15">
      <c r="A579" t="s">
        <v>72</v>
      </c>
      <c r="B579" t="s">
        <v>10943</v>
      </c>
      <c r="C579" t="s">
        <v>74</v>
      </c>
      <c r="D579" t="s">
        <v>74</v>
      </c>
      <c r="E579" t="s">
        <v>74</v>
      </c>
      <c r="F579" t="s">
        <v>10944</v>
      </c>
      <c r="G579" t="s">
        <v>74</v>
      </c>
      <c r="H579" t="s">
        <v>74</v>
      </c>
      <c r="I579" t="s">
        <v>10945</v>
      </c>
      <c r="J579" t="s">
        <v>3188</v>
      </c>
      <c r="K579" t="s">
        <v>74</v>
      </c>
      <c r="L579" t="s">
        <v>74</v>
      </c>
      <c r="M579" t="s">
        <v>78</v>
      </c>
      <c r="N579" t="s">
        <v>79</v>
      </c>
      <c r="O579" t="s">
        <v>74</v>
      </c>
      <c r="P579" t="s">
        <v>74</v>
      </c>
      <c r="Q579" t="s">
        <v>74</v>
      </c>
      <c r="R579" t="s">
        <v>74</v>
      </c>
      <c r="S579" t="s">
        <v>74</v>
      </c>
      <c r="T579" t="s">
        <v>74</v>
      </c>
      <c r="U579" t="s">
        <v>10946</v>
      </c>
      <c r="V579" t="s">
        <v>10947</v>
      </c>
      <c r="W579" t="s">
        <v>10948</v>
      </c>
      <c r="X579" t="s">
        <v>1300</v>
      </c>
      <c r="Y579" t="s">
        <v>10949</v>
      </c>
      <c r="Z579" t="s">
        <v>10950</v>
      </c>
      <c r="AA579" t="s">
        <v>74</v>
      </c>
      <c r="AB579" t="s">
        <v>10951</v>
      </c>
      <c r="AC579" t="s">
        <v>10952</v>
      </c>
      <c r="AD579" t="s">
        <v>995</v>
      </c>
      <c r="AE579" t="s">
        <v>74</v>
      </c>
      <c r="AF579" t="s">
        <v>74</v>
      </c>
      <c r="AG579">
        <v>57</v>
      </c>
      <c r="AH579">
        <v>128</v>
      </c>
      <c r="AI579">
        <v>140</v>
      </c>
      <c r="AJ579">
        <v>0</v>
      </c>
      <c r="AK579">
        <v>52</v>
      </c>
      <c r="AL579" t="s">
        <v>368</v>
      </c>
      <c r="AM579" t="s">
        <v>369</v>
      </c>
      <c r="AN579" t="s">
        <v>370</v>
      </c>
      <c r="AO579" t="s">
        <v>3200</v>
      </c>
      <c r="AP579" t="s">
        <v>3201</v>
      </c>
      <c r="AQ579" t="s">
        <v>74</v>
      </c>
      <c r="AR579" t="s">
        <v>3202</v>
      </c>
      <c r="AS579" t="s">
        <v>3203</v>
      </c>
      <c r="AT579" t="s">
        <v>9169</v>
      </c>
      <c r="AU579">
        <v>2013</v>
      </c>
      <c r="AV579">
        <v>58</v>
      </c>
      <c r="AW579">
        <v>3</v>
      </c>
      <c r="AX579" t="s">
        <v>74</v>
      </c>
      <c r="AY579" t="s">
        <v>74</v>
      </c>
      <c r="AZ579" t="s">
        <v>74</v>
      </c>
      <c r="BA579" t="s">
        <v>74</v>
      </c>
      <c r="BB579">
        <v>1035</v>
      </c>
      <c r="BC579">
        <v>1047</v>
      </c>
      <c r="BD579" t="s">
        <v>74</v>
      </c>
      <c r="BE579" t="s">
        <v>10953</v>
      </c>
      <c r="BF579" t="str">
        <f>HYPERLINK("http://dx.doi.org/10.4319/lo.2013.58.3.1035","http://dx.doi.org/10.4319/lo.2013.58.3.1035")</f>
        <v>http://dx.doi.org/10.4319/lo.2013.58.3.1035</v>
      </c>
      <c r="BG579" t="s">
        <v>74</v>
      </c>
      <c r="BH579" t="s">
        <v>74</v>
      </c>
      <c r="BI579">
        <v>13</v>
      </c>
      <c r="BJ579" t="s">
        <v>3205</v>
      </c>
      <c r="BK579" t="s">
        <v>102</v>
      </c>
      <c r="BL579" t="s">
        <v>3206</v>
      </c>
      <c r="BM579" t="s">
        <v>10941</v>
      </c>
      <c r="BN579" t="s">
        <v>74</v>
      </c>
      <c r="BO579" t="s">
        <v>74</v>
      </c>
      <c r="BP579" t="s">
        <v>74</v>
      </c>
      <c r="BQ579" t="s">
        <v>74</v>
      </c>
      <c r="BR579" t="s">
        <v>105</v>
      </c>
      <c r="BS579" t="s">
        <v>10954</v>
      </c>
      <c r="BT579" t="str">
        <f>HYPERLINK("https%3A%2F%2Fwww.webofscience.com%2Fwos%2Fwoscc%2Ffull-record%2FWOS:000322491100023","View Full Record in Web of Science")</f>
        <v>View Full Record in Web of Science</v>
      </c>
    </row>
    <row r="580" spans="1:72" x14ac:dyDescent="0.15">
      <c r="A580" t="s">
        <v>72</v>
      </c>
      <c r="B580" t="s">
        <v>10955</v>
      </c>
      <c r="C580" t="s">
        <v>74</v>
      </c>
      <c r="D580" t="s">
        <v>74</v>
      </c>
      <c r="E580" t="s">
        <v>74</v>
      </c>
      <c r="F580" t="s">
        <v>10956</v>
      </c>
      <c r="G580" t="s">
        <v>74</v>
      </c>
      <c r="H580" t="s">
        <v>74</v>
      </c>
      <c r="I580" t="s">
        <v>10957</v>
      </c>
      <c r="J580" t="s">
        <v>3712</v>
      </c>
      <c r="K580" t="s">
        <v>74</v>
      </c>
      <c r="L580" t="s">
        <v>74</v>
      </c>
      <c r="M580" t="s">
        <v>78</v>
      </c>
      <c r="N580" t="s">
        <v>79</v>
      </c>
      <c r="O580" t="s">
        <v>74</v>
      </c>
      <c r="P580" t="s">
        <v>74</v>
      </c>
      <c r="Q580" t="s">
        <v>74</v>
      </c>
      <c r="R580" t="s">
        <v>74</v>
      </c>
      <c r="S580" t="s">
        <v>74</v>
      </c>
      <c r="T580" t="s">
        <v>74</v>
      </c>
      <c r="U580" t="s">
        <v>10958</v>
      </c>
      <c r="V580" t="s">
        <v>10959</v>
      </c>
      <c r="W580" t="s">
        <v>10960</v>
      </c>
      <c r="X580" t="s">
        <v>10961</v>
      </c>
      <c r="Y580" t="s">
        <v>10962</v>
      </c>
      <c r="Z580" t="s">
        <v>10963</v>
      </c>
      <c r="AA580" t="s">
        <v>10964</v>
      </c>
      <c r="AB580" t="s">
        <v>10965</v>
      </c>
      <c r="AC580" t="s">
        <v>10966</v>
      </c>
      <c r="AD580" t="s">
        <v>10967</v>
      </c>
      <c r="AE580" t="s">
        <v>10968</v>
      </c>
      <c r="AF580" t="s">
        <v>74</v>
      </c>
      <c r="AG580">
        <v>61</v>
      </c>
      <c r="AH580">
        <v>28</v>
      </c>
      <c r="AI580">
        <v>30</v>
      </c>
      <c r="AJ580">
        <v>0</v>
      </c>
      <c r="AK580">
        <v>90</v>
      </c>
      <c r="AL580" t="s">
        <v>3724</v>
      </c>
      <c r="AM580" t="s">
        <v>3725</v>
      </c>
      <c r="AN580" t="s">
        <v>3726</v>
      </c>
      <c r="AO580" t="s">
        <v>3727</v>
      </c>
      <c r="AP580" t="s">
        <v>3728</v>
      </c>
      <c r="AQ580" t="s">
        <v>74</v>
      </c>
      <c r="AR580" t="s">
        <v>3729</v>
      </c>
      <c r="AS580" t="s">
        <v>3730</v>
      </c>
      <c r="AT580" t="s">
        <v>9169</v>
      </c>
      <c r="AU580">
        <v>2013</v>
      </c>
      <c r="AV580">
        <v>160</v>
      </c>
      <c r="AW580">
        <v>5</v>
      </c>
      <c r="AX580" t="s">
        <v>74</v>
      </c>
      <c r="AY580" t="s">
        <v>74</v>
      </c>
      <c r="AZ580" t="s">
        <v>74</v>
      </c>
      <c r="BA580" t="s">
        <v>74</v>
      </c>
      <c r="BB580">
        <v>1147</v>
      </c>
      <c r="BC580">
        <v>1156</v>
      </c>
      <c r="BD580" t="s">
        <v>74</v>
      </c>
      <c r="BE580" t="s">
        <v>10969</v>
      </c>
      <c r="BF580" t="str">
        <f>HYPERLINK("http://dx.doi.org/10.1007/s00227-013-2167-y","http://dx.doi.org/10.1007/s00227-013-2167-y")</f>
        <v>http://dx.doi.org/10.1007/s00227-013-2167-y</v>
      </c>
      <c r="BG580" t="s">
        <v>74</v>
      </c>
      <c r="BH580" t="s">
        <v>74</v>
      </c>
      <c r="BI580">
        <v>10</v>
      </c>
      <c r="BJ580" t="s">
        <v>1809</v>
      </c>
      <c r="BK580" t="s">
        <v>102</v>
      </c>
      <c r="BL580" t="s">
        <v>1809</v>
      </c>
      <c r="BM580" t="s">
        <v>9856</v>
      </c>
      <c r="BN580" t="s">
        <v>74</v>
      </c>
      <c r="BO580" t="s">
        <v>74</v>
      </c>
      <c r="BP580" t="s">
        <v>74</v>
      </c>
      <c r="BQ580" t="s">
        <v>74</v>
      </c>
      <c r="BR580" t="s">
        <v>105</v>
      </c>
      <c r="BS580" t="s">
        <v>10970</v>
      </c>
      <c r="BT580" t="str">
        <f>HYPERLINK("https%3A%2F%2Fwww.webofscience.com%2Fwos%2Fwoscc%2Ffull-record%2FWOS:000318002900010","View Full Record in Web of Science")</f>
        <v>View Full Record in Web of Science</v>
      </c>
    </row>
    <row r="581" spans="1:72" x14ac:dyDescent="0.15">
      <c r="A581" t="s">
        <v>72</v>
      </c>
      <c r="B581" t="s">
        <v>10971</v>
      </c>
      <c r="C581" t="s">
        <v>74</v>
      </c>
      <c r="D581" t="s">
        <v>74</v>
      </c>
      <c r="E581" t="s">
        <v>74</v>
      </c>
      <c r="F581" t="s">
        <v>10972</v>
      </c>
      <c r="G581" t="s">
        <v>74</v>
      </c>
      <c r="H581" t="s">
        <v>74</v>
      </c>
      <c r="I581" t="s">
        <v>10973</v>
      </c>
      <c r="J581" t="s">
        <v>3712</v>
      </c>
      <c r="K581" t="s">
        <v>74</v>
      </c>
      <c r="L581" t="s">
        <v>74</v>
      </c>
      <c r="M581" t="s">
        <v>78</v>
      </c>
      <c r="N581" t="s">
        <v>79</v>
      </c>
      <c r="O581" t="s">
        <v>74</v>
      </c>
      <c r="P581" t="s">
        <v>74</v>
      </c>
      <c r="Q581" t="s">
        <v>74</v>
      </c>
      <c r="R581" t="s">
        <v>74</v>
      </c>
      <c r="S581" t="s">
        <v>74</v>
      </c>
      <c r="T581" t="s">
        <v>74</v>
      </c>
      <c r="U581" t="s">
        <v>10974</v>
      </c>
      <c r="V581" t="s">
        <v>10975</v>
      </c>
      <c r="W581" t="s">
        <v>10976</v>
      </c>
      <c r="X581" t="s">
        <v>10977</v>
      </c>
      <c r="Y581" t="s">
        <v>10978</v>
      </c>
      <c r="Z581" t="s">
        <v>10979</v>
      </c>
      <c r="AA581" t="s">
        <v>74</v>
      </c>
      <c r="AB581" t="s">
        <v>10980</v>
      </c>
      <c r="AC581" t="s">
        <v>10981</v>
      </c>
      <c r="AD581" t="s">
        <v>10982</v>
      </c>
      <c r="AE581" t="s">
        <v>10983</v>
      </c>
      <c r="AF581" t="s">
        <v>74</v>
      </c>
      <c r="AG581">
        <v>49</v>
      </c>
      <c r="AH581">
        <v>23</v>
      </c>
      <c r="AI581">
        <v>23</v>
      </c>
      <c r="AJ581">
        <v>0</v>
      </c>
      <c r="AK581">
        <v>37</v>
      </c>
      <c r="AL581" t="s">
        <v>3724</v>
      </c>
      <c r="AM581" t="s">
        <v>3725</v>
      </c>
      <c r="AN581" t="s">
        <v>3726</v>
      </c>
      <c r="AO581" t="s">
        <v>3727</v>
      </c>
      <c r="AP581" t="s">
        <v>3728</v>
      </c>
      <c r="AQ581" t="s">
        <v>74</v>
      </c>
      <c r="AR581" t="s">
        <v>3729</v>
      </c>
      <c r="AS581" t="s">
        <v>3730</v>
      </c>
      <c r="AT581" t="s">
        <v>9169</v>
      </c>
      <c r="AU581">
        <v>2013</v>
      </c>
      <c r="AV581">
        <v>160</v>
      </c>
      <c r="AW581">
        <v>5</v>
      </c>
      <c r="AX581" t="s">
        <v>74</v>
      </c>
      <c r="AY581" t="s">
        <v>74</v>
      </c>
      <c r="AZ581" t="s">
        <v>74</v>
      </c>
      <c r="BA581" t="s">
        <v>74</v>
      </c>
      <c r="BB581">
        <v>1249</v>
      </c>
      <c r="BC581">
        <v>1258</v>
      </c>
      <c r="BD581" t="s">
        <v>74</v>
      </c>
      <c r="BE581" t="s">
        <v>10984</v>
      </c>
      <c r="BF581" t="str">
        <f>HYPERLINK("http://dx.doi.org/10.1007/s00227-013-2177-9","http://dx.doi.org/10.1007/s00227-013-2177-9")</f>
        <v>http://dx.doi.org/10.1007/s00227-013-2177-9</v>
      </c>
      <c r="BG581" t="s">
        <v>74</v>
      </c>
      <c r="BH581" t="s">
        <v>74</v>
      </c>
      <c r="BI581">
        <v>10</v>
      </c>
      <c r="BJ581" t="s">
        <v>1809</v>
      </c>
      <c r="BK581" t="s">
        <v>102</v>
      </c>
      <c r="BL581" t="s">
        <v>1809</v>
      </c>
      <c r="BM581" t="s">
        <v>9856</v>
      </c>
      <c r="BN581" t="s">
        <v>74</v>
      </c>
      <c r="BO581" t="s">
        <v>1063</v>
      </c>
      <c r="BP581" t="s">
        <v>74</v>
      </c>
      <c r="BQ581" t="s">
        <v>74</v>
      </c>
      <c r="BR581" t="s">
        <v>105</v>
      </c>
      <c r="BS581" t="s">
        <v>10985</v>
      </c>
      <c r="BT581" t="str">
        <f>HYPERLINK("https%3A%2F%2Fwww.webofscience.com%2Fwos%2Fwoscc%2Ffull-record%2FWOS:000318002900019","View Full Record in Web of Science")</f>
        <v>View Full Record in Web of Science</v>
      </c>
    </row>
    <row r="582" spans="1:72" x14ac:dyDescent="0.15">
      <c r="A582" t="s">
        <v>72</v>
      </c>
      <c r="B582" t="s">
        <v>10986</v>
      </c>
      <c r="C582" t="s">
        <v>74</v>
      </c>
      <c r="D582" t="s">
        <v>74</v>
      </c>
      <c r="E582" t="s">
        <v>74</v>
      </c>
      <c r="F582" t="s">
        <v>10987</v>
      </c>
      <c r="G582" t="s">
        <v>74</v>
      </c>
      <c r="H582" t="s">
        <v>74</v>
      </c>
      <c r="I582" t="s">
        <v>10988</v>
      </c>
      <c r="J582" t="s">
        <v>4454</v>
      </c>
      <c r="K582" t="s">
        <v>74</v>
      </c>
      <c r="L582" t="s">
        <v>74</v>
      </c>
      <c r="M582" t="s">
        <v>78</v>
      </c>
      <c r="N582" t="s">
        <v>79</v>
      </c>
      <c r="O582" t="s">
        <v>74</v>
      </c>
      <c r="P582" t="s">
        <v>74</v>
      </c>
      <c r="Q582" t="s">
        <v>74</v>
      </c>
      <c r="R582" t="s">
        <v>74</v>
      </c>
      <c r="S582" t="s">
        <v>74</v>
      </c>
      <c r="T582" t="s">
        <v>74</v>
      </c>
      <c r="U582" t="s">
        <v>10989</v>
      </c>
      <c r="V582" t="s">
        <v>10990</v>
      </c>
      <c r="W582" t="s">
        <v>10991</v>
      </c>
      <c r="X582" t="s">
        <v>10992</v>
      </c>
      <c r="Y582" t="s">
        <v>10993</v>
      </c>
      <c r="Z582" t="s">
        <v>10994</v>
      </c>
      <c r="AA582" t="s">
        <v>10995</v>
      </c>
      <c r="AB582" t="s">
        <v>10996</v>
      </c>
      <c r="AC582" t="s">
        <v>10997</v>
      </c>
      <c r="AD582" t="s">
        <v>10998</v>
      </c>
      <c r="AE582" t="s">
        <v>10999</v>
      </c>
      <c r="AF582" t="s">
        <v>74</v>
      </c>
      <c r="AG582">
        <v>36</v>
      </c>
      <c r="AH582">
        <v>75</v>
      </c>
      <c r="AI582">
        <v>80</v>
      </c>
      <c r="AJ582">
        <v>7</v>
      </c>
      <c r="AK582">
        <v>96</v>
      </c>
      <c r="AL582" t="s">
        <v>670</v>
      </c>
      <c r="AM582" t="s">
        <v>643</v>
      </c>
      <c r="AN582" t="s">
        <v>671</v>
      </c>
      <c r="AO582" t="s">
        <v>4465</v>
      </c>
      <c r="AP582" t="s">
        <v>4466</v>
      </c>
      <c r="AQ582" t="s">
        <v>74</v>
      </c>
      <c r="AR582" t="s">
        <v>4467</v>
      </c>
      <c r="AS582" t="s">
        <v>4468</v>
      </c>
      <c r="AT582" t="s">
        <v>9169</v>
      </c>
      <c r="AU582">
        <v>2013</v>
      </c>
      <c r="AV582">
        <v>3</v>
      </c>
      <c r="AW582">
        <v>5</v>
      </c>
      <c r="AX582" t="s">
        <v>74</v>
      </c>
      <c r="AY582" t="s">
        <v>74</v>
      </c>
      <c r="AZ582" t="s">
        <v>74</v>
      </c>
      <c r="BA582" t="s">
        <v>74</v>
      </c>
      <c r="BB582">
        <v>520</v>
      </c>
      <c r="BC582">
        <v>524</v>
      </c>
      <c r="BD582" t="s">
        <v>74</v>
      </c>
      <c r="BE582" t="s">
        <v>11000</v>
      </c>
      <c r="BF582" t="str">
        <f>HYPERLINK("http://dx.doi.org/10.1038/NCLIMATE1817","http://dx.doi.org/10.1038/NCLIMATE1817")</f>
        <v>http://dx.doi.org/10.1038/NCLIMATE1817</v>
      </c>
      <c r="BG582" t="s">
        <v>74</v>
      </c>
      <c r="BH582" t="s">
        <v>74</v>
      </c>
      <c r="BI582">
        <v>5</v>
      </c>
      <c r="BJ582" t="s">
        <v>4470</v>
      </c>
      <c r="BK582" t="s">
        <v>3246</v>
      </c>
      <c r="BL582" t="s">
        <v>3228</v>
      </c>
      <c r="BM582" t="s">
        <v>11001</v>
      </c>
      <c r="BN582" t="s">
        <v>74</v>
      </c>
      <c r="BO582" t="s">
        <v>74</v>
      </c>
      <c r="BP582" t="s">
        <v>74</v>
      </c>
      <c r="BQ582" t="s">
        <v>74</v>
      </c>
      <c r="BR582" t="s">
        <v>105</v>
      </c>
      <c r="BS582" t="s">
        <v>11002</v>
      </c>
      <c r="BT582" t="str">
        <f>HYPERLINK("https%3A%2F%2Fwww.webofscience.com%2Fwos%2Fwoscc%2Ffull-record%2FWOS:000319402000021","View Full Record in Web of Science")</f>
        <v>View Full Record in Web of Science</v>
      </c>
    </row>
    <row r="583" spans="1:72" x14ac:dyDescent="0.15">
      <c r="A583" t="s">
        <v>72</v>
      </c>
      <c r="B583" t="s">
        <v>11003</v>
      </c>
      <c r="C583" t="s">
        <v>74</v>
      </c>
      <c r="D583" t="s">
        <v>74</v>
      </c>
      <c r="E583" t="s">
        <v>74</v>
      </c>
      <c r="F583" t="s">
        <v>11004</v>
      </c>
      <c r="G583" t="s">
        <v>74</v>
      </c>
      <c r="H583" t="s">
        <v>11005</v>
      </c>
      <c r="I583" t="s">
        <v>11006</v>
      </c>
      <c r="J583" t="s">
        <v>1838</v>
      </c>
      <c r="K583" t="s">
        <v>74</v>
      </c>
      <c r="L583" t="s">
        <v>74</v>
      </c>
      <c r="M583" t="s">
        <v>78</v>
      </c>
      <c r="N583" t="s">
        <v>79</v>
      </c>
      <c r="O583" t="s">
        <v>74</v>
      </c>
      <c r="P583" t="s">
        <v>74</v>
      </c>
      <c r="Q583" t="s">
        <v>74</v>
      </c>
      <c r="R583" t="s">
        <v>74</v>
      </c>
      <c r="S583" t="s">
        <v>74</v>
      </c>
      <c r="T583" t="s">
        <v>74</v>
      </c>
      <c r="U583" t="s">
        <v>11007</v>
      </c>
      <c r="V583" t="s">
        <v>11008</v>
      </c>
      <c r="W583" t="s">
        <v>11009</v>
      </c>
      <c r="X583" t="s">
        <v>11010</v>
      </c>
      <c r="Y583" t="s">
        <v>11011</v>
      </c>
      <c r="Z583" t="s">
        <v>11012</v>
      </c>
      <c r="AA583" t="s">
        <v>11013</v>
      </c>
      <c r="AB583" t="s">
        <v>11014</v>
      </c>
      <c r="AC583" t="s">
        <v>11015</v>
      </c>
      <c r="AD583" t="s">
        <v>11016</v>
      </c>
      <c r="AE583" t="s">
        <v>74</v>
      </c>
      <c r="AF583" t="s">
        <v>74</v>
      </c>
      <c r="AG583">
        <v>50</v>
      </c>
      <c r="AH583">
        <v>755</v>
      </c>
      <c r="AI583">
        <v>826</v>
      </c>
      <c r="AJ583">
        <v>35</v>
      </c>
      <c r="AK583">
        <v>659</v>
      </c>
      <c r="AL583" t="s">
        <v>670</v>
      </c>
      <c r="AM583" t="s">
        <v>391</v>
      </c>
      <c r="AN583" t="s">
        <v>3747</v>
      </c>
      <c r="AO583" t="s">
        <v>1853</v>
      </c>
      <c r="AP583" t="s">
        <v>1854</v>
      </c>
      <c r="AQ583" t="s">
        <v>74</v>
      </c>
      <c r="AR583" t="s">
        <v>1855</v>
      </c>
      <c r="AS583" t="s">
        <v>1856</v>
      </c>
      <c r="AT583" t="s">
        <v>9169</v>
      </c>
      <c r="AU583">
        <v>2013</v>
      </c>
      <c r="AV583">
        <v>6</v>
      </c>
      <c r="AW583">
        <v>5</v>
      </c>
      <c r="AX583" t="s">
        <v>74</v>
      </c>
      <c r="AY583" t="s">
        <v>74</v>
      </c>
      <c r="AZ583" t="s">
        <v>74</v>
      </c>
      <c r="BA583" t="s">
        <v>74</v>
      </c>
      <c r="BB583">
        <v>339</v>
      </c>
      <c r="BC583">
        <v>346</v>
      </c>
      <c r="BD583" t="s">
        <v>74</v>
      </c>
      <c r="BE583" t="s">
        <v>11017</v>
      </c>
      <c r="BF583" t="str">
        <f>HYPERLINK("http://dx.doi.org/10.1038/NGEO1797","http://dx.doi.org/10.1038/NGEO1797")</f>
        <v>http://dx.doi.org/10.1038/NGEO1797</v>
      </c>
      <c r="BG583" t="s">
        <v>74</v>
      </c>
      <c r="BH583" t="s">
        <v>74</v>
      </c>
      <c r="BI583">
        <v>8</v>
      </c>
      <c r="BJ583" t="s">
        <v>1426</v>
      </c>
      <c r="BK583" t="s">
        <v>102</v>
      </c>
      <c r="BL583" t="s">
        <v>219</v>
      </c>
      <c r="BM583" t="s">
        <v>9891</v>
      </c>
      <c r="BN583" t="s">
        <v>74</v>
      </c>
      <c r="BO583" t="s">
        <v>2609</v>
      </c>
      <c r="BP583" t="s">
        <v>2451</v>
      </c>
      <c r="BQ583" t="s">
        <v>2452</v>
      </c>
      <c r="BR583" t="s">
        <v>105</v>
      </c>
      <c r="BS583" t="s">
        <v>11018</v>
      </c>
      <c r="BT583" t="str">
        <f>HYPERLINK("https%3A%2F%2Fwww.webofscience.com%2Fwos%2Fwoscc%2Ffull-record%2FWOS:000318227000011","View Full Record in Web of Science")</f>
        <v>View Full Record in Web of Science</v>
      </c>
    </row>
    <row r="584" spans="1:72" x14ac:dyDescent="0.15">
      <c r="A584" t="s">
        <v>72</v>
      </c>
      <c r="B584" t="s">
        <v>11019</v>
      </c>
      <c r="C584" t="s">
        <v>74</v>
      </c>
      <c r="D584" t="s">
        <v>74</v>
      </c>
      <c r="E584" t="s">
        <v>74</v>
      </c>
      <c r="F584" t="s">
        <v>11020</v>
      </c>
      <c r="G584" t="s">
        <v>74</v>
      </c>
      <c r="H584" t="s">
        <v>74</v>
      </c>
      <c r="I584" t="s">
        <v>11021</v>
      </c>
      <c r="J584" t="s">
        <v>1838</v>
      </c>
      <c r="K584" t="s">
        <v>74</v>
      </c>
      <c r="L584" t="s">
        <v>74</v>
      </c>
      <c r="M584" t="s">
        <v>78</v>
      </c>
      <c r="N584" t="s">
        <v>79</v>
      </c>
      <c r="O584" t="s">
        <v>74</v>
      </c>
      <c r="P584" t="s">
        <v>74</v>
      </c>
      <c r="Q584" t="s">
        <v>74</v>
      </c>
      <c r="R584" t="s">
        <v>74</v>
      </c>
      <c r="S584" t="s">
        <v>74</v>
      </c>
      <c r="T584" t="s">
        <v>74</v>
      </c>
      <c r="U584" t="s">
        <v>11022</v>
      </c>
      <c r="V584" t="s">
        <v>11023</v>
      </c>
      <c r="W584" t="s">
        <v>11024</v>
      </c>
      <c r="X584" t="s">
        <v>11025</v>
      </c>
      <c r="Y584" t="s">
        <v>11026</v>
      </c>
      <c r="Z584" t="s">
        <v>11027</v>
      </c>
      <c r="AA584" t="s">
        <v>11028</v>
      </c>
      <c r="AB584" t="s">
        <v>11029</v>
      </c>
      <c r="AC584" t="s">
        <v>11030</v>
      </c>
      <c r="AD584" t="s">
        <v>11031</v>
      </c>
      <c r="AE584" t="s">
        <v>11032</v>
      </c>
      <c r="AF584" t="s">
        <v>74</v>
      </c>
      <c r="AG584">
        <v>29</v>
      </c>
      <c r="AH584">
        <v>77</v>
      </c>
      <c r="AI584">
        <v>85</v>
      </c>
      <c r="AJ584">
        <v>5</v>
      </c>
      <c r="AK584">
        <v>35</v>
      </c>
      <c r="AL584" t="s">
        <v>670</v>
      </c>
      <c r="AM584" t="s">
        <v>391</v>
      </c>
      <c r="AN584" t="s">
        <v>3747</v>
      </c>
      <c r="AO584" t="s">
        <v>1853</v>
      </c>
      <c r="AP584" t="s">
        <v>1854</v>
      </c>
      <c r="AQ584" t="s">
        <v>74</v>
      </c>
      <c r="AR584" t="s">
        <v>1855</v>
      </c>
      <c r="AS584" t="s">
        <v>1856</v>
      </c>
      <c r="AT584" t="s">
        <v>9169</v>
      </c>
      <c r="AU584">
        <v>2013</v>
      </c>
      <c r="AV584">
        <v>6</v>
      </c>
      <c r="AW584">
        <v>5</v>
      </c>
      <c r="AX584" t="s">
        <v>74</v>
      </c>
      <c r="AY584" t="s">
        <v>74</v>
      </c>
      <c r="AZ584" t="s">
        <v>74</v>
      </c>
      <c r="BA584" t="s">
        <v>74</v>
      </c>
      <c r="BB584">
        <v>367</v>
      </c>
      <c r="BC584">
        <v>371</v>
      </c>
      <c r="BD584" t="s">
        <v>74</v>
      </c>
      <c r="BE584" t="s">
        <v>11033</v>
      </c>
      <c r="BF584" t="str">
        <f>HYPERLINK("http://dx.doi.org/10.1038/NGEO1766","http://dx.doi.org/10.1038/NGEO1766")</f>
        <v>http://dx.doi.org/10.1038/NGEO1766</v>
      </c>
      <c r="BG584" t="s">
        <v>74</v>
      </c>
      <c r="BH584" t="s">
        <v>74</v>
      </c>
      <c r="BI584">
        <v>5</v>
      </c>
      <c r="BJ584" t="s">
        <v>1426</v>
      </c>
      <c r="BK584" t="s">
        <v>102</v>
      </c>
      <c r="BL584" t="s">
        <v>219</v>
      </c>
      <c r="BM584" t="s">
        <v>9891</v>
      </c>
      <c r="BN584" t="s">
        <v>74</v>
      </c>
      <c r="BO584" t="s">
        <v>8685</v>
      </c>
      <c r="BP584" t="s">
        <v>74</v>
      </c>
      <c r="BQ584" t="s">
        <v>74</v>
      </c>
      <c r="BR584" t="s">
        <v>105</v>
      </c>
      <c r="BS584" t="s">
        <v>11034</v>
      </c>
      <c r="BT584" t="str">
        <f>HYPERLINK("https%3A%2F%2Fwww.webofscience.com%2Fwos%2Fwoscc%2Ffull-record%2FWOS:000318227000016","View Full Record in Web of Science")</f>
        <v>View Full Record in Web of Science</v>
      </c>
    </row>
    <row r="585" spans="1:72" x14ac:dyDescent="0.15">
      <c r="A585" t="s">
        <v>72</v>
      </c>
      <c r="B585" t="s">
        <v>11035</v>
      </c>
      <c r="C585" t="s">
        <v>74</v>
      </c>
      <c r="D585" t="s">
        <v>74</v>
      </c>
      <c r="E585" t="s">
        <v>74</v>
      </c>
      <c r="F585" t="s">
        <v>11036</v>
      </c>
      <c r="G585" t="s">
        <v>74</v>
      </c>
      <c r="H585" t="s">
        <v>74</v>
      </c>
      <c r="I585" t="s">
        <v>11037</v>
      </c>
      <c r="J585" t="s">
        <v>1838</v>
      </c>
      <c r="K585" t="s">
        <v>74</v>
      </c>
      <c r="L585" t="s">
        <v>74</v>
      </c>
      <c r="M585" t="s">
        <v>78</v>
      </c>
      <c r="N585" t="s">
        <v>79</v>
      </c>
      <c r="O585" t="s">
        <v>74</v>
      </c>
      <c r="P585" t="s">
        <v>74</v>
      </c>
      <c r="Q585" t="s">
        <v>74</v>
      </c>
      <c r="R585" t="s">
        <v>74</v>
      </c>
      <c r="S585" t="s">
        <v>74</v>
      </c>
      <c r="T585" t="s">
        <v>74</v>
      </c>
      <c r="U585" t="s">
        <v>11038</v>
      </c>
      <c r="V585" t="s">
        <v>11039</v>
      </c>
      <c r="W585" t="s">
        <v>11040</v>
      </c>
      <c r="X585" t="s">
        <v>11041</v>
      </c>
      <c r="Y585" t="s">
        <v>11042</v>
      </c>
      <c r="Z585" t="s">
        <v>11043</v>
      </c>
      <c r="AA585" t="s">
        <v>11044</v>
      </c>
      <c r="AB585" t="s">
        <v>11045</v>
      </c>
      <c r="AC585" t="s">
        <v>11046</v>
      </c>
      <c r="AD585" t="s">
        <v>11047</v>
      </c>
      <c r="AE585" t="s">
        <v>11048</v>
      </c>
      <c r="AF585" t="s">
        <v>74</v>
      </c>
      <c r="AG585">
        <v>30</v>
      </c>
      <c r="AH585">
        <v>116</v>
      </c>
      <c r="AI585">
        <v>129</v>
      </c>
      <c r="AJ585">
        <v>4</v>
      </c>
      <c r="AK585">
        <v>111</v>
      </c>
      <c r="AL585" t="s">
        <v>670</v>
      </c>
      <c r="AM585" t="s">
        <v>391</v>
      </c>
      <c r="AN585" t="s">
        <v>3747</v>
      </c>
      <c r="AO585" t="s">
        <v>1853</v>
      </c>
      <c r="AP585" t="s">
        <v>1854</v>
      </c>
      <c r="AQ585" t="s">
        <v>74</v>
      </c>
      <c r="AR585" t="s">
        <v>1855</v>
      </c>
      <c r="AS585" t="s">
        <v>1856</v>
      </c>
      <c r="AT585" t="s">
        <v>9169</v>
      </c>
      <c r="AU585">
        <v>2013</v>
      </c>
      <c r="AV585">
        <v>6</v>
      </c>
      <c r="AW585">
        <v>5</v>
      </c>
      <c r="AX585" t="s">
        <v>74</v>
      </c>
      <c r="AY585" t="s">
        <v>74</v>
      </c>
      <c r="AZ585" t="s">
        <v>74</v>
      </c>
      <c r="BA585" t="s">
        <v>74</v>
      </c>
      <c r="BB585">
        <v>372</v>
      </c>
      <c r="BC585">
        <v>375</v>
      </c>
      <c r="BD585" t="s">
        <v>74</v>
      </c>
      <c r="BE585" t="s">
        <v>11049</v>
      </c>
      <c r="BF585" t="str">
        <f>HYPERLINK("http://dx.doi.org/10.1038/NGEO1778","http://dx.doi.org/10.1038/NGEO1778")</f>
        <v>http://dx.doi.org/10.1038/NGEO1778</v>
      </c>
      <c r="BG585" t="s">
        <v>74</v>
      </c>
      <c r="BH585" t="s">
        <v>74</v>
      </c>
      <c r="BI585">
        <v>4</v>
      </c>
      <c r="BJ585" t="s">
        <v>1426</v>
      </c>
      <c r="BK585" t="s">
        <v>102</v>
      </c>
      <c r="BL585" t="s">
        <v>219</v>
      </c>
      <c r="BM585" t="s">
        <v>9891</v>
      </c>
      <c r="BN585" t="s">
        <v>74</v>
      </c>
      <c r="BO585" t="s">
        <v>1014</v>
      </c>
      <c r="BP585" t="s">
        <v>74</v>
      </c>
      <c r="BQ585" t="s">
        <v>74</v>
      </c>
      <c r="BR585" t="s">
        <v>105</v>
      </c>
      <c r="BS585" t="s">
        <v>11050</v>
      </c>
      <c r="BT585" t="str">
        <f>HYPERLINK("https%3A%2F%2Fwww.webofscience.com%2Fwos%2Fwoscc%2Ffull-record%2FWOS:000318227000017","View Full Record in Web of Science")</f>
        <v>View Full Record in Web of Science</v>
      </c>
    </row>
    <row r="586" spans="1:72" x14ac:dyDescent="0.15">
      <c r="A586" t="s">
        <v>72</v>
      </c>
      <c r="B586" t="s">
        <v>11051</v>
      </c>
      <c r="C586" t="s">
        <v>74</v>
      </c>
      <c r="D586" t="s">
        <v>74</v>
      </c>
      <c r="E586" t="s">
        <v>74</v>
      </c>
      <c r="F586" t="s">
        <v>11052</v>
      </c>
      <c r="G586" t="s">
        <v>74</v>
      </c>
      <c r="H586" t="s">
        <v>74</v>
      </c>
      <c r="I586" t="s">
        <v>11053</v>
      </c>
      <c r="J586" t="s">
        <v>1838</v>
      </c>
      <c r="K586" t="s">
        <v>74</v>
      </c>
      <c r="L586" t="s">
        <v>74</v>
      </c>
      <c r="M586" t="s">
        <v>78</v>
      </c>
      <c r="N586" t="s">
        <v>79</v>
      </c>
      <c r="O586" t="s">
        <v>74</v>
      </c>
      <c r="P586" t="s">
        <v>74</v>
      </c>
      <c r="Q586" t="s">
        <v>74</v>
      </c>
      <c r="R586" t="s">
        <v>74</v>
      </c>
      <c r="S586" t="s">
        <v>74</v>
      </c>
      <c r="T586" t="s">
        <v>74</v>
      </c>
      <c r="U586" t="s">
        <v>11054</v>
      </c>
      <c r="V586" t="s">
        <v>11055</v>
      </c>
      <c r="W586" t="s">
        <v>11056</v>
      </c>
      <c r="X586" t="s">
        <v>11057</v>
      </c>
      <c r="Y586" t="s">
        <v>11058</v>
      </c>
      <c r="Z586" t="s">
        <v>11059</v>
      </c>
      <c r="AA586" t="s">
        <v>11060</v>
      </c>
      <c r="AB586" t="s">
        <v>11061</v>
      </c>
      <c r="AC586" t="s">
        <v>74</v>
      </c>
      <c r="AD586" t="s">
        <v>74</v>
      </c>
      <c r="AE586" t="s">
        <v>74</v>
      </c>
      <c r="AF586" t="s">
        <v>74</v>
      </c>
      <c r="AG586">
        <v>30</v>
      </c>
      <c r="AH586">
        <v>323</v>
      </c>
      <c r="AI586">
        <v>358</v>
      </c>
      <c r="AJ586">
        <v>18</v>
      </c>
      <c r="AK586">
        <v>212</v>
      </c>
      <c r="AL586" t="s">
        <v>670</v>
      </c>
      <c r="AM586" t="s">
        <v>391</v>
      </c>
      <c r="AN586" t="s">
        <v>3747</v>
      </c>
      <c r="AO586" t="s">
        <v>1853</v>
      </c>
      <c r="AP586" t="s">
        <v>1854</v>
      </c>
      <c r="AQ586" t="s">
        <v>74</v>
      </c>
      <c r="AR586" t="s">
        <v>1855</v>
      </c>
      <c r="AS586" t="s">
        <v>1856</v>
      </c>
      <c r="AT586" t="s">
        <v>9169</v>
      </c>
      <c r="AU586">
        <v>2013</v>
      </c>
      <c r="AV586">
        <v>6</v>
      </c>
      <c r="AW586">
        <v>5</v>
      </c>
      <c r="AX586" t="s">
        <v>74</v>
      </c>
      <c r="AY586" t="s">
        <v>74</v>
      </c>
      <c r="AZ586" t="s">
        <v>74</v>
      </c>
      <c r="BA586" t="s">
        <v>74</v>
      </c>
      <c r="BB586">
        <v>376</v>
      </c>
      <c r="BC586">
        <v>379</v>
      </c>
      <c r="BD586" t="s">
        <v>74</v>
      </c>
      <c r="BE586" t="s">
        <v>11062</v>
      </c>
      <c r="BF586" t="str">
        <f>HYPERLINK("http://dx.doi.org/10.1038/NGEO1767","http://dx.doi.org/10.1038/NGEO1767")</f>
        <v>http://dx.doi.org/10.1038/NGEO1767</v>
      </c>
      <c r="BG586" t="s">
        <v>74</v>
      </c>
      <c r="BH586" t="s">
        <v>74</v>
      </c>
      <c r="BI586">
        <v>4</v>
      </c>
      <c r="BJ586" t="s">
        <v>1426</v>
      </c>
      <c r="BK586" t="s">
        <v>102</v>
      </c>
      <c r="BL586" t="s">
        <v>219</v>
      </c>
      <c r="BM586" t="s">
        <v>9891</v>
      </c>
      <c r="BN586" t="s">
        <v>74</v>
      </c>
      <c r="BO586" t="s">
        <v>74</v>
      </c>
      <c r="BP586" t="s">
        <v>2451</v>
      </c>
      <c r="BQ586" t="s">
        <v>2452</v>
      </c>
      <c r="BR586" t="s">
        <v>105</v>
      </c>
      <c r="BS586" t="s">
        <v>11063</v>
      </c>
      <c r="BT586" t="str">
        <f>HYPERLINK("https%3A%2F%2Fwww.webofscience.com%2Fwos%2Fwoscc%2Ffull-record%2FWOS:000318227000018","View Full Record in Web of Science")</f>
        <v>View Full Record in Web of Science</v>
      </c>
    </row>
    <row r="587" spans="1:72" x14ac:dyDescent="0.15">
      <c r="A587" t="s">
        <v>72</v>
      </c>
      <c r="B587" t="s">
        <v>11064</v>
      </c>
      <c r="C587" t="s">
        <v>74</v>
      </c>
      <c r="D587" t="s">
        <v>74</v>
      </c>
      <c r="E587" t="s">
        <v>74</v>
      </c>
      <c r="F587" t="s">
        <v>11065</v>
      </c>
      <c r="G587" t="s">
        <v>74</v>
      </c>
      <c r="H587" t="s">
        <v>11066</v>
      </c>
      <c r="I587" t="s">
        <v>11067</v>
      </c>
      <c r="J587" t="s">
        <v>1838</v>
      </c>
      <c r="K587" t="s">
        <v>74</v>
      </c>
      <c r="L587" t="s">
        <v>74</v>
      </c>
      <c r="M587" t="s">
        <v>78</v>
      </c>
      <c r="N587" t="s">
        <v>79</v>
      </c>
      <c r="O587" t="s">
        <v>74</v>
      </c>
      <c r="P587" t="s">
        <v>74</v>
      </c>
      <c r="Q587" t="s">
        <v>74</v>
      </c>
      <c r="R587" t="s">
        <v>74</v>
      </c>
      <c r="S587" t="s">
        <v>74</v>
      </c>
      <c r="T587" t="s">
        <v>74</v>
      </c>
      <c r="U587" t="s">
        <v>11068</v>
      </c>
      <c r="V587" t="s">
        <v>11069</v>
      </c>
      <c r="W587" t="s">
        <v>11070</v>
      </c>
      <c r="X587" t="s">
        <v>11071</v>
      </c>
      <c r="Y587" t="s">
        <v>11072</v>
      </c>
      <c r="Z587" t="s">
        <v>11073</v>
      </c>
      <c r="AA587" t="s">
        <v>11074</v>
      </c>
      <c r="AB587" t="s">
        <v>11075</v>
      </c>
      <c r="AC587" t="s">
        <v>11076</v>
      </c>
      <c r="AD587" t="s">
        <v>11077</v>
      </c>
      <c r="AE587" t="s">
        <v>11078</v>
      </c>
      <c r="AF587" t="s">
        <v>74</v>
      </c>
      <c r="AG587">
        <v>28</v>
      </c>
      <c r="AH587">
        <v>52</v>
      </c>
      <c r="AI587">
        <v>53</v>
      </c>
      <c r="AJ587">
        <v>0</v>
      </c>
      <c r="AK587">
        <v>41</v>
      </c>
      <c r="AL587" t="s">
        <v>670</v>
      </c>
      <c r="AM587" t="s">
        <v>391</v>
      </c>
      <c r="AN587" t="s">
        <v>3747</v>
      </c>
      <c r="AO587" t="s">
        <v>1853</v>
      </c>
      <c r="AP587" t="s">
        <v>1854</v>
      </c>
      <c r="AQ587" t="s">
        <v>74</v>
      </c>
      <c r="AR587" t="s">
        <v>1855</v>
      </c>
      <c r="AS587" t="s">
        <v>1856</v>
      </c>
      <c r="AT587" t="s">
        <v>9169</v>
      </c>
      <c r="AU587">
        <v>2013</v>
      </c>
      <c r="AV587">
        <v>6</v>
      </c>
      <c r="AW587">
        <v>5</v>
      </c>
      <c r="AX587" t="s">
        <v>74</v>
      </c>
      <c r="AY587" t="s">
        <v>74</v>
      </c>
      <c r="AZ587" t="s">
        <v>74</v>
      </c>
      <c r="BA587" t="s">
        <v>74</v>
      </c>
      <c r="BB587">
        <v>380</v>
      </c>
      <c r="BC587">
        <v>384</v>
      </c>
      <c r="BD587" t="s">
        <v>74</v>
      </c>
      <c r="BE587" t="s">
        <v>11079</v>
      </c>
      <c r="BF587" t="str">
        <f>HYPERLINK("http://dx.doi.org/10.1038/NGEO1783","http://dx.doi.org/10.1038/NGEO1783")</f>
        <v>http://dx.doi.org/10.1038/NGEO1783</v>
      </c>
      <c r="BG587" t="s">
        <v>74</v>
      </c>
      <c r="BH587" t="s">
        <v>74</v>
      </c>
      <c r="BI587">
        <v>5</v>
      </c>
      <c r="BJ587" t="s">
        <v>1426</v>
      </c>
      <c r="BK587" t="s">
        <v>102</v>
      </c>
      <c r="BL587" t="s">
        <v>219</v>
      </c>
      <c r="BM587" t="s">
        <v>9891</v>
      </c>
      <c r="BN587" t="s">
        <v>74</v>
      </c>
      <c r="BO587" t="s">
        <v>74</v>
      </c>
      <c r="BP587" t="s">
        <v>74</v>
      </c>
      <c r="BQ587" t="s">
        <v>74</v>
      </c>
      <c r="BR587" t="s">
        <v>105</v>
      </c>
      <c r="BS587" t="s">
        <v>11080</v>
      </c>
      <c r="BT587" t="str">
        <f>HYPERLINK("https%3A%2F%2Fwww.webofscience.com%2Fwos%2Fwoscc%2Ffull-record%2FWOS:000318227000019","View Full Record in Web of Science")</f>
        <v>View Full Record in Web of Science</v>
      </c>
    </row>
    <row r="588" spans="1:72" x14ac:dyDescent="0.15">
      <c r="A588" t="s">
        <v>72</v>
      </c>
      <c r="B588" t="s">
        <v>11081</v>
      </c>
      <c r="C588" t="s">
        <v>74</v>
      </c>
      <c r="D588" t="s">
        <v>74</v>
      </c>
      <c r="E588" t="s">
        <v>74</v>
      </c>
      <c r="F588" t="s">
        <v>11082</v>
      </c>
      <c r="G588" t="s">
        <v>74</v>
      </c>
      <c r="H588" t="s">
        <v>74</v>
      </c>
      <c r="I588" t="s">
        <v>11083</v>
      </c>
      <c r="J588" t="s">
        <v>1838</v>
      </c>
      <c r="K588" t="s">
        <v>74</v>
      </c>
      <c r="L588" t="s">
        <v>74</v>
      </c>
      <c r="M588" t="s">
        <v>78</v>
      </c>
      <c r="N588" t="s">
        <v>79</v>
      </c>
      <c r="O588" t="s">
        <v>74</v>
      </c>
      <c r="P588" t="s">
        <v>74</v>
      </c>
      <c r="Q588" t="s">
        <v>74</v>
      </c>
      <c r="R588" t="s">
        <v>74</v>
      </c>
      <c r="S588" t="s">
        <v>74</v>
      </c>
      <c r="T588" t="s">
        <v>74</v>
      </c>
      <c r="U588" t="s">
        <v>11084</v>
      </c>
      <c r="V588" t="s">
        <v>11085</v>
      </c>
      <c r="W588" t="s">
        <v>11086</v>
      </c>
      <c r="X588" t="s">
        <v>11087</v>
      </c>
      <c r="Y588" t="s">
        <v>11088</v>
      </c>
      <c r="Z588" t="s">
        <v>11089</v>
      </c>
      <c r="AA588" t="s">
        <v>11090</v>
      </c>
      <c r="AB588" t="s">
        <v>11091</v>
      </c>
      <c r="AC588" t="s">
        <v>11092</v>
      </c>
      <c r="AD588" t="s">
        <v>11093</v>
      </c>
      <c r="AE588" t="s">
        <v>11094</v>
      </c>
      <c r="AF588" t="s">
        <v>74</v>
      </c>
      <c r="AG588">
        <v>46</v>
      </c>
      <c r="AH588">
        <v>123</v>
      </c>
      <c r="AI588">
        <v>135</v>
      </c>
      <c r="AJ588">
        <v>1</v>
      </c>
      <c r="AK588">
        <v>89</v>
      </c>
      <c r="AL588" t="s">
        <v>670</v>
      </c>
      <c r="AM588" t="s">
        <v>391</v>
      </c>
      <c r="AN588" t="s">
        <v>3747</v>
      </c>
      <c r="AO588" t="s">
        <v>1853</v>
      </c>
      <c r="AP588" t="s">
        <v>1854</v>
      </c>
      <c r="AQ588" t="s">
        <v>74</v>
      </c>
      <c r="AR588" t="s">
        <v>1855</v>
      </c>
      <c r="AS588" t="s">
        <v>1856</v>
      </c>
      <c r="AT588" t="s">
        <v>9169</v>
      </c>
      <c r="AU588">
        <v>2013</v>
      </c>
      <c r="AV588">
        <v>6</v>
      </c>
      <c r="AW588">
        <v>5</v>
      </c>
      <c r="AX588" t="s">
        <v>74</v>
      </c>
      <c r="AY588" t="s">
        <v>74</v>
      </c>
      <c r="AZ588" t="s">
        <v>74</v>
      </c>
      <c r="BA588" t="s">
        <v>74</v>
      </c>
      <c r="BB588">
        <v>404</v>
      </c>
      <c r="BC588">
        <v>411</v>
      </c>
      <c r="BD588" t="s">
        <v>74</v>
      </c>
      <c r="BE588" t="s">
        <v>11095</v>
      </c>
      <c r="BF588" t="str">
        <f>HYPERLINK("http://dx.doi.org/10.1038/NGEO1787","http://dx.doi.org/10.1038/NGEO1787")</f>
        <v>http://dx.doi.org/10.1038/NGEO1787</v>
      </c>
      <c r="BG588" t="s">
        <v>74</v>
      </c>
      <c r="BH588" t="s">
        <v>74</v>
      </c>
      <c r="BI588">
        <v>8</v>
      </c>
      <c r="BJ588" t="s">
        <v>1426</v>
      </c>
      <c r="BK588" t="s">
        <v>102</v>
      </c>
      <c r="BL588" t="s">
        <v>219</v>
      </c>
      <c r="BM588" t="s">
        <v>9891</v>
      </c>
      <c r="BN588" t="s">
        <v>74</v>
      </c>
      <c r="BO588" t="s">
        <v>1063</v>
      </c>
      <c r="BP588" t="s">
        <v>74</v>
      </c>
      <c r="BQ588" t="s">
        <v>74</v>
      </c>
      <c r="BR588" t="s">
        <v>105</v>
      </c>
      <c r="BS588" t="s">
        <v>11096</v>
      </c>
      <c r="BT588" t="str">
        <f>HYPERLINK("https%3A%2F%2Fwww.webofscience.com%2Fwos%2Fwoscc%2Ffull-record%2FWOS:000318227000024","View Full Record in Web of Science")</f>
        <v>View Full Record in Web of Science</v>
      </c>
    </row>
    <row r="589" spans="1:72" x14ac:dyDescent="0.15">
      <c r="A589" t="s">
        <v>72</v>
      </c>
      <c r="B589" t="s">
        <v>11097</v>
      </c>
      <c r="C589" t="s">
        <v>74</v>
      </c>
      <c r="D589" t="s">
        <v>74</v>
      </c>
      <c r="E589" t="s">
        <v>74</v>
      </c>
      <c r="F589" t="s">
        <v>11098</v>
      </c>
      <c r="G589" t="s">
        <v>74</v>
      </c>
      <c r="H589" t="s">
        <v>74</v>
      </c>
      <c r="I589" t="s">
        <v>11099</v>
      </c>
      <c r="J589" t="s">
        <v>9381</v>
      </c>
      <c r="K589" t="s">
        <v>74</v>
      </c>
      <c r="L589" t="s">
        <v>74</v>
      </c>
      <c r="M589" t="s">
        <v>78</v>
      </c>
      <c r="N589" t="s">
        <v>991</v>
      </c>
      <c r="O589" t="s">
        <v>74</v>
      </c>
      <c r="P589" t="s">
        <v>74</v>
      </c>
      <c r="Q589" t="s">
        <v>74</v>
      </c>
      <c r="R589" t="s">
        <v>74</v>
      </c>
      <c r="S589" t="s">
        <v>74</v>
      </c>
      <c r="T589" t="s">
        <v>74</v>
      </c>
      <c r="U589" t="s">
        <v>11100</v>
      </c>
      <c r="V589" t="s">
        <v>74</v>
      </c>
      <c r="W589" t="s">
        <v>11101</v>
      </c>
      <c r="X589" t="s">
        <v>11102</v>
      </c>
      <c r="Y589" t="s">
        <v>11103</v>
      </c>
      <c r="Z589" t="s">
        <v>11104</v>
      </c>
      <c r="AA589" t="s">
        <v>11105</v>
      </c>
      <c r="AB589" t="s">
        <v>11106</v>
      </c>
      <c r="AC589" t="s">
        <v>11107</v>
      </c>
      <c r="AD589" t="s">
        <v>11108</v>
      </c>
      <c r="AE589" t="s">
        <v>74</v>
      </c>
      <c r="AF589" t="s">
        <v>74</v>
      </c>
      <c r="AG589">
        <v>28</v>
      </c>
      <c r="AH589">
        <v>1</v>
      </c>
      <c r="AI589">
        <v>2</v>
      </c>
      <c r="AJ589">
        <v>0</v>
      </c>
      <c r="AK589">
        <v>20</v>
      </c>
      <c r="AL589" t="s">
        <v>9393</v>
      </c>
      <c r="AM589" t="s">
        <v>9394</v>
      </c>
      <c r="AN589" t="s">
        <v>9395</v>
      </c>
      <c r="AO589" t="s">
        <v>9396</v>
      </c>
      <c r="AP589" t="s">
        <v>9397</v>
      </c>
      <c r="AQ589" t="s">
        <v>74</v>
      </c>
      <c r="AR589" t="s">
        <v>9381</v>
      </c>
      <c r="AS589" t="s">
        <v>9398</v>
      </c>
      <c r="AT589" t="s">
        <v>9399</v>
      </c>
      <c r="AU589">
        <v>2013</v>
      </c>
      <c r="AV589">
        <v>28</v>
      </c>
      <c r="AW589" t="s">
        <v>9400</v>
      </c>
      <c r="AX589" t="s">
        <v>74</v>
      </c>
      <c r="AY589" t="s">
        <v>74</v>
      </c>
      <c r="AZ589" t="s">
        <v>74</v>
      </c>
      <c r="BA589" t="s">
        <v>74</v>
      </c>
      <c r="BB589">
        <v>267</v>
      </c>
      <c r="BC589">
        <v>269</v>
      </c>
      <c r="BD589" t="s">
        <v>74</v>
      </c>
      <c r="BE589" t="s">
        <v>11109</v>
      </c>
      <c r="BF589" t="str">
        <f>HYPERLINK("http://dx.doi.org/10.2110/palo.2013.SO3","http://dx.doi.org/10.2110/palo.2013.SO3")</f>
        <v>http://dx.doi.org/10.2110/palo.2013.SO3</v>
      </c>
      <c r="BG589" t="s">
        <v>74</v>
      </c>
      <c r="BH589" t="s">
        <v>74</v>
      </c>
      <c r="BI589">
        <v>3</v>
      </c>
      <c r="BJ589" t="s">
        <v>913</v>
      </c>
      <c r="BK589" t="s">
        <v>102</v>
      </c>
      <c r="BL589" t="s">
        <v>913</v>
      </c>
      <c r="BM589" t="s">
        <v>9402</v>
      </c>
      <c r="BN589" t="s">
        <v>74</v>
      </c>
      <c r="BO589" t="s">
        <v>74</v>
      </c>
      <c r="BP589" t="s">
        <v>74</v>
      </c>
      <c r="BQ589" t="s">
        <v>74</v>
      </c>
      <c r="BR589" t="s">
        <v>105</v>
      </c>
      <c r="BS589" t="s">
        <v>11110</v>
      </c>
      <c r="BT589" t="str">
        <f>HYPERLINK("https%3A%2F%2Fwww.webofscience.com%2Fwos%2Fwoscc%2Ffull-record%2FWOS:000322856800001","View Full Record in Web of Science")</f>
        <v>View Full Record in Web of Science</v>
      </c>
    </row>
    <row r="590" spans="1:72" x14ac:dyDescent="0.15">
      <c r="A590" t="s">
        <v>72</v>
      </c>
      <c r="B590" t="s">
        <v>11111</v>
      </c>
      <c r="C590" t="s">
        <v>74</v>
      </c>
      <c r="D590" t="s">
        <v>74</v>
      </c>
      <c r="E590" t="s">
        <v>74</v>
      </c>
      <c r="F590" t="s">
        <v>11112</v>
      </c>
      <c r="G590" t="s">
        <v>74</v>
      </c>
      <c r="H590" t="s">
        <v>74</v>
      </c>
      <c r="I590" t="s">
        <v>11113</v>
      </c>
      <c r="J590" t="s">
        <v>4554</v>
      </c>
      <c r="K590" t="s">
        <v>74</v>
      </c>
      <c r="L590" t="s">
        <v>74</v>
      </c>
      <c r="M590" t="s">
        <v>78</v>
      </c>
      <c r="N590" t="s">
        <v>991</v>
      </c>
      <c r="O590" t="s">
        <v>74</v>
      </c>
      <c r="P590" t="s">
        <v>74</v>
      </c>
      <c r="Q590" t="s">
        <v>74</v>
      </c>
      <c r="R590" t="s">
        <v>74</v>
      </c>
      <c r="S590" t="s">
        <v>74</v>
      </c>
      <c r="T590" t="s">
        <v>74</v>
      </c>
      <c r="U590" t="s">
        <v>74</v>
      </c>
      <c r="V590" t="s">
        <v>74</v>
      </c>
      <c r="W590" t="s">
        <v>11114</v>
      </c>
      <c r="X590" t="s">
        <v>5748</v>
      </c>
      <c r="Y590" t="s">
        <v>11115</v>
      </c>
      <c r="Z590" t="s">
        <v>74</v>
      </c>
      <c r="AA590" t="s">
        <v>74</v>
      </c>
      <c r="AB590" t="s">
        <v>11116</v>
      </c>
      <c r="AC590" t="s">
        <v>74</v>
      </c>
      <c r="AD590" t="s">
        <v>74</v>
      </c>
      <c r="AE590" t="s">
        <v>74</v>
      </c>
      <c r="AF590" t="s">
        <v>74</v>
      </c>
      <c r="AG590">
        <v>2</v>
      </c>
      <c r="AH590">
        <v>0</v>
      </c>
      <c r="AI590">
        <v>0</v>
      </c>
      <c r="AJ590">
        <v>0</v>
      </c>
      <c r="AK590">
        <v>1</v>
      </c>
      <c r="AL590" t="s">
        <v>4555</v>
      </c>
      <c r="AM590" t="s">
        <v>4556</v>
      </c>
      <c r="AN590" t="s">
        <v>4557</v>
      </c>
      <c r="AO590" t="s">
        <v>4558</v>
      </c>
      <c r="AP590" t="s">
        <v>4559</v>
      </c>
      <c r="AQ590" t="s">
        <v>74</v>
      </c>
      <c r="AR590" t="s">
        <v>4560</v>
      </c>
      <c r="AS590" t="s">
        <v>4561</v>
      </c>
      <c r="AT590" t="s">
        <v>9169</v>
      </c>
      <c r="AU590">
        <v>2013</v>
      </c>
      <c r="AV590">
        <v>66</v>
      </c>
      <c r="AW590">
        <v>5</v>
      </c>
      <c r="AX590" t="s">
        <v>74</v>
      </c>
      <c r="AY590" t="s">
        <v>74</v>
      </c>
      <c r="AZ590" t="s">
        <v>74</v>
      </c>
      <c r="BA590" t="s">
        <v>74</v>
      </c>
      <c r="BB590">
        <v>60</v>
      </c>
      <c r="BC590">
        <v>61</v>
      </c>
      <c r="BD590" t="s">
        <v>74</v>
      </c>
      <c r="BE590" t="s">
        <v>11117</v>
      </c>
      <c r="BF590" t="str">
        <f>HYPERLINK("http://dx.doi.org/10.1063/PT.3.1987","http://dx.doi.org/10.1063/PT.3.1987")</f>
        <v>http://dx.doi.org/10.1063/PT.3.1987</v>
      </c>
      <c r="BG590" t="s">
        <v>74</v>
      </c>
      <c r="BH590" t="s">
        <v>74</v>
      </c>
      <c r="BI590">
        <v>2</v>
      </c>
      <c r="BJ590" t="s">
        <v>4562</v>
      </c>
      <c r="BK590" t="s">
        <v>102</v>
      </c>
      <c r="BL590" t="s">
        <v>2683</v>
      </c>
      <c r="BM590" t="s">
        <v>11118</v>
      </c>
      <c r="BN590" t="s">
        <v>74</v>
      </c>
      <c r="BO590" t="s">
        <v>104</v>
      </c>
      <c r="BP590" t="s">
        <v>74</v>
      </c>
      <c r="BQ590" t="s">
        <v>74</v>
      </c>
      <c r="BR590" t="s">
        <v>105</v>
      </c>
      <c r="BS590" t="s">
        <v>11119</v>
      </c>
      <c r="BT590" t="str">
        <f>HYPERLINK("https%3A%2F%2Fwww.webofscience.com%2Fwos%2Fwoscc%2Ffull-record%2FWOS:000327027300015","View Full Record in Web of Science")</f>
        <v>View Full Record in Web of Science</v>
      </c>
    </row>
    <row r="591" spans="1:72" x14ac:dyDescent="0.15">
      <c r="A591" t="s">
        <v>72</v>
      </c>
      <c r="B591" t="s">
        <v>11120</v>
      </c>
      <c r="C591" t="s">
        <v>74</v>
      </c>
      <c r="D591" t="s">
        <v>74</v>
      </c>
      <c r="E591" t="s">
        <v>74</v>
      </c>
      <c r="F591" t="s">
        <v>11121</v>
      </c>
      <c r="G591" t="s">
        <v>74</v>
      </c>
      <c r="H591" t="s">
        <v>74</v>
      </c>
      <c r="I591" t="s">
        <v>11122</v>
      </c>
      <c r="J591" t="s">
        <v>3345</v>
      </c>
      <c r="K591" t="s">
        <v>74</v>
      </c>
      <c r="L591" t="s">
        <v>74</v>
      </c>
      <c r="M591" t="s">
        <v>78</v>
      </c>
      <c r="N591" t="s">
        <v>79</v>
      </c>
      <c r="O591" t="s">
        <v>74</v>
      </c>
      <c r="P591" t="s">
        <v>74</v>
      </c>
      <c r="Q591" t="s">
        <v>74</v>
      </c>
      <c r="R591" t="s">
        <v>74</v>
      </c>
      <c r="S591" t="s">
        <v>74</v>
      </c>
      <c r="T591" t="s">
        <v>11123</v>
      </c>
      <c r="U591" t="s">
        <v>11124</v>
      </c>
      <c r="V591" t="s">
        <v>11125</v>
      </c>
      <c r="W591" t="s">
        <v>11126</v>
      </c>
      <c r="X591" t="s">
        <v>11127</v>
      </c>
      <c r="Y591" t="s">
        <v>11128</v>
      </c>
      <c r="Z591" t="s">
        <v>11129</v>
      </c>
      <c r="AA591" t="s">
        <v>74</v>
      </c>
      <c r="AB591" t="s">
        <v>74</v>
      </c>
      <c r="AC591" t="s">
        <v>74</v>
      </c>
      <c r="AD591" t="s">
        <v>74</v>
      </c>
      <c r="AE591" t="s">
        <v>74</v>
      </c>
      <c r="AF591" t="s">
        <v>74</v>
      </c>
      <c r="AG591">
        <v>66</v>
      </c>
      <c r="AH591">
        <v>26</v>
      </c>
      <c r="AI591">
        <v>29</v>
      </c>
      <c r="AJ591">
        <v>0</v>
      </c>
      <c r="AK591">
        <v>48</v>
      </c>
      <c r="AL591" t="s">
        <v>529</v>
      </c>
      <c r="AM591" t="s">
        <v>391</v>
      </c>
      <c r="AN591" t="s">
        <v>530</v>
      </c>
      <c r="AO591" t="s">
        <v>3358</v>
      </c>
      <c r="AP591" t="s">
        <v>74</v>
      </c>
      <c r="AQ591" t="s">
        <v>74</v>
      </c>
      <c r="AR591" t="s">
        <v>3360</v>
      </c>
      <c r="AS591" t="s">
        <v>3361</v>
      </c>
      <c r="AT591" t="s">
        <v>9169</v>
      </c>
      <c r="AU591">
        <v>2013</v>
      </c>
      <c r="AV591">
        <v>36</v>
      </c>
      <c r="AW591">
        <v>5</v>
      </c>
      <c r="AX591" t="s">
        <v>74</v>
      </c>
      <c r="AY591" t="s">
        <v>74</v>
      </c>
      <c r="AZ591" t="s">
        <v>74</v>
      </c>
      <c r="BA591" t="s">
        <v>74</v>
      </c>
      <c r="BB591">
        <v>673</v>
      </c>
      <c r="BC591">
        <v>689</v>
      </c>
      <c r="BD591" t="s">
        <v>74</v>
      </c>
      <c r="BE591" t="s">
        <v>11130</v>
      </c>
      <c r="BF591" t="str">
        <f>HYPERLINK("http://dx.doi.org/10.1007/s00300-013-1293-9","http://dx.doi.org/10.1007/s00300-013-1293-9")</f>
        <v>http://dx.doi.org/10.1007/s00300-013-1293-9</v>
      </c>
      <c r="BG591" t="s">
        <v>74</v>
      </c>
      <c r="BH591" t="s">
        <v>74</v>
      </c>
      <c r="BI591">
        <v>17</v>
      </c>
      <c r="BJ591" t="s">
        <v>1158</v>
      </c>
      <c r="BK591" t="s">
        <v>102</v>
      </c>
      <c r="BL591" t="s">
        <v>1159</v>
      </c>
      <c r="BM591" t="s">
        <v>9924</v>
      </c>
      <c r="BN591" t="s">
        <v>74</v>
      </c>
      <c r="BO591" t="s">
        <v>74</v>
      </c>
      <c r="BP591" t="s">
        <v>74</v>
      </c>
      <c r="BQ591" t="s">
        <v>74</v>
      </c>
      <c r="BR591" t="s">
        <v>105</v>
      </c>
      <c r="BS591" t="s">
        <v>11131</v>
      </c>
      <c r="BT591" t="str">
        <f>HYPERLINK("https%3A%2F%2Fwww.webofscience.com%2Fwos%2Fwoscc%2Ffull-record%2FWOS:000317858500005","View Full Record in Web of Science")</f>
        <v>View Full Record in Web of Science</v>
      </c>
    </row>
    <row r="592" spans="1:72" x14ac:dyDescent="0.15">
      <c r="A592" t="s">
        <v>72</v>
      </c>
      <c r="B592" t="s">
        <v>11132</v>
      </c>
      <c r="C592" t="s">
        <v>74</v>
      </c>
      <c r="D592" t="s">
        <v>74</v>
      </c>
      <c r="E592" t="s">
        <v>74</v>
      </c>
      <c r="F592" t="s">
        <v>11133</v>
      </c>
      <c r="G592" t="s">
        <v>74</v>
      </c>
      <c r="H592" t="s">
        <v>74</v>
      </c>
      <c r="I592" t="s">
        <v>11134</v>
      </c>
      <c r="J592" t="s">
        <v>3345</v>
      </c>
      <c r="K592" t="s">
        <v>74</v>
      </c>
      <c r="L592" t="s">
        <v>74</v>
      </c>
      <c r="M592" t="s">
        <v>78</v>
      </c>
      <c r="N592" t="s">
        <v>79</v>
      </c>
      <c r="O592" t="s">
        <v>74</v>
      </c>
      <c r="P592" t="s">
        <v>74</v>
      </c>
      <c r="Q592" t="s">
        <v>74</v>
      </c>
      <c r="R592" t="s">
        <v>74</v>
      </c>
      <c r="S592" t="s">
        <v>74</v>
      </c>
      <c r="T592" t="s">
        <v>11135</v>
      </c>
      <c r="U592" t="s">
        <v>11136</v>
      </c>
      <c r="V592" t="s">
        <v>11137</v>
      </c>
      <c r="W592" t="s">
        <v>11138</v>
      </c>
      <c r="X592" t="s">
        <v>11139</v>
      </c>
      <c r="Y592" t="s">
        <v>11140</v>
      </c>
      <c r="Z592" t="s">
        <v>11141</v>
      </c>
      <c r="AA592" t="s">
        <v>11142</v>
      </c>
      <c r="AB592" t="s">
        <v>11143</v>
      </c>
      <c r="AC592" t="s">
        <v>11144</v>
      </c>
      <c r="AD592" t="s">
        <v>11145</v>
      </c>
      <c r="AE592" t="s">
        <v>11146</v>
      </c>
      <c r="AF592" t="s">
        <v>74</v>
      </c>
      <c r="AG592">
        <v>48</v>
      </c>
      <c r="AH592">
        <v>24</v>
      </c>
      <c r="AI592">
        <v>25</v>
      </c>
      <c r="AJ592">
        <v>0</v>
      </c>
      <c r="AK592">
        <v>4</v>
      </c>
      <c r="AL592" t="s">
        <v>529</v>
      </c>
      <c r="AM592" t="s">
        <v>391</v>
      </c>
      <c r="AN592" t="s">
        <v>530</v>
      </c>
      <c r="AO592" t="s">
        <v>3358</v>
      </c>
      <c r="AP592" t="s">
        <v>3359</v>
      </c>
      <c r="AQ592" t="s">
        <v>74</v>
      </c>
      <c r="AR592" t="s">
        <v>3360</v>
      </c>
      <c r="AS592" t="s">
        <v>3361</v>
      </c>
      <c r="AT592" t="s">
        <v>9169</v>
      </c>
      <c r="AU592">
        <v>2013</v>
      </c>
      <c r="AV592">
        <v>36</v>
      </c>
      <c r="AW592">
        <v>5</v>
      </c>
      <c r="AX592" t="s">
        <v>74</v>
      </c>
      <c r="AY592" t="s">
        <v>74</v>
      </c>
      <c r="AZ592" t="s">
        <v>74</v>
      </c>
      <c r="BA592" t="s">
        <v>74</v>
      </c>
      <c r="BB592">
        <v>731</v>
      </c>
      <c r="BC592">
        <v>753</v>
      </c>
      <c r="BD592" t="s">
        <v>74</v>
      </c>
      <c r="BE592" t="s">
        <v>11147</v>
      </c>
      <c r="BF592" t="str">
        <f>HYPERLINK("http://dx.doi.org/10.1007/s00300-013-1299-3","http://dx.doi.org/10.1007/s00300-013-1299-3")</f>
        <v>http://dx.doi.org/10.1007/s00300-013-1299-3</v>
      </c>
      <c r="BG592" t="s">
        <v>74</v>
      </c>
      <c r="BH592" t="s">
        <v>74</v>
      </c>
      <c r="BI592">
        <v>23</v>
      </c>
      <c r="BJ592" t="s">
        <v>1158</v>
      </c>
      <c r="BK592" t="s">
        <v>102</v>
      </c>
      <c r="BL592" t="s">
        <v>1159</v>
      </c>
      <c r="BM592" t="s">
        <v>9924</v>
      </c>
      <c r="BN592" t="s">
        <v>74</v>
      </c>
      <c r="BO592" t="s">
        <v>74</v>
      </c>
      <c r="BP592" t="s">
        <v>74</v>
      </c>
      <c r="BQ592" t="s">
        <v>74</v>
      </c>
      <c r="BR592" t="s">
        <v>105</v>
      </c>
      <c r="BS592" t="s">
        <v>11148</v>
      </c>
      <c r="BT592" t="str">
        <f>HYPERLINK("https%3A%2F%2Fwww.webofscience.com%2Fwos%2Fwoscc%2Ffull-record%2FWOS:000317858500009","View Full Record in Web of Science")</f>
        <v>View Full Record in Web of Science</v>
      </c>
    </row>
    <row r="593" spans="1:72" x14ac:dyDescent="0.15">
      <c r="A593" t="s">
        <v>72</v>
      </c>
      <c r="B593" t="s">
        <v>11149</v>
      </c>
      <c r="C593" t="s">
        <v>74</v>
      </c>
      <c r="D593" t="s">
        <v>74</v>
      </c>
      <c r="E593" t="s">
        <v>74</v>
      </c>
      <c r="F593" t="s">
        <v>11150</v>
      </c>
      <c r="G593" t="s">
        <v>74</v>
      </c>
      <c r="H593" t="s">
        <v>74</v>
      </c>
      <c r="I593" t="s">
        <v>11151</v>
      </c>
      <c r="J593" t="s">
        <v>4690</v>
      </c>
      <c r="K593" t="s">
        <v>74</v>
      </c>
      <c r="L593" t="s">
        <v>74</v>
      </c>
      <c r="M593" t="s">
        <v>78</v>
      </c>
      <c r="N593" t="s">
        <v>79</v>
      </c>
      <c r="O593" t="s">
        <v>74</v>
      </c>
      <c r="P593" t="s">
        <v>74</v>
      </c>
      <c r="Q593" t="s">
        <v>74</v>
      </c>
      <c r="R593" t="s">
        <v>74</v>
      </c>
      <c r="S593" t="s">
        <v>74</v>
      </c>
      <c r="T593" t="s">
        <v>11152</v>
      </c>
      <c r="U593" t="s">
        <v>11153</v>
      </c>
      <c r="V593" t="s">
        <v>11154</v>
      </c>
      <c r="W593" t="s">
        <v>11155</v>
      </c>
      <c r="X593" t="s">
        <v>11156</v>
      </c>
      <c r="Y593" t="s">
        <v>11157</v>
      </c>
      <c r="Z593" t="s">
        <v>11158</v>
      </c>
      <c r="AA593" t="s">
        <v>11159</v>
      </c>
      <c r="AB593" t="s">
        <v>11160</v>
      </c>
      <c r="AC593" t="s">
        <v>11161</v>
      </c>
      <c r="AD593" t="s">
        <v>11162</v>
      </c>
      <c r="AE593" t="s">
        <v>11163</v>
      </c>
      <c r="AF593" t="s">
        <v>74</v>
      </c>
      <c r="AG593">
        <v>74</v>
      </c>
      <c r="AH593">
        <v>34</v>
      </c>
      <c r="AI593">
        <v>37</v>
      </c>
      <c r="AJ593">
        <v>2</v>
      </c>
      <c r="AK593">
        <v>65</v>
      </c>
      <c r="AL593" t="s">
        <v>506</v>
      </c>
      <c r="AM593" t="s">
        <v>442</v>
      </c>
      <c r="AN593" t="s">
        <v>507</v>
      </c>
      <c r="AO593" t="s">
        <v>4703</v>
      </c>
      <c r="AP593" t="s">
        <v>74</v>
      </c>
      <c r="AQ593" t="s">
        <v>74</v>
      </c>
      <c r="AR593" t="s">
        <v>4704</v>
      </c>
      <c r="AS593" t="s">
        <v>4705</v>
      </c>
      <c r="AT593" t="s">
        <v>10283</v>
      </c>
      <c r="AU593">
        <v>2013</v>
      </c>
      <c r="AV593">
        <v>67</v>
      </c>
      <c r="AW593" t="s">
        <v>74</v>
      </c>
      <c r="AX593" t="s">
        <v>74</v>
      </c>
      <c r="AY593" t="s">
        <v>74</v>
      </c>
      <c r="AZ593" t="s">
        <v>74</v>
      </c>
      <c r="BA593" t="s">
        <v>74</v>
      </c>
      <c r="BB593">
        <v>59</v>
      </c>
      <c r="BC593">
        <v>80</v>
      </c>
      <c r="BD593" t="s">
        <v>74</v>
      </c>
      <c r="BE593" t="s">
        <v>11164</v>
      </c>
      <c r="BF593" t="str">
        <f>HYPERLINK("http://dx.doi.org/10.1016/j.quascirev.2013.01.009","http://dx.doi.org/10.1016/j.quascirev.2013.01.009")</f>
        <v>http://dx.doi.org/10.1016/j.quascirev.2013.01.009</v>
      </c>
      <c r="BG593" t="s">
        <v>74</v>
      </c>
      <c r="BH593" t="s">
        <v>74</v>
      </c>
      <c r="BI593">
        <v>22</v>
      </c>
      <c r="BJ593" t="s">
        <v>650</v>
      </c>
      <c r="BK593" t="s">
        <v>102</v>
      </c>
      <c r="BL593" t="s">
        <v>651</v>
      </c>
      <c r="BM593" t="s">
        <v>11165</v>
      </c>
      <c r="BN593" t="s">
        <v>74</v>
      </c>
      <c r="BO593" t="s">
        <v>1428</v>
      </c>
      <c r="BP593" t="s">
        <v>74</v>
      </c>
      <c r="BQ593" t="s">
        <v>74</v>
      </c>
      <c r="BR593" t="s">
        <v>105</v>
      </c>
      <c r="BS593" t="s">
        <v>11166</v>
      </c>
      <c r="BT593" t="str">
        <f>HYPERLINK("https%3A%2F%2Fwww.webofscience.com%2Fwos%2Fwoscc%2Ffull-record%2FWOS:000317871600005","View Full Record in Web of Science")</f>
        <v>View Full Record in Web of Science</v>
      </c>
    </row>
    <row r="594" spans="1:72" x14ac:dyDescent="0.15">
      <c r="A594" t="s">
        <v>72</v>
      </c>
      <c r="B594" t="s">
        <v>11167</v>
      </c>
      <c r="C594" t="s">
        <v>74</v>
      </c>
      <c r="D594" t="s">
        <v>74</v>
      </c>
      <c r="E594" t="s">
        <v>74</v>
      </c>
      <c r="F594" t="s">
        <v>11168</v>
      </c>
      <c r="G594" t="s">
        <v>74</v>
      </c>
      <c r="H594" t="s">
        <v>74</v>
      </c>
      <c r="I594" t="s">
        <v>11169</v>
      </c>
      <c r="J594" t="s">
        <v>11170</v>
      </c>
      <c r="K594" t="s">
        <v>74</v>
      </c>
      <c r="L594" t="s">
        <v>74</v>
      </c>
      <c r="M594" t="s">
        <v>78</v>
      </c>
      <c r="N594" t="s">
        <v>79</v>
      </c>
      <c r="O594" t="s">
        <v>74</v>
      </c>
      <c r="P594" t="s">
        <v>74</v>
      </c>
      <c r="Q594" t="s">
        <v>74</v>
      </c>
      <c r="R594" t="s">
        <v>74</v>
      </c>
      <c r="S594" t="s">
        <v>74</v>
      </c>
      <c r="T594" t="s">
        <v>74</v>
      </c>
      <c r="U594" t="s">
        <v>11171</v>
      </c>
      <c r="V594" t="s">
        <v>11172</v>
      </c>
      <c r="W594" t="s">
        <v>11173</v>
      </c>
      <c r="X594" t="s">
        <v>11174</v>
      </c>
      <c r="Y594" t="s">
        <v>11175</v>
      </c>
      <c r="Z594" t="s">
        <v>11176</v>
      </c>
      <c r="AA594" t="s">
        <v>74</v>
      </c>
      <c r="AB594" t="s">
        <v>11177</v>
      </c>
      <c r="AC594" t="s">
        <v>11178</v>
      </c>
      <c r="AD594" t="s">
        <v>11179</v>
      </c>
      <c r="AE594" t="s">
        <v>11180</v>
      </c>
      <c r="AF594" t="s">
        <v>74</v>
      </c>
      <c r="AG594">
        <v>53</v>
      </c>
      <c r="AH594">
        <v>6</v>
      </c>
      <c r="AI594">
        <v>8</v>
      </c>
      <c r="AJ594">
        <v>0</v>
      </c>
      <c r="AK594">
        <v>44</v>
      </c>
      <c r="AL594" t="s">
        <v>5020</v>
      </c>
      <c r="AM594" t="s">
        <v>93</v>
      </c>
      <c r="AN594" t="s">
        <v>5021</v>
      </c>
      <c r="AO594" t="s">
        <v>11181</v>
      </c>
      <c r="AP594" t="s">
        <v>74</v>
      </c>
      <c r="AQ594" t="s">
        <v>74</v>
      </c>
      <c r="AR594" t="s">
        <v>11182</v>
      </c>
      <c r="AS594" t="s">
        <v>11183</v>
      </c>
      <c r="AT594" t="s">
        <v>11184</v>
      </c>
      <c r="AU594">
        <v>2013</v>
      </c>
      <c r="AV594">
        <v>52</v>
      </c>
      <c r="AW594">
        <v>17</v>
      </c>
      <c r="AX594" t="s">
        <v>74</v>
      </c>
      <c r="AY594" t="s">
        <v>74</v>
      </c>
      <c r="AZ594" t="s">
        <v>74</v>
      </c>
      <c r="BA594" t="s">
        <v>74</v>
      </c>
      <c r="BB594">
        <v>2982</v>
      </c>
      <c r="BC594">
        <v>2990</v>
      </c>
      <c r="BD594" t="s">
        <v>74</v>
      </c>
      <c r="BE594" t="s">
        <v>11185</v>
      </c>
      <c r="BF594" t="str">
        <f>HYPERLINK("http://dx.doi.org/10.1021/bi4002387","http://dx.doi.org/10.1021/bi4002387")</f>
        <v>http://dx.doi.org/10.1021/bi4002387</v>
      </c>
      <c r="BG594" t="s">
        <v>74</v>
      </c>
      <c r="BH594" t="s">
        <v>74</v>
      </c>
      <c r="BI594">
        <v>9</v>
      </c>
      <c r="BJ594" t="s">
        <v>11186</v>
      </c>
      <c r="BK594" t="s">
        <v>102</v>
      </c>
      <c r="BL594" t="s">
        <v>11186</v>
      </c>
      <c r="BM594" t="s">
        <v>11187</v>
      </c>
      <c r="BN594">
        <v>23547956</v>
      </c>
      <c r="BO594" t="s">
        <v>74</v>
      </c>
      <c r="BP594" t="s">
        <v>74</v>
      </c>
      <c r="BQ594" t="s">
        <v>74</v>
      </c>
      <c r="BR594" t="s">
        <v>105</v>
      </c>
      <c r="BS594" t="s">
        <v>11188</v>
      </c>
      <c r="BT594" t="str">
        <f>HYPERLINK("https%3A%2F%2Fwww.webofscience.com%2Fwos%2Fwoscc%2Ffull-record%2FWOS:000318333100013","View Full Record in Web of Science")</f>
        <v>View Full Record in Web of Science</v>
      </c>
    </row>
    <row r="595" spans="1:72" x14ac:dyDescent="0.15">
      <c r="A595" t="s">
        <v>72</v>
      </c>
      <c r="B595" t="s">
        <v>11189</v>
      </c>
      <c r="C595" t="s">
        <v>74</v>
      </c>
      <c r="D595" t="s">
        <v>74</v>
      </c>
      <c r="E595" t="s">
        <v>74</v>
      </c>
      <c r="F595" t="s">
        <v>11190</v>
      </c>
      <c r="G595" t="s">
        <v>74</v>
      </c>
      <c r="H595" t="s">
        <v>74</v>
      </c>
      <c r="I595" t="s">
        <v>11191</v>
      </c>
      <c r="J595" t="s">
        <v>2343</v>
      </c>
      <c r="K595" t="s">
        <v>74</v>
      </c>
      <c r="L595" t="s">
        <v>74</v>
      </c>
      <c r="M595" t="s">
        <v>78</v>
      </c>
      <c r="N595" t="s">
        <v>79</v>
      </c>
      <c r="O595" t="s">
        <v>74</v>
      </c>
      <c r="P595" t="s">
        <v>74</v>
      </c>
      <c r="Q595" t="s">
        <v>74</v>
      </c>
      <c r="R595" t="s">
        <v>74</v>
      </c>
      <c r="S595" t="s">
        <v>74</v>
      </c>
      <c r="T595" t="s">
        <v>74</v>
      </c>
      <c r="U595" t="s">
        <v>11192</v>
      </c>
      <c r="V595" t="s">
        <v>11193</v>
      </c>
      <c r="W595" t="s">
        <v>11194</v>
      </c>
      <c r="X595" t="s">
        <v>11195</v>
      </c>
      <c r="Y595" t="s">
        <v>11196</v>
      </c>
      <c r="Z595" t="s">
        <v>11197</v>
      </c>
      <c r="AA595" t="s">
        <v>11198</v>
      </c>
      <c r="AB595" t="s">
        <v>11199</v>
      </c>
      <c r="AC595" t="s">
        <v>11200</v>
      </c>
      <c r="AD595" t="s">
        <v>11201</v>
      </c>
      <c r="AE595" t="s">
        <v>11202</v>
      </c>
      <c r="AF595" t="s">
        <v>74</v>
      </c>
      <c r="AG595">
        <v>56</v>
      </c>
      <c r="AH595">
        <v>106</v>
      </c>
      <c r="AI595">
        <v>117</v>
      </c>
      <c r="AJ595">
        <v>4</v>
      </c>
      <c r="AK595">
        <v>19</v>
      </c>
      <c r="AL595" t="s">
        <v>2355</v>
      </c>
      <c r="AM595" t="s">
        <v>2356</v>
      </c>
      <c r="AN595" t="s">
        <v>2357</v>
      </c>
      <c r="AO595" t="s">
        <v>2358</v>
      </c>
      <c r="AP595" t="s">
        <v>74</v>
      </c>
      <c r="AQ595" t="s">
        <v>74</v>
      </c>
      <c r="AR595" t="s">
        <v>2343</v>
      </c>
      <c r="AS595" t="s">
        <v>2359</v>
      </c>
      <c r="AT595" t="s">
        <v>11184</v>
      </c>
      <c r="AU595">
        <v>2013</v>
      </c>
      <c r="AV595">
        <v>8</v>
      </c>
      <c r="AW595">
        <v>4</v>
      </c>
      <c r="AX595" t="s">
        <v>74</v>
      </c>
      <c r="AY595" t="s">
        <v>74</v>
      </c>
      <c r="AZ595" t="s">
        <v>74</v>
      </c>
      <c r="BA595" t="s">
        <v>74</v>
      </c>
      <c r="BB595" t="s">
        <v>74</v>
      </c>
      <c r="BC595" t="s">
        <v>74</v>
      </c>
      <c r="BD595" t="s">
        <v>11203</v>
      </c>
      <c r="BE595" t="s">
        <v>11204</v>
      </c>
      <c r="BF595" t="str">
        <f>HYPERLINK("http://dx.doi.org/10.1371/journal.pone.0062897","http://dx.doi.org/10.1371/journal.pone.0062897")</f>
        <v>http://dx.doi.org/10.1371/journal.pone.0062897</v>
      </c>
      <c r="BG595" t="s">
        <v>74</v>
      </c>
      <c r="BH595" t="s">
        <v>74</v>
      </c>
      <c r="BI595">
        <v>12</v>
      </c>
      <c r="BJ595" t="s">
        <v>1880</v>
      </c>
      <c r="BK595" t="s">
        <v>102</v>
      </c>
      <c r="BL595" t="s">
        <v>1881</v>
      </c>
      <c r="BM595" t="s">
        <v>11205</v>
      </c>
      <c r="BN595">
        <v>23646155</v>
      </c>
      <c r="BO595" t="s">
        <v>11206</v>
      </c>
      <c r="BP595" t="s">
        <v>74</v>
      </c>
      <c r="BQ595" t="s">
        <v>74</v>
      </c>
      <c r="BR595" t="s">
        <v>105</v>
      </c>
      <c r="BS595" t="s">
        <v>11207</v>
      </c>
      <c r="BT595" t="str">
        <f>HYPERLINK("https%3A%2F%2Fwww.webofscience.com%2Fwos%2Fwoscc%2Ffull-record%2FWOS:000319077300109","View Full Record in Web of Science")</f>
        <v>View Full Record in Web of Science</v>
      </c>
    </row>
    <row r="596" spans="1:72" x14ac:dyDescent="0.15">
      <c r="A596" t="s">
        <v>72</v>
      </c>
      <c r="B596" t="s">
        <v>11208</v>
      </c>
      <c r="C596" t="s">
        <v>74</v>
      </c>
      <c r="D596" t="s">
        <v>74</v>
      </c>
      <c r="E596" t="s">
        <v>74</v>
      </c>
      <c r="F596" t="s">
        <v>11209</v>
      </c>
      <c r="G596" t="s">
        <v>74</v>
      </c>
      <c r="H596" t="s">
        <v>74</v>
      </c>
      <c r="I596" t="s">
        <v>11210</v>
      </c>
      <c r="J596" t="s">
        <v>1957</v>
      </c>
      <c r="K596" t="s">
        <v>74</v>
      </c>
      <c r="L596" t="s">
        <v>74</v>
      </c>
      <c r="M596" t="s">
        <v>78</v>
      </c>
      <c r="N596" t="s">
        <v>79</v>
      </c>
      <c r="O596" t="s">
        <v>74</v>
      </c>
      <c r="P596" t="s">
        <v>74</v>
      </c>
      <c r="Q596" t="s">
        <v>74</v>
      </c>
      <c r="R596" t="s">
        <v>74</v>
      </c>
      <c r="S596" t="s">
        <v>74</v>
      </c>
      <c r="T596" t="s">
        <v>11211</v>
      </c>
      <c r="U596" t="s">
        <v>11212</v>
      </c>
      <c r="V596" t="s">
        <v>11213</v>
      </c>
      <c r="W596" t="s">
        <v>11214</v>
      </c>
      <c r="X596" t="s">
        <v>11215</v>
      </c>
      <c r="Y596" t="s">
        <v>11216</v>
      </c>
      <c r="Z596" t="s">
        <v>11217</v>
      </c>
      <c r="AA596" t="s">
        <v>11218</v>
      </c>
      <c r="AB596" t="s">
        <v>11219</v>
      </c>
      <c r="AC596" t="s">
        <v>11220</v>
      </c>
      <c r="AD596" t="s">
        <v>11221</v>
      </c>
      <c r="AE596" t="s">
        <v>11222</v>
      </c>
      <c r="AF596" t="s">
        <v>74</v>
      </c>
      <c r="AG596">
        <v>25</v>
      </c>
      <c r="AH596">
        <v>13</v>
      </c>
      <c r="AI596">
        <v>13</v>
      </c>
      <c r="AJ596">
        <v>0</v>
      </c>
      <c r="AK596">
        <v>27</v>
      </c>
      <c r="AL596" t="s">
        <v>92</v>
      </c>
      <c r="AM596" t="s">
        <v>93</v>
      </c>
      <c r="AN596" t="s">
        <v>94</v>
      </c>
      <c r="AO596" t="s">
        <v>1970</v>
      </c>
      <c r="AP596" t="s">
        <v>1971</v>
      </c>
      <c r="AQ596" t="s">
        <v>74</v>
      </c>
      <c r="AR596" t="s">
        <v>1972</v>
      </c>
      <c r="AS596" t="s">
        <v>1973</v>
      </c>
      <c r="AT596" t="s">
        <v>11223</v>
      </c>
      <c r="AU596">
        <v>2013</v>
      </c>
      <c r="AV596">
        <v>40</v>
      </c>
      <c r="AW596">
        <v>8</v>
      </c>
      <c r="AX596" t="s">
        <v>74</v>
      </c>
      <c r="AY596" t="s">
        <v>74</v>
      </c>
      <c r="AZ596" t="s">
        <v>74</v>
      </c>
      <c r="BA596" t="s">
        <v>74</v>
      </c>
      <c r="BB596">
        <v>1587</v>
      </c>
      <c r="BC596">
        <v>1593</v>
      </c>
      <c r="BD596" t="s">
        <v>74</v>
      </c>
      <c r="BE596" t="s">
        <v>11224</v>
      </c>
      <c r="BF596" t="str">
        <f>HYPERLINK("http://dx.doi.org/10.1002/grl.50341","http://dx.doi.org/10.1002/grl.50341")</f>
        <v>http://dx.doi.org/10.1002/grl.50341</v>
      </c>
      <c r="BG596" t="s">
        <v>74</v>
      </c>
      <c r="BH596" t="s">
        <v>74</v>
      </c>
      <c r="BI596">
        <v>7</v>
      </c>
      <c r="BJ596" t="s">
        <v>1426</v>
      </c>
      <c r="BK596" t="s">
        <v>102</v>
      </c>
      <c r="BL596" t="s">
        <v>219</v>
      </c>
      <c r="BM596" t="s">
        <v>11225</v>
      </c>
      <c r="BN596" t="s">
        <v>74</v>
      </c>
      <c r="BO596" t="s">
        <v>2011</v>
      </c>
      <c r="BP596" t="s">
        <v>74</v>
      </c>
      <c r="BQ596" t="s">
        <v>74</v>
      </c>
      <c r="BR596" t="s">
        <v>105</v>
      </c>
      <c r="BS596" t="s">
        <v>11226</v>
      </c>
      <c r="BT596" t="str">
        <f>HYPERLINK("https%3A%2F%2Fwww.webofscience.com%2Fwos%2Fwoscc%2Ffull-record%2FWOS:000319217800024","View Full Record in Web of Science")</f>
        <v>View Full Record in Web of Science</v>
      </c>
    </row>
    <row r="597" spans="1:72" x14ac:dyDescent="0.15">
      <c r="A597" t="s">
        <v>72</v>
      </c>
      <c r="B597" t="s">
        <v>11227</v>
      </c>
      <c r="C597" t="s">
        <v>74</v>
      </c>
      <c r="D597" t="s">
        <v>74</v>
      </c>
      <c r="E597" t="s">
        <v>74</v>
      </c>
      <c r="F597" t="s">
        <v>11228</v>
      </c>
      <c r="G597" t="s">
        <v>74</v>
      </c>
      <c r="H597" t="s">
        <v>74</v>
      </c>
      <c r="I597" t="s">
        <v>11229</v>
      </c>
      <c r="J597" t="s">
        <v>1957</v>
      </c>
      <c r="K597" t="s">
        <v>74</v>
      </c>
      <c r="L597" t="s">
        <v>74</v>
      </c>
      <c r="M597" t="s">
        <v>78</v>
      </c>
      <c r="N597" t="s">
        <v>79</v>
      </c>
      <c r="O597" t="s">
        <v>74</v>
      </c>
      <c r="P597" t="s">
        <v>74</v>
      </c>
      <c r="Q597" t="s">
        <v>74</v>
      </c>
      <c r="R597" t="s">
        <v>74</v>
      </c>
      <c r="S597" t="s">
        <v>74</v>
      </c>
      <c r="T597" t="s">
        <v>11230</v>
      </c>
      <c r="U597" t="s">
        <v>11231</v>
      </c>
      <c r="V597" t="s">
        <v>11232</v>
      </c>
      <c r="W597" t="s">
        <v>11233</v>
      </c>
      <c r="X597" t="s">
        <v>11234</v>
      </c>
      <c r="Y597" t="s">
        <v>11235</v>
      </c>
      <c r="Z597" t="s">
        <v>11236</v>
      </c>
      <c r="AA597" t="s">
        <v>11237</v>
      </c>
      <c r="AB597" t="s">
        <v>11238</v>
      </c>
      <c r="AC597" t="s">
        <v>11239</v>
      </c>
      <c r="AD597" t="s">
        <v>11240</v>
      </c>
      <c r="AE597" t="s">
        <v>11241</v>
      </c>
      <c r="AF597" t="s">
        <v>74</v>
      </c>
      <c r="AG597">
        <v>41</v>
      </c>
      <c r="AH597">
        <v>27</v>
      </c>
      <c r="AI597">
        <v>31</v>
      </c>
      <c r="AJ597">
        <v>1</v>
      </c>
      <c r="AK597">
        <v>54</v>
      </c>
      <c r="AL597" t="s">
        <v>92</v>
      </c>
      <c r="AM597" t="s">
        <v>93</v>
      </c>
      <c r="AN597" t="s">
        <v>94</v>
      </c>
      <c r="AO597" t="s">
        <v>1970</v>
      </c>
      <c r="AP597" t="s">
        <v>1971</v>
      </c>
      <c r="AQ597" t="s">
        <v>74</v>
      </c>
      <c r="AR597" t="s">
        <v>1972</v>
      </c>
      <c r="AS597" t="s">
        <v>1973</v>
      </c>
      <c r="AT597" t="s">
        <v>11223</v>
      </c>
      <c r="AU597">
        <v>2013</v>
      </c>
      <c r="AV597">
        <v>40</v>
      </c>
      <c r="AW597">
        <v>8</v>
      </c>
      <c r="AX597" t="s">
        <v>74</v>
      </c>
      <c r="AY597" t="s">
        <v>74</v>
      </c>
      <c r="AZ597" t="s">
        <v>74</v>
      </c>
      <c r="BA597" t="s">
        <v>74</v>
      </c>
      <c r="BB597">
        <v>1618</v>
      </c>
      <c r="BC597">
        <v>1623</v>
      </c>
      <c r="BD597" t="s">
        <v>74</v>
      </c>
      <c r="BE597" t="s">
        <v>11242</v>
      </c>
      <c r="BF597" t="str">
        <f>HYPERLINK("http://dx.doi.org/10.1002/grl.50296","http://dx.doi.org/10.1002/grl.50296")</f>
        <v>http://dx.doi.org/10.1002/grl.50296</v>
      </c>
      <c r="BG597" t="s">
        <v>74</v>
      </c>
      <c r="BH597" t="s">
        <v>74</v>
      </c>
      <c r="BI597">
        <v>6</v>
      </c>
      <c r="BJ597" t="s">
        <v>1426</v>
      </c>
      <c r="BK597" t="s">
        <v>102</v>
      </c>
      <c r="BL597" t="s">
        <v>219</v>
      </c>
      <c r="BM597" t="s">
        <v>11225</v>
      </c>
      <c r="BN597" t="s">
        <v>74</v>
      </c>
      <c r="BO597" t="s">
        <v>2011</v>
      </c>
      <c r="BP597" t="s">
        <v>74</v>
      </c>
      <c r="BQ597" t="s">
        <v>74</v>
      </c>
      <c r="BR597" t="s">
        <v>105</v>
      </c>
      <c r="BS597" t="s">
        <v>11243</v>
      </c>
      <c r="BT597" t="str">
        <f>HYPERLINK("https%3A%2F%2Fwww.webofscience.com%2Fwos%2Fwoscc%2Ffull-record%2FWOS:000319217800029","View Full Record in Web of Science")</f>
        <v>View Full Record in Web of Science</v>
      </c>
    </row>
    <row r="598" spans="1:72" x14ac:dyDescent="0.15">
      <c r="A598" t="s">
        <v>72</v>
      </c>
      <c r="B598" t="s">
        <v>11244</v>
      </c>
      <c r="C598" t="s">
        <v>74</v>
      </c>
      <c r="D598" t="s">
        <v>74</v>
      </c>
      <c r="E598" t="s">
        <v>74</v>
      </c>
      <c r="F598" t="s">
        <v>11245</v>
      </c>
      <c r="G598" t="s">
        <v>74</v>
      </c>
      <c r="H598" t="s">
        <v>74</v>
      </c>
      <c r="I598" t="s">
        <v>11246</v>
      </c>
      <c r="J598" t="s">
        <v>2016</v>
      </c>
      <c r="K598" t="s">
        <v>74</v>
      </c>
      <c r="L598" t="s">
        <v>74</v>
      </c>
      <c r="M598" t="s">
        <v>78</v>
      </c>
      <c r="N598" t="s">
        <v>79</v>
      </c>
      <c r="O598" t="s">
        <v>74</v>
      </c>
      <c r="P598" t="s">
        <v>74</v>
      </c>
      <c r="Q598" t="s">
        <v>74</v>
      </c>
      <c r="R598" t="s">
        <v>74</v>
      </c>
      <c r="S598" t="s">
        <v>74</v>
      </c>
      <c r="T598" t="s">
        <v>74</v>
      </c>
      <c r="U598" t="s">
        <v>11247</v>
      </c>
      <c r="V598" t="s">
        <v>11248</v>
      </c>
      <c r="W598" t="s">
        <v>11249</v>
      </c>
      <c r="X598" t="s">
        <v>11250</v>
      </c>
      <c r="Y598" t="s">
        <v>11251</v>
      </c>
      <c r="Z598" t="s">
        <v>11252</v>
      </c>
      <c r="AA598" t="s">
        <v>11253</v>
      </c>
      <c r="AB598" t="s">
        <v>11254</v>
      </c>
      <c r="AC598" t="s">
        <v>11255</v>
      </c>
      <c r="AD598" t="s">
        <v>11256</v>
      </c>
      <c r="AE598" t="s">
        <v>11257</v>
      </c>
      <c r="AF598" t="s">
        <v>74</v>
      </c>
      <c r="AG598">
        <v>11</v>
      </c>
      <c r="AH598">
        <v>15</v>
      </c>
      <c r="AI598">
        <v>15</v>
      </c>
      <c r="AJ598">
        <v>0</v>
      </c>
      <c r="AK598">
        <v>10</v>
      </c>
      <c r="AL598" t="s">
        <v>92</v>
      </c>
      <c r="AM598" t="s">
        <v>93</v>
      </c>
      <c r="AN598" t="s">
        <v>94</v>
      </c>
      <c r="AO598" t="s">
        <v>2029</v>
      </c>
      <c r="AP598" t="s">
        <v>2030</v>
      </c>
      <c r="AQ598" t="s">
        <v>74</v>
      </c>
      <c r="AR598" t="s">
        <v>2031</v>
      </c>
      <c r="AS598" t="s">
        <v>2032</v>
      </c>
      <c r="AT598" t="s">
        <v>11258</v>
      </c>
      <c r="AU598">
        <v>2013</v>
      </c>
      <c r="AV598">
        <v>118</v>
      </c>
      <c r="AW598">
        <v>8</v>
      </c>
      <c r="AX598" t="s">
        <v>74</v>
      </c>
      <c r="AY598" t="s">
        <v>74</v>
      </c>
      <c r="AZ598" t="s">
        <v>74</v>
      </c>
      <c r="BA598" t="s">
        <v>74</v>
      </c>
      <c r="BB598">
        <v>3213</v>
      </c>
      <c r="BC598">
        <v>3217</v>
      </c>
      <c r="BD598" t="s">
        <v>74</v>
      </c>
      <c r="BE598" t="s">
        <v>11259</v>
      </c>
      <c r="BF598" t="str">
        <f>HYPERLINK("http://dx.doi.org/10.1002/jgrd.50359","http://dx.doi.org/10.1002/jgrd.50359")</f>
        <v>http://dx.doi.org/10.1002/jgrd.50359</v>
      </c>
      <c r="BG598" t="s">
        <v>74</v>
      </c>
      <c r="BH598" t="s">
        <v>74</v>
      </c>
      <c r="BI598">
        <v>5</v>
      </c>
      <c r="BJ598" t="s">
        <v>305</v>
      </c>
      <c r="BK598" t="s">
        <v>102</v>
      </c>
      <c r="BL598" t="s">
        <v>305</v>
      </c>
      <c r="BM598" t="s">
        <v>11260</v>
      </c>
      <c r="BN598" t="s">
        <v>74</v>
      </c>
      <c r="BO598" t="s">
        <v>4146</v>
      </c>
      <c r="BP598" t="s">
        <v>74</v>
      </c>
      <c r="BQ598" t="s">
        <v>74</v>
      </c>
      <c r="BR598" t="s">
        <v>105</v>
      </c>
      <c r="BS598" t="s">
        <v>11261</v>
      </c>
      <c r="BT598" t="str">
        <f>HYPERLINK("https%3A%2F%2Fwww.webofscience.com%2Fwos%2Fwoscc%2Ffull-record%2FWOS:000319744200014","View Full Record in Web of Science")</f>
        <v>View Full Record in Web of Science</v>
      </c>
    </row>
    <row r="599" spans="1:72" x14ac:dyDescent="0.15">
      <c r="A599" t="s">
        <v>72</v>
      </c>
      <c r="B599" t="s">
        <v>11262</v>
      </c>
      <c r="C599" t="s">
        <v>74</v>
      </c>
      <c r="D599" t="s">
        <v>74</v>
      </c>
      <c r="E599" t="s">
        <v>74</v>
      </c>
      <c r="F599" t="s">
        <v>11263</v>
      </c>
      <c r="G599" t="s">
        <v>74</v>
      </c>
      <c r="H599" t="s">
        <v>74</v>
      </c>
      <c r="I599" t="s">
        <v>11264</v>
      </c>
      <c r="J599" t="s">
        <v>2016</v>
      </c>
      <c r="K599" t="s">
        <v>74</v>
      </c>
      <c r="L599" t="s">
        <v>74</v>
      </c>
      <c r="M599" t="s">
        <v>78</v>
      </c>
      <c r="N599" t="s">
        <v>79</v>
      </c>
      <c r="O599" t="s">
        <v>74</v>
      </c>
      <c r="P599" t="s">
        <v>74</v>
      </c>
      <c r="Q599" t="s">
        <v>74</v>
      </c>
      <c r="R599" t="s">
        <v>74</v>
      </c>
      <c r="S599" t="s">
        <v>74</v>
      </c>
      <c r="T599" t="s">
        <v>74</v>
      </c>
      <c r="U599" t="s">
        <v>11265</v>
      </c>
      <c r="V599" t="s">
        <v>11266</v>
      </c>
      <c r="W599" t="s">
        <v>11267</v>
      </c>
      <c r="X599" t="s">
        <v>11268</v>
      </c>
      <c r="Y599" t="s">
        <v>11269</v>
      </c>
      <c r="Z599" t="s">
        <v>11270</v>
      </c>
      <c r="AA599" t="s">
        <v>11271</v>
      </c>
      <c r="AB599" t="s">
        <v>11272</v>
      </c>
      <c r="AC599" t="s">
        <v>11273</v>
      </c>
      <c r="AD599" t="s">
        <v>11274</v>
      </c>
      <c r="AE599" t="s">
        <v>11275</v>
      </c>
      <c r="AF599" t="s">
        <v>74</v>
      </c>
      <c r="AG599">
        <v>31</v>
      </c>
      <c r="AH599">
        <v>61</v>
      </c>
      <c r="AI599">
        <v>63</v>
      </c>
      <c r="AJ599">
        <v>0</v>
      </c>
      <c r="AK599">
        <v>20</v>
      </c>
      <c r="AL599" t="s">
        <v>92</v>
      </c>
      <c r="AM599" t="s">
        <v>93</v>
      </c>
      <c r="AN599" t="s">
        <v>94</v>
      </c>
      <c r="AO599" t="s">
        <v>2029</v>
      </c>
      <c r="AP599" t="s">
        <v>2030</v>
      </c>
      <c r="AQ599" t="s">
        <v>74</v>
      </c>
      <c r="AR599" t="s">
        <v>2031</v>
      </c>
      <c r="AS599" t="s">
        <v>2032</v>
      </c>
      <c r="AT599" t="s">
        <v>11258</v>
      </c>
      <c r="AU599">
        <v>2013</v>
      </c>
      <c r="AV599">
        <v>118</v>
      </c>
      <c r="AW599">
        <v>8</v>
      </c>
      <c r="AX599" t="s">
        <v>74</v>
      </c>
      <c r="AY599" t="s">
        <v>74</v>
      </c>
      <c r="AZ599" t="s">
        <v>74</v>
      </c>
      <c r="BA599" t="s">
        <v>74</v>
      </c>
      <c r="BB599">
        <v>3218</v>
      </c>
      <c r="BC599">
        <v>3232</v>
      </c>
      <c r="BD599" t="s">
        <v>74</v>
      </c>
      <c r="BE599" t="s">
        <v>11276</v>
      </c>
      <c r="BF599" t="str">
        <f>HYPERLINK("http://dx.doi.org/10.1002/jgrd.50128","http://dx.doi.org/10.1002/jgrd.50128")</f>
        <v>http://dx.doi.org/10.1002/jgrd.50128</v>
      </c>
      <c r="BG599" t="s">
        <v>74</v>
      </c>
      <c r="BH599" t="s">
        <v>74</v>
      </c>
      <c r="BI599">
        <v>15</v>
      </c>
      <c r="BJ599" t="s">
        <v>305</v>
      </c>
      <c r="BK599" t="s">
        <v>102</v>
      </c>
      <c r="BL599" t="s">
        <v>305</v>
      </c>
      <c r="BM599" t="s">
        <v>11260</v>
      </c>
      <c r="BN599" t="s">
        <v>74</v>
      </c>
      <c r="BO599" t="s">
        <v>74</v>
      </c>
      <c r="BP599" t="s">
        <v>74</v>
      </c>
      <c r="BQ599" t="s">
        <v>74</v>
      </c>
      <c r="BR599" t="s">
        <v>105</v>
      </c>
      <c r="BS599" t="s">
        <v>11277</v>
      </c>
      <c r="BT599" t="str">
        <f>HYPERLINK("https%3A%2F%2Fwww.webofscience.com%2Fwos%2Fwoscc%2Ffull-record%2FWOS:000319744200015","View Full Record in Web of Science")</f>
        <v>View Full Record in Web of Science</v>
      </c>
    </row>
    <row r="600" spans="1:72" x14ac:dyDescent="0.15">
      <c r="A600" t="s">
        <v>72</v>
      </c>
      <c r="B600" t="s">
        <v>11278</v>
      </c>
      <c r="C600" t="s">
        <v>74</v>
      </c>
      <c r="D600" t="s">
        <v>74</v>
      </c>
      <c r="E600" t="s">
        <v>74</v>
      </c>
      <c r="F600" t="s">
        <v>11279</v>
      </c>
      <c r="G600" t="s">
        <v>74</v>
      </c>
      <c r="H600" t="s">
        <v>74</v>
      </c>
      <c r="I600" t="s">
        <v>11280</v>
      </c>
      <c r="J600" t="s">
        <v>2016</v>
      </c>
      <c r="K600" t="s">
        <v>74</v>
      </c>
      <c r="L600" t="s">
        <v>74</v>
      </c>
      <c r="M600" t="s">
        <v>78</v>
      </c>
      <c r="N600" t="s">
        <v>2614</v>
      </c>
      <c r="O600" t="s">
        <v>74</v>
      </c>
      <c r="P600" t="s">
        <v>74</v>
      </c>
      <c r="Q600" t="s">
        <v>74</v>
      </c>
      <c r="R600" t="s">
        <v>74</v>
      </c>
      <c r="S600" t="s">
        <v>74</v>
      </c>
      <c r="T600" t="s">
        <v>74</v>
      </c>
      <c r="U600" t="s">
        <v>74</v>
      </c>
      <c r="V600" t="s">
        <v>74</v>
      </c>
      <c r="W600" t="s">
        <v>74</v>
      </c>
      <c r="X600" t="s">
        <v>74</v>
      </c>
      <c r="Y600" t="s">
        <v>74</v>
      </c>
      <c r="Z600" t="s">
        <v>74</v>
      </c>
      <c r="AA600" t="s">
        <v>11281</v>
      </c>
      <c r="AB600" t="s">
        <v>74</v>
      </c>
      <c r="AC600" t="s">
        <v>74</v>
      </c>
      <c r="AD600" t="s">
        <v>74</v>
      </c>
      <c r="AE600" t="s">
        <v>74</v>
      </c>
      <c r="AF600" t="s">
        <v>74</v>
      </c>
      <c r="AG600">
        <v>1</v>
      </c>
      <c r="AH600">
        <v>1</v>
      </c>
      <c r="AI600">
        <v>1</v>
      </c>
      <c r="AJ600">
        <v>3</v>
      </c>
      <c r="AK600">
        <v>8</v>
      </c>
      <c r="AL600" t="s">
        <v>92</v>
      </c>
      <c r="AM600" t="s">
        <v>93</v>
      </c>
      <c r="AN600" t="s">
        <v>94</v>
      </c>
      <c r="AO600" t="s">
        <v>2029</v>
      </c>
      <c r="AP600" t="s">
        <v>74</v>
      </c>
      <c r="AQ600" t="s">
        <v>74</v>
      </c>
      <c r="AR600" t="s">
        <v>2031</v>
      </c>
      <c r="AS600" t="s">
        <v>2032</v>
      </c>
      <c r="AT600" t="s">
        <v>11258</v>
      </c>
      <c r="AU600">
        <v>2013</v>
      </c>
      <c r="AV600">
        <v>118</v>
      </c>
      <c r="AW600">
        <v>8</v>
      </c>
      <c r="AX600" t="s">
        <v>74</v>
      </c>
      <c r="AY600" t="s">
        <v>74</v>
      </c>
      <c r="AZ600" t="s">
        <v>74</v>
      </c>
      <c r="BA600" t="s">
        <v>74</v>
      </c>
      <c r="BB600">
        <v>3258</v>
      </c>
      <c r="BC600">
        <v>3258</v>
      </c>
      <c r="BD600" t="s">
        <v>74</v>
      </c>
      <c r="BE600" t="s">
        <v>11282</v>
      </c>
      <c r="BF600" t="str">
        <f>HYPERLINK("http://dx.doi.org/10.1002/jgrd.50333","http://dx.doi.org/10.1002/jgrd.50333")</f>
        <v>http://dx.doi.org/10.1002/jgrd.50333</v>
      </c>
      <c r="BG600" t="s">
        <v>74</v>
      </c>
      <c r="BH600" t="s">
        <v>74</v>
      </c>
      <c r="BI600">
        <v>1</v>
      </c>
      <c r="BJ600" t="s">
        <v>305</v>
      </c>
      <c r="BK600" t="s">
        <v>102</v>
      </c>
      <c r="BL600" t="s">
        <v>305</v>
      </c>
      <c r="BM600" t="s">
        <v>11260</v>
      </c>
      <c r="BN600" t="s">
        <v>74</v>
      </c>
      <c r="BO600" t="s">
        <v>74</v>
      </c>
      <c r="BP600" t="s">
        <v>74</v>
      </c>
      <c r="BQ600" t="s">
        <v>74</v>
      </c>
      <c r="BR600" t="s">
        <v>105</v>
      </c>
      <c r="BS600" t="s">
        <v>11283</v>
      </c>
      <c r="BT600" t="str">
        <f>HYPERLINK("https%3A%2F%2Fwww.webofscience.com%2Fwos%2Fwoscc%2Ffull-record%2FWOS:000319744200018","View Full Record in Web of Science")</f>
        <v>View Full Record in Web of Science</v>
      </c>
    </row>
    <row r="601" spans="1:72" x14ac:dyDescent="0.15">
      <c r="A601" t="s">
        <v>72</v>
      </c>
      <c r="B601" t="s">
        <v>11284</v>
      </c>
      <c r="C601" t="s">
        <v>74</v>
      </c>
      <c r="D601" t="s">
        <v>74</v>
      </c>
      <c r="E601" t="s">
        <v>74</v>
      </c>
      <c r="F601" t="s">
        <v>11285</v>
      </c>
      <c r="G601" t="s">
        <v>74</v>
      </c>
      <c r="H601" t="s">
        <v>74</v>
      </c>
      <c r="I601" t="s">
        <v>11286</v>
      </c>
      <c r="J601" t="s">
        <v>5322</v>
      </c>
      <c r="K601" t="s">
        <v>74</v>
      </c>
      <c r="L601" t="s">
        <v>74</v>
      </c>
      <c r="M601" t="s">
        <v>78</v>
      </c>
      <c r="N601" t="s">
        <v>254</v>
      </c>
      <c r="O601" t="s">
        <v>74</v>
      </c>
      <c r="P601" t="s">
        <v>74</v>
      </c>
      <c r="Q601" t="s">
        <v>74</v>
      </c>
      <c r="R601" t="s">
        <v>74</v>
      </c>
      <c r="S601" t="s">
        <v>74</v>
      </c>
      <c r="T601" t="s">
        <v>74</v>
      </c>
      <c r="U601" t="s">
        <v>74</v>
      </c>
      <c r="V601" t="s">
        <v>74</v>
      </c>
      <c r="W601" t="s">
        <v>74</v>
      </c>
      <c r="X601" t="s">
        <v>74</v>
      </c>
      <c r="Y601" t="s">
        <v>74</v>
      </c>
      <c r="Z601" t="s">
        <v>74</v>
      </c>
      <c r="AA601" t="s">
        <v>74</v>
      </c>
      <c r="AB601" t="s">
        <v>74</v>
      </c>
      <c r="AC601" t="s">
        <v>74</v>
      </c>
      <c r="AD601" t="s">
        <v>74</v>
      </c>
      <c r="AE601" t="s">
        <v>74</v>
      </c>
      <c r="AF601" t="s">
        <v>74</v>
      </c>
      <c r="AG601">
        <v>0</v>
      </c>
      <c r="AH601">
        <v>0</v>
      </c>
      <c r="AI601">
        <v>0</v>
      </c>
      <c r="AJ601">
        <v>0</v>
      </c>
      <c r="AK601">
        <v>18</v>
      </c>
      <c r="AL601" t="s">
        <v>5325</v>
      </c>
      <c r="AM601" t="s">
        <v>5326</v>
      </c>
      <c r="AN601" t="s">
        <v>5327</v>
      </c>
      <c r="AO601" t="s">
        <v>5328</v>
      </c>
      <c r="AP601" t="s">
        <v>74</v>
      </c>
      <c r="AQ601" t="s">
        <v>74</v>
      </c>
      <c r="AR601" t="s">
        <v>5329</v>
      </c>
      <c r="AS601" t="s">
        <v>5330</v>
      </c>
      <c r="AT601" t="s">
        <v>11258</v>
      </c>
      <c r="AU601">
        <v>2013</v>
      </c>
      <c r="AV601">
        <v>218</v>
      </c>
      <c r="AW601">
        <v>2914</v>
      </c>
      <c r="AX601" t="s">
        <v>74</v>
      </c>
      <c r="AY601" t="s">
        <v>74</v>
      </c>
      <c r="AZ601" t="s">
        <v>74</v>
      </c>
      <c r="BA601" t="s">
        <v>74</v>
      </c>
      <c r="BB601">
        <v>15</v>
      </c>
      <c r="BC601">
        <v>15</v>
      </c>
      <c r="BD601" t="s">
        <v>74</v>
      </c>
      <c r="BE601" t="s">
        <v>11287</v>
      </c>
      <c r="BF601" t="str">
        <f>HYPERLINK("http://dx.doi.org/10.1016/S0262-4079(13)61036-2","http://dx.doi.org/10.1016/S0262-4079(13)61036-2")</f>
        <v>http://dx.doi.org/10.1016/S0262-4079(13)61036-2</v>
      </c>
      <c r="BG601" t="s">
        <v>74</v>
      </c>
      <c r="BH601" t="s">
        <v>74</v>
      </c>
      <c r="BI601">
        <v>1</v>
      </c>
      <c r="BJ601" t="s">
        <v>1880</v>
      </c>
      <c r="BK601" t="s">
        <v>102</v>
      </c>
      <c r="BL601" t="s">
        <v>1881</v>
      </c>
      <c r="BM601" t="s">
        <v>11288</v>
      </c>
      <c r="BN601" t="s">
        <v>74</v>
      </c>
      <c r="BO601" t="s">
        <v>74</v>
      </c>
      <c r="BP601" t="s">
        <v>74</v>
      </c>
      <c r="BQ601" t="s">
        <v>74</v>
      </c>
      <c r="BR601" t="s">
        <v>105</v>
      </c>
      <c r="BS601" t="s">
        <v>11289</v>
      </c>
      <c r="BT601" t="str">
        <f>HYPERLINK("https%3A%2F%2Fwww.webofscience.com%2Fwos%2Fwoscc%2Ffull-record%2FWOS:000318395500010","View Full Record in Web of Science")</f>
        <v>View Full Record in Web of Science</v>
      </c>
    </row>
    <row r="602" spans="1:72" x14ac:dyDescent="0.15">
      <c r="A602" t="s">
        <v>72</v>
      </c>
      <c r="B602" t="s">
        <v>11290</v>
      </c>
      <c r="C602" t="s">
        <v>74</v>
      </c>
      <c r="D602" t="s">
        <v>74</v>
      </c>
      <c r="E602" t="s">
        <v>74</v>
      </c>
      <c r="F602" t="s">
        <v>11291</v>
      </c>
      <c r="G602" t="s">
        <v>74</v>
      </c>
      <c r="H602" t="s">
        <v>74</v>
      </c>
      <c r="I602" t="s">
        <v>11292</v>
      </c>
      <c r="J602" t="s">
        <v>8537</v>
      </c>
      <c r="K602" t="s">
        <v>74</v>
      </c>
      <c r="L602" t="s">
        <v>74</v>
      </c>
      <c r="M602" t="s">
        <v>78</v>
      </c>
      <c r="N602" t="s">
        <v>79</v>
      </c>
      <c r="O602" t="s">
        <v>74</v>
      </c>
      <c r="P602" t="s">
        <v>74</v>
      </c>
      <c r="Q602" t="s">
        <v>74</v>
      </c>
      <c r="R602" t="s">
        <v>74</v>
      </c>
      <c r="S602" t="s">
        <v>74</v>
      </c>
      <c r="T602" t="s">
        <v>11293</v>
      </c>
      <c r="U602" t="s">
        <v>11294</v>
      </c>
      <c r="V602" t="s">
        <v>11295</v>
      </c>
      <c r="W602" t="s">
        <v>11296</v>
      </c>
      <c r="X602" t="s">
        <v>11297</v>
      </c>
      <c r="Y602" t="s">
        <v>11298</v>
      </c>
      <c r="Z602" t="s">
        <v>11299</v>
      </c>
      <c r="AA602" t="s">
        <v>10205</v>
      </c>
      <c r="AB602" t="s">
        <v>74</v>
      </c>
      <c r="AC602" t="s">
        <v>11300</v>
      </c>
      <c r="AD602" t="s">
        <v>11300</v>
      </c>
      <c r="AE602" t="s">
        <v>11301</v>
      </c>
      <c r="AF602" t="s">
        <v>74</v>
      </c>
      <c r="AG602">
        <v>14</v>
      </c>
      <c r="AH602">
        <v>4</v>
      </c>
      <c r="AI602">
        <v>5</v>
      </c>
      <c r="AJ602">
        <v>0</v>
      </c>
      <c r="AK602">
        <v>16</v>
      </c>
      <c r="AL602" t="s">
        <v>8548</v>
      </c>
      <c r="AM602" t="s">
        <v>8549</v>
      </c>
      <c r="AN602" t="s">
        <v>8550</v>
      </c>
      <c r="AO602" t="s">
        <v>8551</v>
      </c>
      <c r="AP602" t="s">
        <v>74</v>
      </c>
      <c r="AQ602" t="s">
        <v>74</v>
      </c>
      <c r="AR602" t="s">
        <v>8552</v>
      </c>
      <c r="AS602" t="s">
        <v>8553</v>
      </c>
      <c r="AT602" t="s">
        <v>11302</v>
      </c>
      <c r="AU602">
        <v>2013</v>
      </c>
      <c r="AV602">
        <v>104</v>
      </c>
      <c r="AW602">
        <v>8</v>
      </c>
      <c r="AX602" t="s">
        <v>74</v>
      </c>
      <c r="AY602" t="s">
        <v>74</v>
      </c>
      <c r="AZ602" t="s">
        <v>74</v>
      </c>
      <c r="BA602" t="s">
        <v>74</v>
      </c>
      <c r="BB602">
        <v>1078</v>
      </c>
      <c r="BC602">
        <v>1080</v>
      </c>
      <c r="BD602" t="s">
        <v>74</v>
      </c>
      <c r="BE602" t="s">
        <v>74</v>
      </c>
      <c r="BF602" t="s">
        <v>74</v>
      </c>
      <c r="BG602" t="s">
        <v>74</v>
      </c>
      <c r="BH602" t="s">
        <v>74</v>
      </c>
      <c r="BI602">
        <v>3</v>
      </c>
      <c r="BJ602" t="s">
        <v>1880</v>
      </c>
      <c r="BK602" t="s">
        <v>102</v>
      </c>
      <c r="BL602" t="s">
        <v>1881</v>
      </c>
      <c r="BM602" t="s">
        <v>11303</v>
      </c>
      <c r="BN602" t="s">
        <v>74</v>
      </c>
      <c r="BO602" t="s">
        <v>74</v>
      </c>
      <c r="BP602" t="s">
        <v>74</v>
      </c>
      <c r="BQ602" t="s">
        <v>74</v>
      </c>
      <c r="BR602" t="s">
        <v>105</v>
      </c>
      <c r="BS602" t="s">
        <v>11304</v>
      </c>
      <c r="BT602" t="str">
        <f>HYPERLINK("https%3A%2F%2Fwww.webofscience.com%2Fwos%2Fwoscc%2Ffull-record%2FWOS:000318580200027","View Full Record in Web of Science")</f>
        <v>View Full Record in Web of Science</v>
      </c>
    </row>
    <row r="603" spans="1:72" x14ac:dyDescent="0.15">
      <c r="A603" t="s">
        <v>72</v>
      </c>
      <c r="B603" t="s">
        <v>11305</v>
      </c>
      <c r="C603" t="s">
        <v>74</v>
      </c>
      <c r="D603" t="s">
        <v>74</v>
      </c>
      <c r="E603" t="s">
        <v>74</v>
      </c>
      <c r="F603" t="s">
        <v>11306</v>
      </c>
      <c r="G603" t="s">
        <v>74</v>
      </c>
      <c r="H603" t="s">
        <v>74</v>
      </c>
      <c r="I603" t="s">
        <v>11307</v>
      </c>
      <c r="J603" t="s">
        <v>11308</v>
      </c>
      <c r="K603" t="s">
        <v>74</v>
      </c>
      <c r="L603" t="s">
        <v>74</v>
      </c>
      <c r="M603" t="s">
        <v>78</v>
      </c>
      <c r="N603" t="s">
        <v>79</v>
      </c>
      <c r="O603" t="s">
        <v>74</v>
      </c>
      <c r="P603" t="s">
        <v>74</v>
      </c>
      <c r="Q603" t="s">
        <v>74</v>
      </c>
      <c r="R603" t="s">
        <v>74</v>
      </c>
      <c r="S603" t="s">
        <v>74</v>
      </c>
      <c r="T603" t="s">
        <v>11309</v>
      </c>
      <c r="U603" t="s">
        <v>11310</v>
      </c>
      <c r="V603" t="s">
        <v>11311</v>
      </c>
      <c r="W603" t="s">
        <v>11312</v>
      </c>
      <c r="X603" t="s">
        <v>6846</v>
      </c>
      <c r="Y603" t="s">
        <v>11313</v>
      </c>
      <c r="Z603" t="s">
        <v>11314</v>
      </c>
      <c r="AA603" t="s">
        <v>11315</v>
      </c>
      <c r="AB603" t="s">
        <v>11316</v>
      </c>
      <c r="AC603" t="s">
        <v>74</v>
      </c>
      <c r="AD603" t="s">
        <v>74</v>
      </c>
      <c r="AE603" t="s">
        <v>74</v>
      </c>
      <c r="AF603" t="s">
        <v>74</v>
      </c>
      <c r="AG603">
        <v>70</v>
      </c>
      <c r="AH603">
        <v>41</v>
      </c>
      <c r="AI603">
        <v>44</v>
      </c>
      <c r="AJ603">
        <v>1</v>
      </c>
      <c r="AK603">
        <v>60</v>
      </c>
      <c r="AL603" t="s">
        <v>11317</v>
      </c>
      <c r="AM603" t="s">
        <v>11318</v>
      </c>
      <c r="AN603" t="s">
        <v>11319</v>
      </c>
      <c r="AO603" t="s">
        <v>11320</v>
      </c>
      <c r="AP603" t="s">
        <v>74</v>
      </c>
      <c r="AQ603" t="s">
        <v>74</v>
      </c>
      <c r="AR603" t="s">
        <v>11321</v>
      </c>
      <c r="AS603" t="s">
        <v>11322</v>
      </c>
      <c r="AT603" t="s">
        <v>11323</v>
      </c>
      <c r="AU603">
        <v>2013</v>
      </c>
      <c r="AV603">
        <v>7</v>
      </c>
      <c r="AW603" t="s">
        <v>74</v>
      </c>
      <c r="AX603" t="s">
        <v>74</v>
      </c>
      <c r="AY603" t="s">
        <v>74</v>
      </c>
      <c r="AZ603" t="s">
        <v>74</v>
      </c>
      <c r="BA603" t="s">
        <v>74</v>
      </c>
      <c r="BB603" t="s">
        <v>74</v>
      </c>
      <c r="BC603" t="s">
        <v>74</v>
      </c>
      <c r="BD603">
        <v>73573</v>
      </c>
      <c r="BE603" t="s">
        <v>11324</v>
      </c>
      <c r="BF603" t="str">
        <f>HYPERLINK("http://dx.doi.org/10.1117/1.JRS.7.073573","http://dx.doi.org/10.1117/1.JRS.7.073573")</f>
        <v>http://dx.doi.org/10.1117/1.JRS.7.073573</v>
      </c>
      <c r="BG603" t="s">
        <v>74</v>
      </c>
      <c r="BH603" t="s">
        <v>74</v>
      </c>
      <c r="BI603">
        <v>21</v>
      </c>
      <c r="BJ603" t="s">
        <v>8940</v>
      </c>
      <c r="BK603" t="s">
        <v>102</v>
      </c>
      <c r="BL603" t="s">
        <v>8941</v>
      </c>
      <c r="BM603" t="s">
        <v>11325</v>
      </c>
      <c r="BN603" t="s">
        <v>74</v>
      </c>
      <c r="BO603" t="s">
        <v>74</v>
      </c>
      <c r="BP603" t="s">
        <v>74</v>
      </c>
      <c r="BQ603" t="s">
        <v>74</v>
      </c>
      <c r="BR603" t="s">
        <v>105</v>
      </c>
      <c r="BS603" t="s">
        <v>11326</v>
      </c>
      <c r="BT603" t="str">
        <f>HYPERLINK("https%3A%2F%2Fwww.webofscience.com%2Fwos%2Fwoscc%2Ffull-record%2FWOS:000318144900001","View Full Record in Web of Science")</f>
        <v>View Full Record in Web of Science</v>
      </c>
    </row>
    <row r="604" spans="1:72" x14ac:dyDescent="0.15">
      <c r="A604" t="s">
        <v>72</v>
      </c>
      <c r="B604" t="s">
        <v>11327</v>
      </c>
      <c r="C604" t="s">
        <v>74</v>
      </c>
      <c r="D604" t="s">
        <v>74</v>
      </c>
      <c r="E604" t="s">
        <v>74</v>
      </c>
      <c r="F604" t="s">
        <v>11328</v>
      </c>
      <c r="G604" t="s">
        <v>74</v>
      </c>
      <c r="H604" t="s">
        <v>74</v>
      </c>
      <c r="I604" t="s">
        <v>11329</v>
      </c>
      <c r="J604" t="s">
        <v>5035</v>
      </c>
      <c r="K604" t="s">
        <v>74</v>
      </c>
      <c r="L604" t="s">
        <v>74</v>
      </c>
      <c r="M604" t="s">
        <v>78</v>
      </c>
      <c r="N604" t="s">
        <v>79</v>
      </c>
      <c r="O604" t="s">
        <v>74</v>
      </c>
      <c r="P604" t="s">
        <v>74</v>
      </c>
      <c r="Q604" t="s">
        <v>74</v>
      </c>
      <c r="R604" t="s">
        <v>74</v>
      </c>
      <c r="S604" t="s">
        <v>74</v>
      </c>
      <c r="T604" t="s">
        <v>11330</v>
      </c>
      <c r="U604" t="s">
        <v>11331</v>
      </c>
      <c r="V604" t="s">
        <v>11332</v>
      </c>
      <c r="W604" t="s">
        <v>11333</v>
      </c>
      <c r="X604" t="s">
        <v>7737</v>
      </c>
      <c r="Y604" t="s">
        <v>11334</v>
      </c>
      <c r="Z604" t="s">
        <v>11335</v>
      </c>
      <c r="AA604" t="s">
        <v>11336</v>
      </c>
      <c r="AB604" t="s">
        <v>11337</v>
      </c>
      <c r="AC604" t="s">
        <v>11338</v>
      </c>
      <c r="AD604" t="s">
        <v>11339</v>
      </c>
      <c r="AE604" t="s">
        <v>11340</v>
      </c>
      <c r="AF604" t="s">
        <v>74</v>
      </c>
      <c r="AG604">
        <v>13</v>
      </c>
      <c r="AH604">
        <v>11</v>
      </c>
      <c r="AI604">
        <v>11</v>
      </c>
      <c r="AJ604">
        <v>1</v>
      </c>
      <c r="AK604">
        <v>11</v>
      </c>
      <c r="AL604" t="s">
        <v>2741</v>
      </c>
      <c r="AM604" t="s">
        <v>643</v>
      </c>
      <c r="AN604" t="s">
        <v>2742</v>
      </c>
      <c r="AO604" t="s">
        <v>5045</v>
      </c>
      <c r="AP604" t="s">
        <v>5046</v>
      </c>
      <c r="AQ604" t="s">
        <v>74</v>
      </c>
      <c r="AR604" t="s">
        <v>5047</v>
      </c>
      <c r="AS604" t="s">
        <v>5048</v>
      </c>
      <c r="AT604" t="s">
        <v>11341</v>
      </c>
      <c r="AU604">
        <v>2013</v>
      </c>
      <c r="AV604">
        <v>9</v>
      </c>
      <c r="AW604">
        <v>2</v>
      </c>
      <c r="AX604" t="s">
        <v>74</v>
      </c>
      <c r="AY604" t="s">
        <v>74</v>
      </c>
      <c r="AZ604" t="s">
        <v>74</v>
      </c>
      <c r="BA604" t="s">
        <v>74</v>
      </c>
      <c r="BB604" t="s">
        <v>74</v>
      </c>
      <c r="BC604" t="s">
        <v>74</v>
      </c>
      <c r="BD604">
        <v>20121123</v>
      </c>
      <c r="BE604" t="s">
        <v>11342</v>
      </c>
      <c r="BF604" t="str">
        <f>HYPERLINK("http://dx.doi.org/10.1098/rsbl.2012.1123","http://dx.doi.org/10.1098/rsbl.2012.1123")</f>
        <v>http://dx.doi.org/10.1098/rsbl.2012.1123</v>
      </c>
      <c r="BG604" t="s">
        <v>74</v>
      </c>
      <c r="BH604" t="s">
        <v>74</v>
      </c>
      <c r="BI604">
        <v>5</v>
      </c>
      <c r="BJ604" t="s">
        <v>5051</v>
      </c>
      <c r="BK604" t="s">
        <v>102</v>
      </c>
      <c r="BL604" t="s">
        <v>5052</v>
      </c>
      <c r="BM604" t="s">
        <v>11343</v>
      </c>
      <c r="BN604">
        <v>23389667</v>
      </c>
      <c r="BO604" t="s">
        <v>1589</v>
      </c>
      <c r="BP604" t="s">
        <v>74</v>
      </c>
      <c r="BQ604" t="s">
        <v>74</v>
      </c>
      <c r="BR604" t="s">
        <v>105</v>
      </c>
      <c r="BS604" t="s">
        <v>11344</v>
      </c>
      <c r="BT604" t="str">
        <f>HYPERLINK("https%3A%2F%2Fwww.webofscience.com%2Fwos%2Fwoscc%2Ffull-record%2FWOS:000331305400009","View Full Record in Web of Science")</f>
        <v>View Full Record in Web of Science</v>
      </c>
    </row>
    <row r="605" spans="1:72" x14ac:dyDescent="0.15">
      <c r="A605" t="s">
        <v>72</v>
      </c>
      <c r="B605" t="s">
        <v>11345</v>
      </c>
      <c r="C605" t="s">
        <v>74</v>
      </c>
      <c r="D605" t="s">
        <v>74</v>
      </c>
      <c r="E605" t="s">
        <v>74</v>
      </c>
      <c r="F605" t="s">
        <v>11346</v>
      </c>
      <c r="G605" t="s">
        <v>74</v>
      </c>
      <c r="H605" t="s">
        <v>74</v>
      </c>
      <c r="I605" t="s">
        <v>11347</v>
      </c>
      <c r="J605" t="s">
        <v>11348</v>
      </c>
      <c r="K605" t="s">
        <v>74</v>
      </c>
      <c r="L605" t="s">
        <v>74</v>
      </c>
      <c r="M605" t="s">
        <v>78</v>
      </c>
      <c r="N605" t="s">
        <v>79</v>
      </c>
      <c r="O605" t="s">
        <v>74</v>
      </c>
      <c r="P605" t="s">
        <v>74</v>
      </c>
      <c r="Q605" t="s">
        <v>74</v>
      </c>
      <c r="R605" t="s">
        <v>74</v>
      </c>
      <c r="S605" t="s">
        <v>74</v>
      </c>
      <c r="T605" t="s">
        <v>11349</v>
      </c>
      <c r="U605" t="s">
        <v>11350</v>
      </c>
      <c r="V605" t="s">
        <v>11351</v>
      </c>
      <c r="W605" t="s">
        <v>11352</v>
      </c>
      <c r="X605" t="s">
        <v>11353</v>
      </c>
      <c r="Y605" t="s">
        <v>11354</v>
      </c>
      <c r="Z605" t="s">
        <v>11355</v>
      </c>
      <c r="AA605" t="s">
        <v>11356</v>
      </c>
      <c r="AB605" t="s">
        <v>11357</v>
      </c>
      <c r="AC605" t="s">
        <v>11358</v>
      </c>
      <c r="AD605" t="s">
        <v>11359</v>
      </c>
      <c r="AE605" t="s">
        <v>11360</v>
      </c>
      <c r="AF605" t="s">
        <v>74</v>
      </c>
      <c r="AG605">
        <v>59</v>
      </c>
      <c r="AH605">
        <v>20</v>
      </c>
      <c r="AI605">
        <v>22</v>
      </c>
      <c r="AJ605">
        <v>0</v>
      </c>
      <c r="AK605">
        <v>55</v>
      </c>
      <c r="AL605" t="s">
        <v>11361</v>
      </c>
      <c r="AM605" t="s">
        <v>2789</v>
      </c>
      <c r="AN605" t="s">
        <v>11362</v>
      </c>
      <c r="AO605" t="s">
        <v>11363</v>
      </c>
      <c r="AP605" t="s">
        <v>74</v>
      </c>
      <c r="AQ605" t="s">
        <v>74</v>
      </c>
      <c r="AR605" t="s">
        <v>11364</v>
      </c>
      <c r="AS605" t="s">
        <v>11365</v>
      </c>
      <c r="AT605" t="s">
        <v>11341</v>
      </c>
      <c r="AU605">
        <v>2013</v>
      </c>
      <c r="AV605">
        <v>4</v>
      </c>
      <c r="AW605" t="s">
        <v>74</v>
      </c>
      <c r="AX605" t="s">
        <v>74</v>
      </c>
      <c r="AY605" t="s">
        <v>74</v>
      </c>
      <c r="AZ605" t="s">
        <v>74</v>
      </c>
      <c r="BA605" t="s">
        <v>74</v>
      </c>
      <c r="BB605" t="s">
        <v>74</v>
      </c>
      <c r="BC605" t="s">
        <v>74</v>
      </c>
      <c r="BD605">
        <v>97</v>
      </c>
      <c r="BE605" t="s">
        <v>11366</v>
      </c>
      <c r="BF605" t="str">
        <f>HYPERLINK("http://dx.doi.org/10.3389/fmicb.2013.00097","http://dx.doi.org/10.3389/fmicb.2013.00097")</f>
        <v>http://dx.doi.org/10.3389/fmicb.2013.00097</v>
      </c>
      <c r="BG605" t="s">
        <v>74</v>
      </c>
      <c r="BH605" t="s">
        <v>74</v>
      </c>
      <c r="BI605">
        <v>12</v>
      </c>
      <c r="BJ605" t="s">
        <v>3107</v>
      </c>
      <c r="BK605" t="s">
        <v>102</v>
      </c>
      <c r="BL605" t="s">
        <v>3107</v>
      </c>
      <c r="BM605" t="s">
        <v>11367</v>
      </c>
      <c r="BN605">
        <v>23630521</v>
      </c>
      <c r="BO605" t="s">
        <v>5130</v>
      </c>
      <c r="BP605" t="s">
        <v>74</v>
      </c>
      <c r="BQ605" t="s">
        <v>74</v>
      </c>
      <c r="BR605" t="s">
        <v>105</v>
      </c>
      <c r="BS605" t="s">
        <v>11368</v>
      </c>
      <c r="BT605" t="str">
        <f>HYPERLINK("https%3A%2F%2Fwww.webofscience.com%2Fwos%2Fwoscc%2Ffull-record%2FWOS:000331053600001","View Full Record in Web of Science")</f>
        <v>View Full Record in Web of Science</v>
      </c>
    </row>
    <row r="606" spans="1:72" x14ac:dyDescent="0.15">
      <c r="A606" t="s">
        <v>72</v>
      </c>
      <c r="B606" t="s">
        <v>11369</v>
      </c>
      <c r="C606" t="s">
        <v>74</v>
      </c>
      <c r="D606" t="s">
        <v>74</v>
      </c>
      <c r="E606" t="s">
        <v>74</v>
      </c>
      <c r="F606" t="s">
        <v>11370</v>
      </c>
      <c r="G606" t="s">
        <v>74</v>
      </c>
      <c r="H606" t="s">
        <v>74</v>
      </c>
      <c r="I606" t="s">
        <v>11371</v>
      </c>
      <c r="J606" t="s">
        <v>2253</v>
      </c>
      <c r="K606" t="s">
        <v>74</v>
      </c>
      <c r="L606" t="s">
        <v>74</v>
      </c>
      <c r="M606" t="s">
        <v>78</v>
      </c>
      <c r="N606" t="s">
        <v>79</v>
      </c>
      <c r="O606" t="s">
        <v>74</v>
      </c>
      <c r="P606" t="s">
        <v>74</v>
      </c>
      <c r="Q606" t="s">
        <v>74</v>
      </c>
      <c r="R606" t="s">
        <v>74</v>
      </c>
      <c r="S606" t="s">
        <v>74</v>
      </c>
      <c r="T606" t="s">
        <v>11372</v>
      </c>
      <c r="U606" t="s">
        <v>11373</v>
      </c>
      <c r="V606" t="s">
        <v>11374</v>
      </c>
      <c r="W606" t="s">
        <v>11375</v>
      </c>
      <c r="X606" t="s">
        <v>11376</v>
      </c>
      <c r="Y606" t="s">
        <v>11377</v>
      </c>
      <c r="Z606" t="s">
        <v>11378</v>
      </c>
      <c r="AA606" t="s">
        <v>11379</v>
      </c>
      <c r="AB606" t="s">
        <v>11380</v>
      </c>
      <c r="AC606" t="s">
        <v>11381</v>
      </c>
      <c r="AD606" t="s">
        <v>11382</v>
      </c>
      <c r="AE606" t="s">
        <v>11383</v>
      </c>
      <c r="AF606" t="s">
        <v>74</v>
      </c>
      <c r="AG606">
        <v>47</v>
      </c>
      <c r="AH606">
        <v>21</v>
      </c>
      <c r="AI606">
        <v>24</v>
      </c>
      <c r="AJ606">
        <v>1</v>
      </c>
      <c r="AK606">
        <v>37</v>
      </c>
      <c r="AL606" t="s">
        <v>2266</v>
      </c>
      <c r="AM606" t="s">
        <v>93</v>
      </c>
      <c r="AN606" t="s">
        <v>2267</v>
      </c>
      <c r="AO606" t="s">
        <v>2268</v>
      </c>
      <c r="AP606" t="s">
        <v>74</v>
      </c>
      <c r="AQ606" t="s">
        <v>74</v>
      </c>
      <c r="AR606" t="s">
        <v>2269</v>
      </c>
      <c r="AS606" t="s">
        <v>2270</v>
      </c>
      <c r="AT606" t="s">
        <v>11341</v>
      </c>
      <c r="AU606">
        <v>2013</v>
      </c>
      <c r="AV606">
        <v>110</v>
      </c>
      <c r="AW606">
        <v>17</v>
      </c>
      <c r="AX606" t="s">
        <v>74</v>
      </c>
      <c r="AY606" t="s">
        <v>74</v>
      </c>
      <c r="AZ606" t="s">
        <v>74</v>
      </c>
      <c r="BA606" t="s">
        <v>74</v>
      </c>
      <c r="BB606">
        <v>7068</v>
      </c>
      <c r="BC606">
        <v>7073</v>
      </c>
      <c r="BD606" t="s">
        <v>74</v>
      </c>
      <c r="BE606" t="s">
        <v>11384</v>
      </c>
      <c r="BF606" t="str">
        <f>HYPERLINK("http://dx.doi.org/10.1073/pnas.1220417110","http://dx.doi.org/10.1073/pnas.1220417110")</f>
        <v>http://dx.doi.org/10.1073/pnas.1220417110</v>
      </c>
      <c r="BG606" t="s">
        <v>74</v>
      </c>
      <c r="BH606" t="s">
        <v>74</v>
      </c>
      <c r="BI606">
        <v>6</v>
      </c>
      <c r="BJ606" t="s">
        <v>1880</v>
      </c>
      <c r="BK606" t="s">
        <v>102</v>
      </c>
      <c r="BL606" t="s">
        <v>1881</v>
      </c>
      <c r="BM606" t="s">
        <v>11385</v>
      </c>
      <c r="BN606">
        <v>23569229</v>
      </c>
      <c r="BO606" t="s">
        <v>2011</v>
      </c>
      <c r="BP606" t="s">
        <v>74</v>
      </c>
      <c r="BQ606" t="s">
        <v>74</v>
      </c>
      <c r="BR606" t="s">
        <v>105</v>
      </c>
      <c r="BS606" t="s">
        <v>11386</v>
      </c>
      <c r="BT606" t="str">
        <f>HYPERLINK("https%3A%2F%2Fwww.webofscience.com%2Fwos%2Fwoscc%2Ffull-record%2FWOS:000318677300095","View Full Record in Web of Science")</f>
        <v>View Full Record in Web of Science</v>
      </c>
    </row>
    <row r="607" spans="1:72" x14ac:dyDescent="0.15">
      <c r="A607" t="s">
        <v>72</v>
      </c>
      <c r="B607" t="s">
        <v>11387</v>
      </c>
      <c r="C607" t="s">
        <v>74</v>
      </c>
      <c r="D607" t="s">
        <v>74</v>
      </c>
      <c r="E607" t="s">
        <v>74</v>
      </c>
      <c r="F607" t="s">
        <v>11388</v>
      </c>
      <c r="G607" t="s">
        <v>74</v>
      </c>
      <c r="H607" t="s">
        <v>74</v>
      </c>
      <c r="I607" t="s">
        <v>11389</v>
      </c>
      <c r="J607" t="s">
        <v>11390</v>
      </c>
      <c r="K607" t="s">
        <v>74</v>
      </c>
      <c r="L607" t="s">
        <v>74</v>
      </c>
      <c r="M607" t="s">
        <v>78</v>
      </c>
      <c r="N607" t="s">
        <v>79</v>
      </c>
      <c r="O607" t="s">
        <v>74</v>
      </c>
      <c r="P607" t="s">
        <v>74</v>
      </c>
      <c r="Q607" t="s">
        <v>74</v>
      </c>
      <c r="R607" t="s">
        <v>74</v>
      </c>
      <c r="S607" t="s">
        <v>74</v>
      </c>
      <c r="T607" t="s">
        <v>11391</v>
      </c>
      <c r="U607" t="s">
        <v>11392</v>
      </c>
      <c r="V607" t="s">
        <v>11393</v>
      </c>
      <c r="W607" t="s">
        <v>11394</v>
      </c>
      <c r="X607" t="s">
        <v>11395</v>
      </c>
      <c r="Y607" t="s">
        <v>11396</v>
      </c>
      <c r="Z607" t="s">
        <v>11397</v>
      </c>
      <c r="AA607" t="s">
        <v>11398</v>
      </c>
      <c r="AB607" t="s">
        <v>11399</v>
      </c>
      <c r="AC607" t="s">
        <v>11400</v>
      </c>
      <c r="AD607" t="s">
        <v>11401</v>
      </c>
      <c r="AE607" t="s">
        <v>11402</v>
      </c>
      <c r="AF607" t="s">
        <v>74</v>
      </c>
      <c r="AG607">
        <v>47</v>
      </c>
      <c r="AH607">
        <v>65</v>
      </c>
      <c r="AI607">
        <v>68</v>
      </c>
      <c r="AJ607">
        <v>0</v>
      </c>
      <c r="AK607">
        <v>5</v>
      </c>
      <c r="AL607" t="s">
        <v>2381</v>
      </c>
      <c r="AM607" t="s">
        <v>2382</v>
      </c>
      <c r="AN607" t="s">
        <v>2383</v>
      </c>
      <c r="AO607" t="s">
        <v>11403</v>
      </c>
      <c r="AP607" t="s">
        <v>74</v>
      </c>
      <c r="AQ607" t="s">
        <v>74</v>
      </c>
      <c r="AR607" t="s">
        <v>11404</v>
      </c>
      <c r="AS607" t="s">
        <v>11405</v>
      </c>
      <c r="AT607" t="s">
        <v>11406</v>
      </c>
      <c r="AU607">
        <v>2013</v>
      </c>
      <c r="AV607">
        <v>767</v>
      </c>
      <c r="AW607">
        <v>2</v>
      </c>
      <c r="AX607" t="s">
        <v>74</v>
      </c>
      <c r="AY607" t="s">
        <v>74</v>
      </c>
      <c r="AZ607" t="s">
        <v>74</v>
      </c>
      <c r="BA607" t="s">
        <v>74</v>
      </c>
      <c r="BB607" t="s">
        <v>74</v>
      </c>
      <c r="BC607" t="s">
        <v>74</v>
      </c>
      <c r="BD607" t="s">
        <v>11407</v>
      </c>
      <c r="BE607" t="s">
        <v>11408</v>
      </c>
      <c r="BF607" t="str">
        <f>HYPERLINK("http://dx.doi.org/10.1088/2041-8205/767/2/L36","http://dx.doi.org/10.1088/2041-8205/767/2/L36")</f>
        <v>http://dx.doi.org/10.1088/2041-8205/767/2/L36</v>
      </c>
      <c r="BG607" t="s">
        <v>74</v>
      </c>
      <c r="BH607" t="s">
        <v>74</v>
      </c>
      <c r="BI607">
        <v>5</v>
      </c>
      <c r="BJ607" t="s">
        <v>101</v>
      </c>
      <c r="BK607" t="s">
        <v>102</v>
      </c>
      <c r="BL607" t="s">
        <v>101</v>
      </c>
      <c r="BM607" t="s">
        <v>11409</v>
      </c>
      <c r="BN607" t="s">
        <v>74</v>
      </c>
      <c r="BO607" t="s">
        <v>577</v>
      </c>
      <c r="BP607" t="s">
        <v>74</v>
      </c>
      <c r="BQ607" t="s">
        <v>74</v>
      </c>
      <c r="BR607" t="s">
        <v>105</v>
      </c>
      <c r="BS607" t="s">
        <v>11410</v>
      </c>
      <c r="BT607" t="str">
        <f>HYPERLINK("https%3A%2F%2Fwww.webofscience.com%2Fwos%2Fwoscc%2Ffull-record%2FWOS:000317411100016","View Full Record in Web of Science")</f>
        <v>View Full Record in Web of Science</v>
      </c>
    </row>
    <row r="608" spans="1:72" x14ac:dyDescent="0.15">
      <c r="A608" t="s">
        <v>72</v>
      </c>
      <c r="B608" t="s">
        <v>11411</v>
      </c>
      <c r="C608" t="s">
        <v>74</v>
      </c>
      <c r="D608" t="s">
        <v>74</v>
      </c>
      <c r="E608" t="s">
        <v>74</v>
      </c>
      <c r="F608" t="s">
        <v>11412</v>
      </c>
      <c r="G608" t="s">
        <v>74</v>
      </c>
      <c r="H608" t="s">
        <v>74</v>
      </c>
      <c r="I608" t="s">
        <v>11413</v>
      </c>
      <c r="J608" t="s">
        <v>2395</v>
      </c>
      <c r="K608" t="s">
        <v>74</v>
      </c>
      <c r="L608" t="s">
        <v>74</v>
      </c>
      <c r="M608" t="s">
        <v>78</v>
      </c>
      <c r="N608" t="s">
        <v>79</v>
      </c>
      <c r="O608" t="s">
        <v>74</v>
      </c>
      <c r="P608" t="s">
        <v>74</v>
      </c>
      <c r="Q608" t="s">
        <v>74</v>
      </c>
      <c r="R608" t="s">
        <v>74</v>
      </c>
      <c r="S608" t="s">
        <v>74</v>
      </c>
      <c r="T608" t="s">
        <v>11414</v>
      </c>
      <c r="U608" t="s">
        <v>11415</v>
      </c>
      <c r="V608" t="s">
        <v>11416</v>
      </c>
      <c r="W608" t="s">
        <v>11417</v>
      </c>
      <c r="X608" t="s">
        <v>11418</v>
      </c>
      <c r="Y608" t="s">
        <v>11419</v>
      </c>
      <c r="Z608" t="s">
        <v>74</v>
      </c>
      <c r="AA608" t="s">
        <v>11420</v>
      </c>
      <c r="AB608" t="s">
        <v>11421</v>
      </c>
      <c r="AC608" t="s">
        <v>11422</v>
      </c>
      <c r="AD608" t="s">
        <v>11423</v>
      </c>
      <c r="AE608" t="s">
        <v>11424</v>
      </c>
      <c r="AF608" t="s">
        <v>74</v>
      </c>
      <c r="AG608">
        <v>53</v>
      </c>
      <c r="AH608">
        <v>39</v>
      </c>
      <c r="AI608">
        <v>44</v>
      </c>
      <c r="AJ608">
        <v>1</v>
      </c>
      <c r="AK608">
        <v>80</v>
      </c>
      <c r="AL608" t="s">
        <v>195</v>
      </c>
      <c r="AM608" t="s">
        <v>155</v>
      </c>
      <c r="AN608" t="s">
        <v>196</v>
      </c>
      <c r="AO608" t="s">
        <v>2408</v>
      </c>
      <c r="AP608" t="s">
        <v>2409</v>
      </c>
      <c r="AQ608" t="s">
        <v>74</v>
      </c>
      <c r="AR608" t="s">
        <v>2410</v>
      </c>
      <c r="AS608" t="s">
        <v>2411</v>
      </c>
      <c r="AT608" t="s">
        <v>11406</v>
      </c>
      <c r="AU608">
        <v>2013</v>
      </c>
      <c r="AV608">
        <v>151</v>
      </c>
      <c r="AW608" t="s">
        <v>74</v>
      </c>
      <c r="AX608" t="s">
        <v>74</v>
      </c>
      <c r="AY608" t="s">
        <v>74</v>
      </c>
      <c r="AZ608" t="s">
        <v>74</v>
      </c>
      <c r="BA608" t="s">
        <v>74</v>
      </c>
      <c r="BB608">
        <v>35</v>
      </c>
      <c r="BC608">
        <v>46</v>
      </c>
      <c r="BD608" t="s">
        <v>74</v>
      </c>
      <c r="BE608" t="s">
        <v>11425</v>
      </c>
      <c r="BF608" t="str">
        <f>HYPERLINK("http://dx.doi.org/10.1016/j.marchem.2013.01.007","http://dx.doi.org/10.1016/j.marchem.2013.01.007")</f>
        <v>http://dx.doi.org/10.1016/j.marchem.2013.01.007</v>
      </c>
      <c r="BG608" t="s">
        <v>74</v>
      </c>
      <c r="BH608" t="s">
        <v>74</v>
      </c>
      <c r="BI608">
        <v>12</v>
      </c>
      <c r="BJ608" t="s">
        <v>2413</v>
      </c>
      <c r="BK608" t="s">
        <v>102</v>
      </c>
      <c r="BL608" t="s">
        <v>2414</v>
      </c>
      <c r="BM608" t="s">
        <v>11426</v>
      </c>
      <c r="BN608" t="s">
        <v>74</v>
      </c>
      <c r="BO608" t="s">
        <v>74</v>
      </c>
      <c r="BP608" t="s">
        <v>74</v>
      </c>
      <c r="BQ608" t="s">
        <v>74</v>
      </c>
      <c r="BR608" t="s">
        <v>105</v>
      </c>
      <c r="BS608" t="s">
        <v>11427</v>
      </c>
      <c r="BT608" t="str">
        <f>HYPERLINK("https%3A%2F%2Fwww.webofscience.com%2Fwos%2Fwoscc%2Ffull-record%2FWOS:000318058900004","View Full Record in Web of Science")</f>
        <v>View Full Record in Web of Science</v>
      </c>
    </row>
    <row r="609" spans="1:72" x14ac:dyDescent="0.15">
      <c r="A609" t="s">
        <v>72</v>
      </c>
      <c r="B609" t="s">
        <v>11428</v>
      </c>
      <c r="C609" t="s">
        <v>74</v>
      </c>
      <c r="D609" t="s">
        <v>74</v>
      </c>
      <c r="E609" t="s">
        <v>74</v>
      </c>
      <c r="F609" t="s">
        <v>11429</v>
      </c>
      <c r="G609" t="s">
        <v>74</v>
      </c>
      <c r="H609" t="s">
        <v>5386</v>
      </c>
      <c r="I609" t="s">
        <v>11430</v>
      </c>
      <c r="J609" t="s">
        <v>2090</v>
      </c>
      <c r="K609" t="s">
        <v>74</v>
      </c>
      <c r="L609" t="s">
        <v>74</v>
      </c>
      <c r="M609" t="s">
        <v>78</v>
      </c>
      <c r="N609" t="s">
        <v>79</v>
      </c>
      <c r="O609" t="s">
        <v>74</v>
      </c>
      <c r="P609" t="s">
        <v>74</v>
      </c>
      <c r="Q609" t="s">
        <v>74</v>
      </c>
      <c r="R609" t="s">
        <v>74</v>
      </c>
      <c r="S609" t="s">
        <v>74</v>
      </c>
      <c r="T609" t="s">
        <v>74</v>
      </c>
      <c r="U609" t="s">
        <v>11431</v>
      </c>
      <c r="V609" t="s">
        <v>11432</v>
      </c>
      <c r="W609" t="s">
        <v>11433</v>
      </c>
      <c r="X609" t="s">
        <v>11434</v>
      </c>
      <c r="Y609" t="s">
        <v>11435</v>
      </c>
      <c r="Z609" t="s">
        <v>11436</v>
      </c>
      <c r="AA609" t="s">
        <v>11437</v>
      </c>
      <c r="AB609" t="s">
        <v>11438</v>
      </c>
      <c r="AC609" t="s">
        <v>11439</v>
      </c>
      <c r="AD609" t="s">
        <v>11440</v>
      </c>
      <c r="AE609" t="s">
        <v>11441</v>
      </c>
      <c r="AF609" t="s">
        <v>74</v>
      </c>
      <c r="AG609">
        <v>34</v>
      </c>
      <c r="AH609">
        <v>89</v>
      </c>
      <c r="AI609">
        <v>94</v>
      </c>
      <c r="AJ609">
        <v>2</v>
      </c>
      <c r="AK609">
        <v>117</v>
      </c>
      <c r="AL609" t="s">
        <v>2091</v>
      </c>
      <c r="AM609" t="s">
        <v>93</v>
      </c>
      <c r="AN609" t="s">
        <v>2092</v>
      </c>
      <c r="AO609" t="s">
        <v>2093</v>
      </c>
      <c r="AP609" t="s">
        <v>4961</v>
      </c>
      <c r="AQ609" t="s">
        <v>74</v>
      </c>
      <c r="AR609" t="s">
        <v>2090</v>
      </c>
      <c r="AS609" t="s">
        <v>2094</v>
      </c>
      <c r="AT609" t="s">
        <v>11442</v>
      </c>
      <c r="AU609">
        <v>2013</v>
      </c>
      <c r="AV609">
        <v>340</v>
      </c>
      <c r="AW609">
        <v>6130</v>
      </c>
      <c r="AX609" t="s">
        <v>74</v>
      </c>
      <c r="AY609" t="s">
        <v>74</v>
      </c>
      <c r="AZ609" t="s">
        <v>74</v>
      </c>
      <c r="BA609" t="s">
        <v>74</v>
      </c>
      <c r="BB609">
        <v>341</v>
      </c>
      <c r="BC609">
        <v>344</v>
      </c>
      <c r="BD609" t="s">
        <v>74</v>
      </c>
      <c r="BE609" t="s">
        <v>11443</v>
      </c>
      <c r="BF609" t="str">
        <f>HYPERLINK("http://dx.doi.org/10.1126/science.1223646","http://dx.doi.org/10.1126/science.1223646")</f>
        <v>http://dx.doi.org/10.1126/science.1223646</v>
      </c>
      <c r="BG609" t="s">
        <v>74</v>
      </c>
      <c r="BH609" t="s">
        <v>74</v>
      </c>
      <c r="BI609">
        <v>4</v>
      </c>
      <c r="BJ609" t="s">
        <v>1880</v>
      </c>
      <c r="BK609" t="s">
        <v>102</v>
      </c>
      <c r="BL609" t="s">
        <v>1881</v>
      </c>
      <c r="BM609" t="s">
        <v>11444</v>
      </c>
      <c r="BN609">
        <v>23599491</v>
      </c>
      <c r="BO609" t="s">
        <v>426</v>
      </c>
      <c r="BP609" t="s">
        <v>74</v>
      </c>
      <c r="BQ609" t="s">
        <v>74</v>
      </c>
      <c r="BR609" t="s">
        <v>105</v>
      </c>
      <c r="BS609" t="s">
        <v>11445</v>
      </c>
      <c r="BT609" t="str">
        <f>HYPERLINK("https%3A%2F%2Fwww.webofscience.com%2Fwos%2Fwoscc%2Ffull-record%2FWOS:000317657500052","View Full Record in Web of Science")</f>
        <v>View Full Record in Web of Science</v>
      </c>
    </row>
    <row r="610" spans="1:72" x14ac:dyDescent="0.15">
      <c r="A610" t="s">
        <v>72</v>
      </c>
      <c r="B610" t="s">
        <v>11446</v>
      </c>
      <c r="C610" t="s">
        <v>74</v>
      </c>
      <c r="D610" t="s">
        <v>74</v>
      </c>
      <c r="E610" t="s">
        <v>74</v>
      </c>
      <c r="F610" t="s">
        <v>11447</v>
      </c>
      <c r="G610" t="s">
        <v>74</v>
      </c>
      <c r="H610" t="s">
        <v>74</v>
      </c>
      <c r="I610" t="s">
        <v>11448</v>
      </c>
      <c r="J610" t="s">
        <v>2016</v>
      </c>
      <c r="K610" t="s">
        <v>74</v>
      </c>
      <c r="L610" t="s">
        <v>74</v>
      </c>
      <c r="M610" t="s">
        <v>78</v>
      </c>
      <c r="N610" t="s">
        <v>79</v>
      </c>
      <c r="O610" t="s">
        <v>74</v>
      </c>
      <c r="P610" t="s">
        <v>74</v>
      </c>
      <c r="Q610" t="s">
        <v>74</v>
      </c>
      <c r="R610" t="s">
        <v>74</v>
      </c>
      <c r="S610" t="s">
        <v>74</v>
      </c>
      <c r="T610" t="s">
        <v>11449</v>
      </c>
      <c r="U610" t="s">
        <v>11450</v>
      </c>
      <c r="V610" t="s">
        <v>11451</v>
      </c>
      <c r="W610" t="s">
        <v>11452</v>
      </c>
      <c r="X610" t="s">
        <v>11453</v>
      </c>
      <c r="Y610" t="s">
        <v>11454</v>
      </c>
      <c r="Z610" t="s">
        <v>11455</v>
      </c>
      <c r="AA610" t="s">
        <v>11456</v>
      </c>
      <c r="AB610" t="s">
        <v>11457</v>
      </c>
      <c r="AC610" t="s">
        <v>11458</v>
      </c>
      <c r="AD610" t="s">
        <v>11459</v>
      </c>
      <c r="AE610" t="s">
        <v>11460</v>
      </c>
      <c r="AF610" t="s">
        <v>74</v>
      </c>
      <c r="AG610">
        <v>65</v>
      </c>
      <c r="AH610">
        <v>60</v>
      </c>
      <c r="AI610">
        <v>70</v>
      </c>
      <c r="AJ610">
        <v>0</v>
      </c>
      <c r="AK610">
        <v>17</v>
      </c>
      <c r="AL610" t="s">
        <v>92</v>
      </c>
      <c r="AM610" t="s">
        <v>93</v>
      </c>
      <c r="AN610" t="s">
        <v>94</v>
      </c>
      <c r="AO610" t="s">
        <v>2029</v>
      </c>
      <c r="AP610" t="s">
        <v>2030</v>
      </c>
      <c r="AQ610" t="s">
        <v>74</v>
      </c>
      <c r="AR610" t="s">
        <v>2031</v>
      </c>
      <c r="AS610" t="s">
        <v>2032</v>
      </c>
      <c r="AT610" t="s">
        <v>11461</v>
      </c>
      <c r="AU610">
        <v>2013</v>
      </c>
      <c r="AV610">
        <v>118</v>
      </c>
      <c r="AW610">
        <v>7</v>
      </c>
      <c r="AX610" t="s">
        <v>74</v>
      </c>
      <c r="AY610" t="s">
        <v>74</v>
      </c>
      <c r="AZ610" t="s">
        <v>74</v>
      </c>
      <c r="BA610" t="s">
        <v>74</v>
      </c>
      <c r="BB610">
        <v>2794</v>
      </c>
      <c r="BC610">
        <v>2808</v>
      </c>
      <c r="BD610" t="s">
        <v>74</v>
      </c>
      <c r="BE610" t="s">
        <v>11462</v>
      </c>
      <c r="BF610" t="str">
        <f>HYPERLINK("http://dx.doi.org/10.1002/jgrd.50318","http://dx.doi.org/10.1002/jgrd.50318")</f>
        <v>http://dx.doi.org/10.1002/jgrd.50318</v>
      </c>
      <c r="BG610" t="s">
        <v>74</v>
      </c>
      <c r="BH610" t="s">
        <v>74</v>
      </c>
      <c r="BI610">
        <v>15</v>
      </c>
      <c r="BJ610" t="s">
        <v>305</v>
      </c>
      <c r="BK610" t="s">
        <v>102</v>
      </c>
      <c r="BL610" t="s">
        <v>305</v>
      </c>
      <c r="BM610" t="s">
        <v>11463</v>
      </c>
      <c r="BN610" t="s">
        <v>74</v>
      </c>
      <c r="BO610" t="s">
        <v>74</v>
      </c>
      <c r="BP610" t="s">
        <v>74</v>
      </c>
      <c r="BQ610" t="s">
        <v>74</v>
      </c>
      <c r="BR610" t="s">
        <v>105</v>
      </c>
      <c r="BS610" t="s">
        <v>11464</v>
      </c>
      <c r="BT610" t="str">
        <f>HYPERLINK("https%3A%2F%2Fwww.webofscience.com%2Fwos%2Fwoscc%2Ffull-record%2FWOS:000319618300008","View Full Record in Web of Science")</f>
        <v>View Full Record in Web of Science</v>
      </c>
    </row>
    <row r="611" spans="1:72" x14ac:dyDescent="0.15">
      <c r="A611" t="s">
        <v>72</v>
      </c>
      <c r="B611" t="s">
        <v>11465</v>
      </c>
      <c r="C611" t="s">
        <v>74</v>
      </c>
      <c r="D611" t="s">
        <v>74</v>
      </c>
      <c r="E611" t="s">
        <v>74</v>
      </c>
      <c r="F611" t="s">
        <v>11466</v>
      </c>
      <c r="G611" t="s">
        <v>74</v>
      </c>
      <c r="H611" t="s">
        <v>74</v>
      </c>
      <c r="I611" t="s">
        <v>11467</v>
      </c>
      <c r="J611" t="s">
        <v>1957</v>
      </c>
      <c r="K611" t="s">
        <v>74</v>
      </c>
      <c r="L611" t="s">
        <v>74</v>
      </c>
      <c r="M611" t="s">
        <v>78</v>
      </c>
      <c r="N611" t="s">
        <v>79</v>
      </c>
      <c r="O611" t="s">
        <v>74</v>
      </c>
      <c r="P611" t="s">
        <v>74</v>
      </c>
      <c r="Q611" t="s">
        <v>74</v>
      </c>
      <c r="R611" t="s">
        <v>74</v>
      </c>
      <c r="S611" t="s">
        <v>74</v>
      </c>
      <c r="T611" t="s">
        <v>74</v>
      </c>
      <c r="U611" t="s">
        <v>11468</v>
      </c>
      <c r="V611" t="s">
        <v>11469</v>
      </c>
      <c r="W611" t="s">
        <v>2331</v>
      </c>
      <c r="X611" t="s">
        <v>1300</v>
      </c>
      <c r="Y611" t="s">
        <v>11470</v>
      </c>
      <c r="Z611" t="s">
        <v>8430</v>
      </c>
      <c r="AA611" t="s">
        <v>8431</v>
      </c>
      <c r="AB611" t="s">
        <v>8432</v>
      </c>
      <c r="AC611" t="s">
        <v>11471</v>
      </c>
      <c r="AD611" t="s">
        <v>11472</v>
      </c>
      <c r="AE611" t="s">
        <v>11473</v>
      </c>
      <c r="AF611" t="s">
        <v>74</v>
      </c>
      <c r="AG611">
        <v>21</v>
      </c>
      <c r="AH611">
        <v>34</v>
      </c>
      <c r="AI611">
        <v>35</v>
      </c>
      <c r="AJ611">
        <v>0</v>
      </c>
      <c r="AK611">
        <v>26</v>
      </c>
      <c r="AL611" t="s">
        <v>92</v>
      </c>
      <c r="AM611" t="s">
        <v>93</v>
      </c>
      <c r="AN611" t="s">
        <v>94</v>
      </c>
      <c r="AO611" t="s">
        <v>1970</v>
      </c>
      <c r="AP611" t="s">
        <v>1971</v>
      </c>
      <c r="AQ611" t="s">
        <v>74</v>
      </c>
      <c r="AR611" t="s">
        <v>1972</v>
      </c>
      <c r="AS611" t="s">
        <v>1973</v>
      </c>
      <c r="AT611" t="s">
        <v>11461</v>
      </c>
      <c r="AU611">
        <v>2013</v>
      </c>
      <c r="AV611">
        <v>40</v>
      </c>
      <c r="AW611">
        <v>7</v>
      </c>
      <c r="AX611" t="s">
        <v>74</v>
      </c>
      <c r="AY611" t="s">
        <v>74</v>
      </c>
      <c r="AZ611" t="s">
        <v>74</v>
      </c>
      <c r="BA611" t="s">
        <v>74</v>
      </c>
      <c r="BB611" t="s">
        <v>74</v>
      </c>
      <c r="BC611" t="s">
        <v>74</v>
      </c>
      <c r="BD611" t="s">
        <v>74</v>
      </c>
      <c r="BE611" t="s">
        <v>11474</v>
      </c>
      <c r="BF611" t="str">
        <f>HYPERLINK("http://dx.doi.org/10.1002/grl.50301","http://dx.doi.org/10.1002/grl.50301")</f>
        <v>http://dx.doi.org/10.1002/grl.50301</v>
      </c>
      <c r="BG611" t="s">
        <v>74</v>
      </c>
      <c r="BH611" t="s">
        <v>74</v>
      </c>
      <c r="BI611">
        <v>5</v>
      </c>
      <c r="BJ611" t="s">
        <v>1426</v>
      </c>
      <c r="BK611" t="s">
        <v>102</v>
      </c>
      <c r="BL611" t="s">
        <v>219</v>
      </c>
      <c r="BM611" t="s">
        <v>11475</v>
      </c>
      <c r="BN611" t="s">
        <v>74</v>
      </c>
      <c r="BO611" t="s">
        <v>1063</v>
      </c>
      <c r="BP611" t="s">
        <v>74</v>
      </c>
      <c r="BQ611" t="s">
        <v>74</v>
      </c>
      <c r="BR611" t="s">
        <v>105</v>
      </c>
      <c r="BS611" t="s">
        <v>11476</v>
      </c>
      <c r="BT611" t="str">
        <f>HYPERLINK("https%3A%2F%2Fwww.webofscience.com%2Fwos%2Fwoscc%2Ffull-record%2FWOS:000319217600025","View Full Record in Web of Science")</f>
        <v>View Full Record in Web of Science</v>
      </c>
    </row>
    <row r="612" spans="1:72" x14ac:dyDescent="0.15">
      <c r="A612" t="s">
        <v>72</v>
      </c>
      <c r="B612" t="s">
        <v>11477</v>
      </c>
      <c r="C612" t="s">
        <v>74</v>
      </c>
      <c r="D612" t="s">
        <v>74</v>
      </c>
      <c r="E612" t="s">
        <v>74</v>
      </c>
      <c r="F612" t="s">
        <v>11478</v>
      </c>
      <c r="G612" t="s">
        <v>74</v>
      </c>
      <c r="H612" t="s">
        <v>74</v>
      </c>
      <c r="I612" t="s">
        <v>11479</v>
      </c>
      <c r="J612" t="s">
        <v>1957</v>
      </c>
      <c r="K612" t="s">
        <v>74</v>
      </c>
      <c r="L612" t="s">
        <v>74</v>
      </c>
      <c r="M612" t="s">
        <v>78</v>
      </c>
      <c r="N612" t="s">
        <v>79</v>
      </c>
      <c r="O612" t="s">
        <v>74</v>
      </c>
      <c r="P612" t="s">
        <v>74</v>
      </c>
      <c r="Q612" t="s">
        <v>74</v>
      </c>
      <c r="R612" t="s">
        <v>74</v>
      </c>
      <c r="S612" t="s">
        <v>74</v>
      </c>
      <c r="T612" t="s">
        <v>74</v>
      </c>
      <c r="U612" t="s">
        <v>11480</v>
      </c>
      <c r="V612" t="s">
        <v>11481</v>
      </c>
      <c r="W612" t="s">
        <v>11482</v>
      </c>
      <c r="X612" t="s">
        <v>11483</v>
      </c>
      <c r="Y612" t="s">
        <v>11484</v>
      </c>
      <c r="Z612" t="s">
        <v>11485</v>
      </c>
      <c r="AA612" t="s">
        <v>11486</v>
      </c>
      <c r="AB612" t="s">
        <v>11487</v>
      </c>
      <c r="AC612" t="s">
        <v>11488</v>
      </c>
      <c r="AD612" t="s">
        <v>11489</v>
      </c>
      <c r="AE612" t="s">
        <v>11490</v>
      </c>
      <c r="AF612" t="s">
        <v>74</v>
      </c>
      <c r="AG612">
        <v>29</v>
      </c>
      <c r="AH612">
        <v>159</v>
      </c>
      <c r="AI612">
        <v>169</v>
      </c>
      <c r="AJ612">
        <v>1</v>
      </c>
      <c r="AK612">
        <v>64</v>
      </c>
      <c r="AL612" t="s">
        <v>92</v>
      </c>
      <c r="AM612" t="s">
        <v>93</v>
      </c>
      <c r="AN612" t="s">
        <v>94</v>
      </c>
      <c r="AO612" t="s">
        <v>1970</v>
      </c>
      <c r="AP612" t="s">
        <v>1971</v>
      </c>
      <c r="AQ612" t="s">
        <v>74</v>
      </c>
      <c r="AR612" t="s">
        <v>1972</v>
      </c>
      <c r="AS612" t="s">
        <v>1973</v>
      </c>
      <c r="AT612" t="s">
        <v>11461</v>
      </c>
      <c r="AU612">
        <v>2013</v>
      </c>
      <c r="AV612">
        <v>40</v>
      </c>
      <c r="AW612">
        <v>7</v>
      </c>
      <c r="AX612" t="s">
        <v>74</v>
      </c>
      <c r="AY612" t="s">
        <v>74</v>
      </c>
      <c r="AZ612" t="s">
        <v>74</v>
      </c>
      <c r="BA612" t="s">
        <v>74</v>
      </c>
      <c r="BB612" t="s">
        <v>74</v>
      </c>
      <c r="BC612" t="s">
        <v>74</v>
      </c>
      <c r="BD612" t="s">
        <v>74</v>
      </c>
      <c r="BE612" t="s">
        <v>11491</v>
      </c>
      <c r="BF612" t="str">
        <f>HYPERLINK("http://dx.doi.org/10.1002/grl.50287","http://dx.doi.org/10.1002/grl.50287")</f>
        <v>http://dx.doi.org/10.1002/grl.50287</v>
      </c>
      <c r="BG612" t="s">
        <v>74</v>
      </c>
      <c r="BH612" t="s">
        <v>74</v>
      </c>
      <c r="BI612">
        <v>6</v>
      </c>
      <c r="BJ612" t="s">
        <v>1426</v>
      </c>
      <c r="BK612" t="s">
        <v>102</v>
      </c>
      <c r="BL612" t="s">
        <v>219</v>
      </c>
      <c r="BM612" t="s">
        <v>11475</v>
      </c>
      <c r="BN612" t="s">
        <v>74</v>
      </c>
      <c r="BO612" t="s">
        <v>4146</v>
      </c>
      <c r="BP612" t="s">
        <v>74</v>
      </c>
      <c r="BQ612" t="s">
        <v>74</v>
      </c>
      <c r="BR612" t="s">
        <v>105</v>
      </c>
      <c r="BS612" t="s">
        <v>11492</v>
      </c>
      <c r="BT612" t="str">
        <f>HYPERLINK("https%3A%2F%2Fwww.webofscience.com%2Fwos%2Fwoscc%2Ffull-record%2FWOS:000319217600028","View Full Record in Web of Science")</f>
        <v>View Full Record in Web of Science</v>
      </c>
    </row>
    <row r="613" spans="1:72" x14ac:dyDescent="0.15">
      <c r="A613" t="s">
        <v>72</v>
      </c>
      <c r="B613" t="s">
        <v>11493</v>
      </c>
      <c r="C613" t="s">
        <v>74</v>
      </c>
      <c r="D613" t="s">
        <v>74</v>
      </c>
      <c r="E613" t="s">
        <v>74</v>
      </c>
      <c r="F613" t="s">
        <v>11494</v>
      </c>
      <c r="G613" t="s">
        <v>74</v>
      </c>
      <c r="H613" t="s">
        <v>74</v>
      </c>
      <c r="I613" t="s">
        <v>11495</v>
      </c>
      <c r="J613" t="s">
        <v>1366</v>
      </c>
      <c r="K613" t="s">
        <v>74</v>
      </c>
      <c r="L613" t="s">
        <v>74</v>
      </c>
      <c r="M613" t="s">
        <v>78</v>
      </c>
      <c r="N613" t="s">
        <v>79</v>
      </c>
      <c r="O613" t="s">
        <v>74</v>
      </c>
      <c r="P613" t="s">
        <v>74</v>
      </c>
      <c r="Q613" t="s">
        <v>74</v>
      </c>
      <c r="R613" t="s">
        <v>74</v>
      </c>
      <c r="S613" t="s">
        <v>74</v>
      </c>
      <c r="T613" t="s">
        <v>11496</v>
      </c>
      <c r="U613" t="s">
        <v>11497</v>
      </c>
      <c r="V613" t="s">
        <v>11498</v>
      </c>
      <c r="W613" t="s">
        <v>11499</v>
      </c>
      <c r="X613" t="s">
        <v>11500</v>
      </c>
      <c r="Y613" t="s">
        <v>11501</v>
      </c>
      <c r="Z613" t="s">
        <v>11502</v>
      </c>
      <c r="AA613" t="s">
        <v>74</v>
      </c>
      <c r="AB613" t="s">
        <v>74</v>
      </c>
      <c r="AC613" t="s">
        <v>11503</v>
      </c>
      <c r="AD613" t="s">
        <v>11503</v>
      </c>
      <c r="AE613" t="s">
        <v>11504</v>
      </c>
      <c r="AF613" t="s">
        <v>74</v>
      </c>
      <c r="AG613">
        <v>68</v>
      </c>
      <c r="AH613">
        <v>16</v>
      </c>
      <c r="AI613">
        <v>19</v>
      </c>
      <c r="AJ613">
        <v>0</v>
      </c>
      <c r="AK613">
        <v>68</v>
      </c>
      <c r="AL613" t="s">
        <v>195</v>
      </c>
      <c r="AM613" t="s">
        <v>155</v>
      </c>
      <c r="AN613" t="s">
        <v>196</v>
      </c>
      <c r="AO613" t="s">
        <v>1379</v>
      </c>
      <c r="AP613" t="s">
        <v>1380</v>
      </c>
      <c r="AQ613" t="s">
        <v>74</v>
      </c>
      <c r="AR613" t="s">
        <v>1381</v>
      </c>
      <c r="AS613" t="s">
        <v>1382</v>
      </c>
      <c r="AT613" t="s">
        <v>11505</v>
      </c>
      <c r="AU613">
        <v>2013</v>
      </c>
      <c r="AV613">
        <v>368</v>
      </c>
      <c r="AW613" t="s">
        <v>74</v>
      </c>
      <c r="AX613" t="s">
        <v>74</v>
      </c>
      <c r="AY613" t="s">
        <v>74</v>
      </c>
      <c r="AZ613" t="s">
        <v>74</v>
      </c>
      <c r="BA613" t="s">
        <v>74</v>
      </c>
      <c r="BB613">
        <v>175</v>
      </c>
      <c r="BC613">
        <v>182</v>
      </c>
      <c r="BD613" t="s">
        <v>74</v>
      </c>
      <c r="BE613" t="s">
        <v>11506</v>
      </c>
      <c r="BF613" t="str">
        <f>HYPERLINK("http://dx.doi.org/10.1016/j.epsl.2013.02.029","http://dx.doi.org/10.1016/j.epsl.2013.02.029")</f>
        <v>http://dx.doi.org/10.1016/j.epsl.2013.02.029</v>
      </c>
      <c r="BG613" t="s">
        <v>74</v>
      </c>
      <c r="BH613" t="s">
        <v>74</v>
      </c>
      <c r="BI613">
        <v>8</v>
      </c>
      <c r="BJ613" t="s">
        <v>766</v>
      </c>
      <c r="BK613" t="s">
        <v>102</v>
      </c>
      <c r="BL613" t="s">
        <v>766</v>
      </c>
      <c r="BM613" t="s">
        <v>11507</v>
      </c>
      <c r="BN613" t="s">
        <v>74</v>
      </c>
      <c r="BO613" t="s">
        <v>74</v>
      </c>
      <c r="BP613" t="s">
        <v>74</v>
      </c>
      <c r="BQ613" t="s">
        <v>74</v>
      </c>
      <c r="BR613" t="s">
        <v>105</v>
      </c>
      <c r="BS613" t="s">
        <v>11508</v>
      </c>
      <c r="BT613" t="str">
        <f>HYPERLINK("https%3A%2F%2Fwww.webofscience.com%2Fwos%2Fwoscc%2Ffull-record%2FWOS:000320087900018","View Full Record in Web of Science")</f>
        <v>View Full Record in Web of Science</v>
      </c>
    </row>
    <row r="614" spans="1:72" x14ac:dyDescent="0.15">
      <c r="A614" t="s">
        <v>72</v>
      </c>
      <c r="B614" t="s">
        <v>11509</v>
      </c>
      <c r="C614" t="s">
        <v>74</v>
      </c>
      <c r="D614" t="s">
        <v>74</v>
      </c>
      <c r="E614" t="s">
        <v>74</v>
      </c>
      <c r="F614" t="s">
        <v>11510</v>
      </c>
      <c r="G614" t="s">
        <v>74</v>
      </c>
      <c r="H614" t="s">
        <v>74</v>
      </c>
      <c r="I614" t="s">
        <v>11511</v>
      </c>
      <c r="J614" t="s">
        <v>966</v>
      </c>
      <c r="K614" t="s">
        <v>74</v>
      </c>
      <c r="L614" t="s">
        <v>74</v>
      </c>
      <c r="M614" t="s">
        <v>78</v>
      </c>
      <c r="N614" t="s">
        <v>79</v>
      </c>
      <c r="O614" t="s">
        <v>74</v>
      </c>
      <c r="P614" t="s">
        <v>74</v>
      </c>
      <c r="Q614" t="s">
        <v>74</v>
      </c>
      <c r="R614" t="s">
        <v>74</v>
      </c>
      <c r="S614" t="s">
        <v>74</v>
      </c>
      <c r="T614" t="s">
        <v>11512</v>
      </c>
      <c r="U614" t="s">
        <v>11513</v>
      </c>
      <c r="V614" t="s">
        <v>11514</v>
      </c>
      <c r="W614" t="s">
        <v>11515</v>
      </c>
      <c r="X614" t="s">
        <v>11516</v>
      </c>
      <c r="Y614" t="s">
        <v>11517</v>
      </c>
      <c r="Z614" t="s">
        <v>11518</v>
      </c>
      <c r="AA614" t="s">
        <v>11519</v>
      </c>
      <c r="AB614" t="s">
        <v>11520</v>
      </c>
      <c r="AC614" t="s">
        <v>11521</v>
      </c>
      <c r="AD614" t="s">
        <v>11521</v>
      </c>
      <c r="AE614" t="s">
        <v>11522</v>
      </c>
      <c r="AF614" t="s">
        <v>74</v>
      </c>
      <c r="AG614">
        <v>123</v>
      </c>
      <c r="AH614">
        <v>8</v>
      </c>
      <c r="AI614">
        <v>9</v>
      </c>
      <c r="AJ614">
        <v>0</v>
      </c>
      <c r="AK614">
        <v>21</v>
      </c>
      <c r="AL614" t="s">
        <v>195</v>
      </c>
      <c r="AM614" t="s">
        <v>155</v>
      </c>
      <c r="AN614" t="s">
        <v>196</v>
      </c>
      <c r="AO614" t="s">
        <v>979</v>
      </c>
      <c r="AP614" t="s">
        <v>980</v>
      </c>
      <c r="AQ614" t="s">
        <v>74</v>
      </c>
      <c r="AR614" t="s">
        <v>981</v>
      </c>
      <c r="AS614" t="s">
        <v>982</v>
      </c>
      <c r="AT614" t="s">
        <v>11505</v>
      </c>
      <c r="AU614">
        <v>2013</v>
      </c>
      <c r="AV614">
        <v>376</v>
      </c>
      <c r="AW614" t="s">
        <v>74</v>
      </c>
      <c r="AX614" t="s">
        <v>74</v>
      </c>
      <c r="AY614" t="s">
        <v>74</v>
      </c>
      <c r="AZ614" t="s">
        <v>74</v>
      </c>
      <c r="BA614" t="s">
        <v>74</v>
      </c>
      <c r="BB614">
        <v>172</v>
      </c>
      <c r="BC614">
        <v>183</v>
      </c>
      <c r="BD614" t="s">
        <v>74</v>
      </c>
      <c r="BE614" t="s">
        <v>11523</v>
      </c>
      <c r="BF614" t="str">
        <f>HYPERLINK("http://dx.doi.org/10.1016/j.palaeo.2013.02.034","http://dx.doi.org/10.1016/j.palaeo.2013.02.034")</f>
        <v>http://dx.doi.org/10.1016/j.palaeo.2013.02.034</v>
      </c>
      <c r="BG614" t="s">
        <v>74</v>
      </c>
      <c r="BH614" t="s">
        <v>74</v>
      </c>
      <c r="BI614">
        <v>12</v>
      </c>
      <c r="BJ614" t="s">
        <v>984</v>
      </c>
      <c r="BK614" t="s">
        <v>102</v>
      </c>
      <c r="BL614" t="s">
        <v>985</v>
      </c>
      <c r="BM614" t="s">
        <v>11524</v>
      </c>
      <c r="BN614" t="s">
        <v>74</v>
      </c>
      <c r="BO614" t="s">
        <v>74</v>
      </c>
      <c r="BP614" t="s">
        <v>74</v>
      </c>
      <c r="BQ614" t="s">
        <v>74</v>
      </c>
      <c r="BR614" t="s">
        <v>105</v>
      </c>
      <c r="BS614" t="s">
        <v>11525</v>
      </c>
      <c r="BT614" t="str">
        <f>HYPERLINK("https%3A%2F%2Fwww.webofscience.com%2Fwos%2Fwoscc%2Ffull-record%2FWOS:000318381600014","View Full Record in Web of Science")</f>
        <v>View Full Record in Web of Science</v>
      </c>
    </row>
    <row r="615" spans="1:72" x14ac:dyDescent="0.15">
      <c r="A615" t="s">
        <v>72</v>
      </c>
      <c r="B615" t="s">
        <v>11526</v>
      </c>
      <c r="C615" t="s">
        <v>74</v>
      </c>
      <c r="D615" t="s">
        <v>74</v>
      </c>
      <c r="E615" t="s">
        <v>74</v>
      </c>
      <c r="F615" t="s">
        <v>11527</v>
      </c>
      <c r="G615" t="s">
        <v>74</v>
      </c>
      <c r="H615" t="s">
        <v>74</v>
      </c>
      <c r="I615" t="s">
        <v>11528</v>
      </c>
      <c r="J615" t="s">
        <v>11529</v>
      </c>
      <c r="K615" t="s">
        <v>74</v>
      </c>
      <c r="L615" t="s">
        <v>74</v>
      </c>
      <c r="M615" t="s">
        <v>78</v>
      </c>
      <c r="N615" t="s">
        <v>79</v>
      </c>
      <c r="O615" t="s">
        <v>74</v>
      </c>
      <c r="P615" t="s">
        <v>74</v>
      </c>
      <c r="Q615" t="s">
        <v>74</v>
      </c>
      <c r="R615" t="s">
        <v>74</v>
      </c>
      <c r="S615" t="s">
        <v>74</v>
      </c>
      <c r="T615" t="s">
        <v>74</v>
      </c>
      <c r="U615" t="s">
        <v>11530</v>
      </c>
      <c r="V615" t="s">
        <v>11531</v>
      </c>
      <c r="W615" t="s">
        <v>11532</v>
      </c>
      <c r="X615" t="s">
        <v>11533</v>
      </c>
      <c r="Y615" t="s">
        <v>11534</v>
      </c>
      <c r="Z615" t="s">
        <v>11535</v>
      </c>
      <c r="AA615" t="s">
        <v>74</v>
      </c>
      <c r="AB615" t="s">
        <v>11536</v>
      </c>
      <c r="AC615" t="s">
        <v>11537</v>
      </c>
      <c r="AD615" t="s">
        <v>11537</v>
      </c>
      <c r="AE615" t="s">
        <v>11538</v>
      </c>
      <c r="AF615" t="s">
        <v>74</v>
      </c>
      <c r="AG615">
        <v>37</v>
      </c>
      <c r="AH615">
        <v>18</v>
      </c>
      <c r="AI615">
        <v>21</v>
      </c>
      <c r="AJ615">
        <v>1</v>
      </c>
      <c r="AK615">
        <v>56</v>
      </c>
      <c r="AL615" t="s">
        <v>7649</v>
      </c>
      <c r="AM615" t="s">
        <v>643</v>
      </c>
      <c r="AN615" t="s">
        <v>7650</v>
      </c>
      <c r="AO615" t="s">
        <v>11539</v>
      </c>
      <c r="AP615" t="s">
        <v>74</v>
      </c>
      <c r="AQ615" t="s">
        <v>74</v>
      </c>
      <c r="AR615" t="s">
        <v>11540</v>
      </c>
      <c r="AS615" t="s">
        <v>11541</v>
      </c>
      <c r="AT615" t="s">
        <v>11505</v>
      </c>
      <c r="AU615">
        <v>2013</v>
      </c>
      <c r="AV615">
        <v>14</v>
      </c>
      <c r="AW615" t="s">
        <v>74</v>
      </c>
      <c r="AX615" t="s">
        <v>74</v>
      </c>
      <c r="AY615" t="s">
        <v>74</v>
      </c>
      <c r="AZ615" t="s">
        <v>74</v>
      </c>
      <c r="BA615" t="s">
        <v>74</v>
      </c>
      <c r="BB615" t="s">
        <v>74</v>
      </c>
      <c r="BC615" t="s">
        <v>74</v>
      </c>
      <c r="BD615">
        <v>25</v>
      </c>
      <c r="BE615" t="s">
        <v>11542</v>
      </c>
      <c r="BF615" t="str">
        <f>HYPERLINK("http://dx.doi.org/10.1186/1471-2156-14-25","http://dx.doi.org/10.1186/1471-2156-14-25")</f>
        <v>http://dx.doi.org/10.1186/1471-2156-14-25</v>
      </c>
      <c r="BG615" t="s">
        <v>74</v>
      </c>
      <c r="BH615" t="s">
        <v>74</v>
      </c>
      <c r="BI615">
        <v>11</v>
      </c>
      <c r="BJ615" t="s">
        <v>536</v>
      </c>
      <c r="BK615" t="s">
        <v>102</v>
      </c>
      <c r="BL615" t="s">
        <v>536</v>
      </c>
      <c r="BM615" t="s">
        <v>11543</v>
      </c>
      <c r="BN615">
        <v>23586609</v>
      </c>
      <c r="BO615" t="s">
        <v>5130</v>
      </c>
      <c r="BP615" t="s">
        <v>74</v>
      </c>
      <c r="BQ615" t="s">
        <v>74</v>
      </c>
      <c r="BR615" t="s">
        <v>105</v>
      </c>
      <c r="BS615" t="s">
        <v>11544</v>
      </c>
      <c r="BT615" t="str">
        <f>HYPERLINK("https%3A%2F%2Fwww.webofscience.com%2Fwos%2Fwoscc%2Ffull-record%2FWOS:000318599400001","View Full Record in Web of Science")</f>
        <v>View Full Record in Web of Science</v>
      </c>
    </row>
    <row r="616" spans="1:72" x14ac:dyDescent="0.15">
      <c r="A616" t="s">
        <v>72</v>
      </c>
      <c r="B616" t="s">
        <v>11545</v>
      </c>
      <c r="C616" t="s">
        <v>74</v>
      </c>
      <c r="D616" t="s">
        <v>74</v>
      </c>
      <c r="E616" t="s">
        <v>74</v>
      </c>
      <c r="F616" t="s">
        <v>11546</v>
      </c>
      <c r="G616" t="s">
        <v>74</v>
      </c>
      <c r="H616" t="s">
        <v>74</v>
      </c>
      <c r="I616" t="s">
        <v>11547</v>
      </c>
      <c r="J616" t="s">
        <v>7323</v>
      </c>
      <c r="K616" t="s">
        <v>74</v>
      </c>
      <c r="L616" t="s">
        <v>74</v>
      </c>
      <c r="M616" t="s">
        <v>78</v>
      </c>
      <c r="N616" t="s">
        <v>79</v>
      </c>
      <c r="O616" t="s">
        <v>74</v>
      </c>
      <c r="P616" t="s">
        <v>74</v>
      </c>
      <c r="Q616" t="s">
        <v>74</v>
      </c>
      <c r="R616" t="s">
        <v>74</v>
      </c>
      <c r="S616" t="s">
        <v>74</v>
      </c>
      <c r="T616" t="s">
        <v>11548</v>
      </c>
      <c r="U616" t="s">
        <v>11549</v>
      </c>
      <c r="V616" t="s">
        <v>11550</v>
      </c>
      <c r="W616" t="s">
        <v>11551</v>
      </c>
      <c r="X616" t="s">
        <v>147</v>
      </c>
      <c r="Y616" t="s">
        <v>11552</v>
      </c>
      <c r="Z616" t="s">
        <v>11553</v>
      </c>
      <c r="AA616" t="s">
        <v>11554</v>
      </c>
      <c r="AB616" t="s">
        <v>11555</v>
      </c>
      <c r="AC616" t="s">
        <v>74</v>
      </c>
      <c r="AD616" t="s">
        <v>74</v>
      </c>
      <c r="AE616" t="s">
        <v>74</v>
      </c>
      <c r="AF616" t="s">
        <v>74</v>
      </c>
      <c r="AG616">
        <v>46</v>
      </c>
      <c r="AH616">
        <v>13</v>
      </c>
      <c r="AI616">
        <v>16</v>
      </c>
      <c r="AJ616">
        <v>0</v>
      </c>
      <c r="AK616">
        <v>26</v>
      </c>
      <c r="AL616" t="s">
        <v>195</v>
      </c>
      <c r="AM616" t="s">
        <v>155</v>
      </c>
      <c r="AN616" t="s">
        <v>196</v>
      </c>
      <c r="AO616" t="s">
        <v>7335</v>
      </c>
      <c r="AP616" t="s">
        <v>11556</v>
      </c>
      <c r="AQ616" t="s">
        <v>74</v>
      </c>
      <c r="AR616" t="s">
        <v>7323</v>
      </c>
      <c r="AS616" t="s">
        <v>7336</v>
      </c>
      <c r="AT616" t="s">
        <v>11505</v>
      </c>
      <c r="AU616">
        <v>2013</v>
      </c>
      <c r="AV616">
        <v>388</v>
      </c>
      <c r="AW616" t="s">
        <v>74</v>
      </c>
      <c r="AX616" t="s">
        <v>74</v>
      </c>
      <c r="AY616" t="s">
        <v>74</v>
      </c>
      <c r="AZ616" t="s">
        <v>74</v>
      </c>
      <c r="BA616" t="s">
        <v>74</v>
      </c>
      <c r="BB616">
        <v>99</v>
      </c>
      <c r="BC616">
        <v>104</v>
      </c>
      <c r="BD616" t="s">
        <v>74</v>
      </c>
      <c r="BE616" t="s">
        <v>11557</v>
      </c>
      <c r="BF616" t="str">
        <f>HYPERLINK("http://dx.doi.org/10.1016/j.aquaculture.2013.01.020","http://dx.doi.org/10.1016/j.aquaculture.2013.01.020")</f>
        <v>http://dx.doi.org/10.1016/j.aquaculture.2013.01.020</v>
      </c>
      <c r="BG616" t="s">
        <v>74</v>
      </c>
      <c r="BH616" t="s">
        <v>74</v>
      </c>
      <c r="BI616">
        <v>6</v>
      </c>
      <c r="BJ616" t="s">
        <v>487</v>
      </c>
      <c r="BK616" t="s">
        <v>102</v>
      </c>
      <c r="BL616" t="s">
        <v>487</v>
      </c>
      <c r="BM616" t="s">
        <v>11558</v>
      </c>
      <c r="BN616" t="s">
        <v>74</v>
      </c>
      <c r="BO616" t="s">
        <v>74</v>
      </c>
      <c r="BP616" t="s">
        <v>74</v>
      </c>
      <c r="BQ616" t="s">
        <v>74</v>
      </c>
      <c r="BR616" t="s">
        <v>105</v>
      </c>
      <c r="BS616" t="s">
        <v>11559</v>
      </c>
      <c r="BT616" t="str">
        <f>HYPERLINK("https%3A%2F%2Fwww.webofscience.com%2Fwos%2Fwoscc%2Ffull-record%2FWOS:000316195600014","View Full Record in Web of Science")</f>
        <v>View Full Record in Web of Science</v>
      </c>
    </row>
    <row r="617" spans="1:72" x14ac:dyDescent="0.15">
      <c r="A617" t="s">
        <v>72</v>
      </c>
      <c r="B617" t="s">
        <v>11560</v>
      </c>
      <c r="C617" t="s">
        <v>74</v>
      </c>
      <c r="D617" t="s">
        <v>74</v>
      </c>
      <c r="E617" t="s">
        <v>74</v>
      </c>
      <c r="F617" t="s">
        <v>11561</v>
      </c>
      <c r="G617" t="s">
        <v>74</v>
      </c>
      <c r="H617" t="s">
        <v>74</v>
      </c>
      <c r="I617" t="s">
        <v>11562</v>
      </c>
      <c r="J617" t="s">
        <v>1366</v>
      </c>
      <c r="K617" t="s">
        <v>74</v>
      </c>
      <c r="L617" t="s">
        <v>74</v>
      </c>
      <c r="M617" t="s">
        <v>78</v>
      </c>
      <c r="N617" t="s">
        <v>79</v>
      </c>
      <c r="O617" t="s">
        <v>74</v>
      </c>
      <c r="P617" t="s">
        <v>74</v>
      </c>
      <c r="Q617" t="s">
        <v>74</v>
      </c>
      <c r="R617" t="s">
        <v>74</v>
      </c>
      <c r="S617" t="s">
        <v>74</v>
      </c>
      <c r="T617" t="s">
        <v>11563</v>
      </c>
      <c r="U617" t="s">
        <v>11564</v>
      </c>
      <c r="V617" t="s">
        <v>11565</v>
      </c>
      <c r="W617" t="s">
        <v>11566</v>
      </c>
      <c r="X617" t="s">
        <v>11567</v>
      </c>
      <c r="Y617" t="s">
        <v>11568</v>
      </c>
      <c r="Z617" t="s">
        <v>11569</v>
      </c>
      <c r="AA617" t="s">
        <v>11570</v>
      </c>
      <c r="AB617" t="s">
        <v>11571</v>
      </c>
      <c r="AC617" t="s">
        <v>11572</v>
      </c>
      <c r="AD617" t="s">
        <v>11573</v>
      </c>
      <c r="AE617" t="s">
        <v>11574</v>
      </c>
      <c r="AF617" t="s">
        <v>74</v>
      </c>
      <c r="AG617">
        <v>121</v>
      </c>
      <c r="AH617">
        <v>63</v>
      </c>
      <c r="AI617">
        <v>70</v>
      </c>
      <c r="AJ617">
        <v>1</v>
      </c>
      <c r="AK617">
        <v>89</v>
      </c>
      <c r="AL617" t="s">
        <v>195</v>
      </c>
      <c r="AM617" t="s">
        <v>155</v>
      </c>
      <c r="AN617" t="s">
        <v>196</v>
      </c>
      <c r="AO617" t="s">
        <v>1379</v>
      </c>
      <c r="AP617" t="s">
        <v>1380</v>
      </c>
      <c r="AQ617" t="s">
        <v>74</v>
      </c>
      <c r="AR617" t="s">
        <v>1381</v>
      </c>
      <c r="AS617" t="s">
        <v>1382</v>
      </c>
      <c r="AT617" t="s">
        <v>11505</v>
      </c>
      <c r="AU617">
        <v>2013</v>
      </c>
      <c r="AV617">
        <v>368</v>
      </c>
      <c r="AW617" t="s">
        <v>74</v>
      </c>
      <c r="AX617" t="s">
        <v>74</v>
      </c>
      <c r="AY617" t="s">
        <v>74</v>
      </c>
      <c r="AZ617" t="s">
        <v>74</v>
      </c>
      <c r="BA617" t="s">
        <v>74</v>
      </c>
      <c r="BB617">
        <v>20</v>
      </c>
      <c r="BC617">
        <v>32</v>
      </c>
      <c r="BD617" t="s">
        <v>74</v>
      </c>
      <c r="BE617" t="s">
        <v>11575</v>
      </c>
      <c r="BF617" t="str">
        <f>HYPERLINK("http://dx.doi.org/10.1016/j.epsl.2013.02.028","http://dx.doi.org/10.1016/j.epsl.2013.02.028")</f>
        <v>http://dx.doi.org/10.1016/j.epsl.2013.02.028</v>
      </c>
      <c r="BG617" t="s">
        <v>74</v>
      </c>
      <c r="BH617" t="s">
        <v>74</v>
      </c>
      <c r="BI617">
        <v>13</v>
      </c>
      <c r="BJ617" t="s">
        <v>766</v>
      </c>
      <c r="BK617" t="s">
        <v>102</v>
      </c>
      <c r="BL617" t="s">
        <v>766</v>
      </c>
      <c r="BM617" t="s">
        <v>11507</v>
      </c>
      <c r="BN617" t="s">
        <v>74</v>
      </c>
      <c r="BO617" t="s">
        <v>8685</v>
      </c>
      <c r="BP617" t="s">
        <v>74</v>
      </c>
      <c r="BQ617" t="s">
        <v>74</v>
      </c>
      <c r="BR617" t="s">
        <v>105</v>
      </c>
      <c r="BS617" t="s">
        <v>11576</v>
      </c>
      <c r="BT617" t="str">
        <f>HYPERLINK("https%3A%2F%2Fwww.webofscience.com%2Fwos%2Fwoscc%2Ffull-record%2FWOS:000320087900003","View Full Record in Web of Science")</f>
        <v>View Full Record in Web of Science</v>
      </c>
    </row>
    <row r="618" spans="1:72" x14ac:dyDescent="0.15">
      <c r="A618" t="s">
        <v>72</v>
      </c>
      <c r="B618" t="s">
        <v>11577</v>
      </c>
      <c r="C618" t="s">
        <v>74</v>
      </c>
      <c r="D618" t="s">
        <v>74</v>
      </c>
      <c r="E618" t="s">
        <v>74</v>
      </c>
      <c r="F618" t="s">
        <v>11578</v>
      </c>
      <c r="G618" t="s">
        <v>74</v>
      </c>
      <c r="H618" t="s">
        <v>74</v>
      </c>
      <c r="I618" t="s">
        <v>11579</v>
      </c>
      <c r="J618" t="s">
        <v>8813</v>
      </c>
      <c r="K618" t="s">
        <v>74</v>
      </c>
      <c r="L618" t="s">
        <v>74</v>
      </c>
      <c r="M618" t="s">
        <v>78</v>
      </c>
      <c r="N618" t="s">
        <v>79</v>
      </c>
      <c r="O618" t="s">
        <v>74</v>
      </c>
      <c r="P618" t="s">
        <v>74</v>
      </c>
      <c r="Q618" t="s">
        <v>74</v>
      </c>
      <c r="R618" t="s">
        <v>74</v>
      </c>
      <c r="S618" t="s">
        <v>74</v>
      </c>
      <c r="T618" t="s">
        <v>11580</v>
      </c>
      <c r="U618" t="s">
        <v>11581</v>
      </c>
      <c r="V618" t="s">
        <v>11582</v>
      </c>
      <c r="W618" t="s">
        <v>11583</v>
      </c>
      <c r="X618" t="s">
        <v>11584</v>
      </c>
      <c r="Y618" t="s">
        <v>11585</v>
      </c>
      <c r="Z618" t="s">
        <v>10629</v>
      </c>
      <c r="AA618" t="s">
        <v>11586</v>
      </c>
      <c r="AB618" t="s">
        <v>10631</v>
      </c>
      <c r="AC618" t="s">
        <v>11587</v>
      </c>
      <c r="AD618" t="s">
        <v>11588</v>
      </c>
      <c r="AE618" t="s">
        <v>11589</v>
      </c>
      <c r="AF618" t="s">
        <v>74</v>
      </c>
      <c r="AG618">
        <v>76</v>
      </c>
      <c r="AH618">
        <v>37</v>
      </c>
      <c r="AI618">
        <v>39</v>
      </c>
      <c r="AJ618">
        <v>2</v>
      </c>
      <c r="AK618">
        <v>61</v>
      </c>
      <c r="AL618" t="s">
        <v>506</v>
      </c>
      <c r="AM618" t="s">
        <v>442</v>
      </c>
      <c r="AN618" t="s">
        <v>507</v>
      </c>
      <c r="AO618" t="s">
        <v>8826</v>
      </c>
      <c r="AP618" t="s">
        <v>8827</v>
      </c>
      <c r="AQ618" t="s">
        <v>74</v>
      </c>
      <c r="AR618" t="s">
        <v>8828</v>
      </c>
      <c r="AS618" t="s">
        <v>8829</v>
      </c>
      <c r="AT618" t="s">
        <v>11505</v>
      </c>
      <c r="AU618">
        <v>2013</v>
      </c>
      <c r="AV618">
        <v>69</v>
      </c>
      <c r="AW618" t="s">
        <v>8830</v>
      </c>
      <c r="AX618" t="s">
        <v>74</v>
      </c>
      <c r="AY618" t="s">
        <v>74</v>
      </c>
      <c r="AZ618" t="s">
        <v>74</v>
      </c>
      <c r="BA618" t="s">
        <v>74</v>
      </c>
      <c r="BB618">
        <v>67</v>
      </c>
      <c r="BC618">
        <v>75</v>
      </c>
      <c r="BD618" t="s">
        <v>74</v>
      </c>
      <c r="BE618" t="s">
        <v>11590</v>
      </c>
      <c r="BF618" t="str">
        <f>HYPERLINK("http://dx.doi.org/10.1016/j.marpolbul.2013.01.004","http://dx.doi.org/10.1016/j.marpolbul.2013.01.004")</f>
        <v>http://dx.doi.org/10.1016/j.marpolbul.2013.01.004</v>
      </c>
      <c r="BG618" t="s">
        <v>74</v>
      </c>
      <c r="BH618" t="s">
        <v>74</v>
      </c>
      <c r="BI618">
        <v>9</v>
      </c>
      <c r="BJ618" t="s">
        <v>4060</v>
      </c>
      <c r="BK618" t="s">
        <v>102</v>
      </c>
      <c r="BL618" t="s">
        <v>163</v>
      </c>
      <c r="BM618" t="s">
        <v>11591</v>
      </c>
      <c r="BN618">
        <v>23465574</v>
      </c>
      <c r="BO618" t="s">
        <v>426</v>
      </c>
      <c r="BP618" t="s">
        <v>74</v>
      </c>
      <c r="BQ618" t="s">
        <v>74</v>
      </c>
      <c r="BR618" t="s">
        <v>105</v>
      </c>
      <c r="BS618" t="s">
        <v>11592</v>
      </c>
      <c r="BT618" t="str">
        <f>HYPERLINK("https%3A%2F%2Fwww.webofscience.com%2Fwos%2Fwoscc%2Ffull-record%2FWOS:000318377400021","View Full Record in Web of Science")</f>
        <v>View Full Record in Web of Science</v>
      </c>
    </row>
    <row r="619" spans="1:72" x14ac:dyDescent="0.15">
      <c r="A619" t="s">
        <v>72</v>
      </c>
      <c r="B619" t="s">
        <v>11593</v>
      </c>
      <c r="C619" t="s">
        <v>74</v>
      </c>
      <c r="D619" t="s">
        <v>74</v>
      </c>
      <c r="E619" t="s">
        <v>74</v>
      </c>
      <c r="F619" t="s">
        <v>11594</v>
      </c>
      <c r="G619" t="s">
        <v>74</v>
      </c>
      <c r="H619" t="s">
        <v>74</v>
      </c>
      <c r="I619" t="s">
        <v>11595</v>
      </c>
      <c r="J619" t="s">
        <v>2278</v>
      </c>
      <c r="K619" t="s">
        <v>74</v>
      </c>
      <c r="L619" t="s">
        <v>74</v>
      </c>
      <c r="M619" t="s">
        <v>78</v>
      </c>
      <c r="N619" t="s">
        <v>79</v>
      </c>
      <c r="O619" t="s">
        <v>74</v>
      </c>
      <c r="P619" t="s">
        <v>74</v>
      </c>
      <c r="Q619" t="s">
        <v>74</v>
      </c>
      <c r="R619" t="s">
        <v>74</v>
      </c>
      <c r="S619" t="s">
        <v>74</v>
      </c>
      <c r="T619" t="s">
        <v>11596</v>
      </c>
      <c r="U619" t="s">
        <v>11597</v>
      </c>
      <c r="V619" t="s">
        <v>11598</v>
      </c>
      <c r="W619" t="s">
        <v>11599</v>
      </c>
      <c r="X619" t="s">
        <v>11600</v>
      </c>
      <c r="Y619" t="s">
        <v>11601</v>
      </c>
      <c r="Z619" t="s">
        <v>11602</v>
      </c>
      <c r="AA619" t="s">
        <v>11603</v>
      </c>
      <c r="AB619" t="s">
        <v>11604</v>
      </c>
      <c r="AC619" t="s">
        <v>11605</v>
      </c>
      <c r="AD619" t="s">
        <v>11606</v>
      </c>
      <c r="AE619" t="s">
        <v>11607</v>
      </c>
      <c r="AF619" t="s">
        <v>74</v>
      </c>
      <c r="AG619">
        <v>93</v>
      </c>
      <c r="AH619">
        <v>109</v>
      </c>
      <c r="AI619">
        <v>117</v>
      </c>
      <c r="AJ619">
        <v>3</v>
      </c>
      <c r="AK619">
        <v>135</v>
      </c>
      <c r="AL619" t="s">
        <v>2290</v>
      </c>
      <c r="AM619" t="s">
        <v>2291</v>
      </c>
      <c r="AN619" t="s">
        <v>2292</v>
      </c>
      <c r="AO619" t="s">
        <v>2293</v>
      </c>
      <c r="AP619" t="s">
        <v>2294</v>
      </c>
      <c r="AQ619" t="s">
        <v>74</v>
      </c>
      <c r="AR619" t="s">
        <v>2295</v>
      </c>
      <c r="AS619" t="s">
        <v>2296</v>
      </c>
      <c r="AT619" t="s">
        <v>11608</v>
      </c>
      <c r="AU619">
        <v>2013</v>
      </c>
      <c r="AV619">
        <v>103</v>
      </c>
      <c r="AW619">
        <v>3</v>
      </c>
      <c r="AX619" t="s">
        <v>74</v>
      </c>
      <c r="AY619" t="s">
        <v>74</v>
      </c>
      <c r="AZ619" t="s">
        <v>74</v>
      </c>
      <c r="BA619" t="s">
        <v>74</v>
      </c>
      <c r="BB619">
        <v>229</v>
      </c>
      <c r="BC619" t="s">
        <v>7715</v>
      </c>
      <c r="BD619" t="s">
        <v>74</v>
      </c>
      <c r="BE619" t="s">
        <v>11609</v>
      </c>
      <c r="BF619" t="str">
        <f>HYPERLINK("http://dx.doi.org/10.3354/dao02566","http://dx.doi.org/10.3354/dao02566")</f>
        <v>http://dx.doi.org/10.3354/dao02566</v>
      </c>
      <c r="BG619" t="s">
        <v>74</v>
      </c>
      <c r="BH619" t="s">
        <v>74</v>
      </c>
      <c r="BI619">
        <v>37</v>
      </c>
      <c r="BJ619" t="s">
        <v>2299</v>
      </c>
      <c r="BK619" t="s">
        <v>102</v>
      </c>
      <c r="BL619" t="s">
        <v>2299</v>
      </c>
      <c r="BM619" t="s">
        <v>11610</v>
      </c>
      <c r="BN619">
        <v>23574708</v>
      </c>
      <c r="BO619" t="s">
        <v>997</v>
      </c>
      <c r="BP619" t="s">
        <v>74</v>
      </c>
      <c r="BQ619" t="s">
        <v>74</v>
      </c>
      <c r="BR619" t="s">
        <v>105</v>
      </c>
      <c r="BS619" t="s">
        <v>11611</v>
      </c>
      <c r="BT619" t="str">
        <f>HYPERLINK("https%3A%2F%2Fwww.webofscience.com%2Fwos%2Fwoscc%2Ffull-record%2FWOS:000317938100006","View Full Record in Web of Science")</f>
        <v>View Full Record in Web of Science</v>
      </c>
    </row>
    <row r="620" spans="1:72" x14ac:dyDescent="0.15">
      <c r="A620" t="s">
        <v>72</v>
      </c>
      <c r="B620" t="s">
        <v>11612</v>
      </c>
      <c r="C620" t="s">
        <v>74</v>
      </c>
      <c r="D620" t="s">
        <v>74</v>
      </c>
      <c r="E620" t="s">
        <v>74</v>
      </c>
      <c r="F620" t="s">
        <v>11613</v>
      </c>
      <c r="G620" t="s">
        <v>74</v>
      </c>
      <c r="H620" t="s">
        <v>74</v>
      </c>
      <c r="I620" t="s">
        <v>11614</v>
      </c>
      <c r="J620" t="s">
        <v>8537</v>
      </c>
      <c r="K620" t="s">
        <v>74</v>
      </c>
      <c r="L620" t="s">
        <v>74</v>
      </c>
      <c r="M620" t="s">
        <v>78</v>
      </c>
      <c r="N620" t="s">
        <v>79</v>
      </c>
      <c r="O620" t="s">
        <v>74</v>
      </c>
      <c r="P620" t="s">
        <v>74</v>
      </c>
      <c r="Q620" t="s">
        <v>74</v>
      </c>
      <c r="R620" t="s">
        <v>74</v>
      </c>
      <c r="S620" t="s">
        <v>74</v>
      </c>
      <c r="T620" t="s">
        <v>11615</v>
      </c>
      <c r="U620" t="s">
        <v>2090</v>
      </c>
      <c r="V620" t="s">
        <v>74</v>
      </c>
      <c r="W620" t="s">
        <v>11616</v>
      </c>
      <c r="X620" t="s">
        <v>11617</v>
      </c>
      <c r="Y620" t="s">
        <v>11618</v>
      </c>
      <c r="Z620" t="s">
        <v>11619</v>
      </c>
      <c r="AA620" t="s">
        <v>11620</v>
      </c>
      <c r="AB620" t="s">
        <v>11621</v>
      </c>
      <c r="AC620" t="s">
        <v>74</v>
      </c>
      <c r="AD620" t="s">
        <v>74</v>
      </c>
      <c r="AE620" t="s">
        <v>74</v>
      </c>
      <c r="AF620" t="s">
        <v>74</v>
      </c>
      <c r="AG620">
        <v>22</v>
      </c>
      <c r="AH620">
        <v>8</v>
      </c>
      <c r="AI620">
        <v>8</v>
      </c>
      <c r="AJ620">
        <v>0</v>
      </c>
      <c r="AK620">
        <v>50</v>
      </c>
      <c r="AL620" t="s">
        <v>8548</v>
      </c>
      <c r="AM620" t="s">
        <v>8549</v>
      </c>
      <c r="AN620" t="s">
        <v>8550</v>
      </c>
      <c r="AO620" t="s">
        <v>8551</v>
      </c>
      <c r="AP620" t="s">
        <v>74</v>
      </c>
      <c r="AQ620" t="s">
        <v>74</v>
      </c>
      <c r="AR620" t="s">
        <v>8552</v>
      </c>
      <c r="AS620" t="s">
        <v>8553</v>
      </c>
      <c r="AT620" t="s">
        <v>11622</v>
      </c>
      <c r="AU620">
        <v>2013</v>
      </c>
      <c r="AV620">
        <v>104</v>
      </c>
      <c r="AW620">
        <v>7</v>
      </c>
      <c r="AX620" t="s">
        <v>74</v>
      </c>
      <c r="AY620" t="s">
        <v>74</v>
      </c>
      <c r="AZ620" t="s">
        <v>74</v>
      </c>
      <c r="BA620" t="s">
        <v>74</v>
      </c>
      <c r="BB620">
        <v>835</v>
      </c>
      <c r="BC620">
        <v>840</v>
      </c>
      <c r="BD620" t="s">
        <v>74</v>
      </c>
      <c r="BE620" t="s">
        <v>74</v>
      </c>
      <c r="BF620" t="s">
        <v>74</v>
      </c>
      <c r="BG620" t="s">
        <v>74</v>
      </c>
      <c r="BH620" t="s">
        <v>74</v>
      </c>
      <c r="BI620">
        <v>6</v>
      </c>
      <c r="BJ620" t="s">
        <v>1880</v>
      </c>
      <c r="BK620" t="s">
        <v>102</v>
      </c>
      <c r="BL620" t="s">
        <v>1881</v>
      </c>
      <c r="BM620" t="s">
        <v>11623</v>
      </c>
      <c r="BN620" t="s">
        <v>74</v>
      </c>
      <c r="BO620" t="s">
        <v>74</v>
      </c>
      <c r="BP620" t="s">
        <v>74</v>
      </c>
      <c r="BQ620" t="s">
        <v>74</v>
      </c>
      <c r="BR620" t="s">
        <v>105</v>
      </c>
      <c r="BS620" t="s">
        <v>11624</v>
      </c>
      <c r="BT620" t="str">
        <f>HYPERLINK("https%3A%2F%2Fwww.webofscience.com%2Fwos%2Fwoscc%2Ffull-record%2FWOS:000318128900014","View Full Record in Web of Science")</f>
        <v>View Full Record in Web of Science</v>
      </c>
    </row>
    <row r="621" spans="1:72" x14ac:dyDescent="0.15">
      <c r="A621" t="s">
        <v>72</v>
      </c>
      <c r="B621" t="s">
        <v>11625</v>
      </c>
      <c r="C621" t="s">
        <v>74</v>
      </c>
      <c r="D621" t="s">
        <v>74</v>
      </c>
      <c r="E621" t="s">
        <v>74</v>
      </c>
      <c r="F621" t="s">
        <v>11626</v>
      </c>
      <c r="G621" t="s">
        <v>74</v>
      </c>
      <c r="H621" t="s">
        <v>74</v>
      </c>
      <c r="I621" t="s">
        <v>11627</v>
      </c>
      <c r="J621" t="s">
        <v>11628</v>
      </c>
      <c r="K621" t="s">
        <v>74</v>
      </c>
      <c r="L621" t="s">
        <v>74</v>
      </c>
      <c r="M621" t="s">
        <v>78</v>
      </c>
      <c r="N621" t="s">
        <v>79</v>
      </c>
      <c r="O621" t="s">
        <v>74</v>
      </c>
      <c r="P621" t="s">
        <v>74</v>
      </c>
      <c r="Q621" t="s">
        <v>74</v>
      </c>
      <c r="R621" t="s">
        <v>74</v>
      </c>
      <c r="S621" t="s">
        <v>74</v>
      </c>
      <c r="T621" t="s">
        <v>74</v>
      </c>
      <c r="U621" t="s">
        <v>11629</v>
      </c>
      <c r="V621" t="s">
        <v>11630</v>
      </c>
      <c r="W621" t="s">
        <v>11631</v>
      </c>
      <c r="X621" t="s">
        <v>11632</v>
      </c>
      <c r="Y621" t="s">
        <v>11633</v>
      </c>
      <c r="Z621" t="s">
        <v>11634</v>
      </c>
      <c r="AA621" t="s">
        <v>11635</v>
      </c>
      <c r="AB621" t="s">
        <v>11636</v>
      </c>
      <c r="AC621" t="s">
        <v>11637</v>
      </c>
      <c r="AD621" t="s">
        <v>11638</v>
      </c>
      <c r="AE621" t="s">
        <v>11639</v>
      </c>
      <c r="AF621" t="s">
        <v>74</v>
      </c>
      <c r="AG621">
        <v>25</v>
      </c>
      <c r="AH621">
        <v>3</v>
      </c>
      <c r="AI621">
        <v>3</v>
      </c>
      <c r="AJ621">
        <v>0</v>
      </c>
      <c r="AK621">
        <v>46</v>
      </c>
      <c r="AL621" t="s">
        <v>1080</v>
      </c>
      <c r="AM621" t="s">
        <v>1081</v>
      </c>
      <c r="AN621" t="s">
        <v>1082</v>
      </c>
      <c r="AO621" t="s">
        <v>11640</v>
      </c>
      <c r="AP621" t="s">
        <v>11641</v>
      </c>
      <c r="AQ621" t="s">
        <v>74</v>
      </c>
      <c r="AR621" t="s">
        <v>11642</v>
      </c>
      <c r="AS621" t="s">
        <v>11643</v>
      </c>
      <c r="AT621" t="s">
        <v>11622</v>
      </c>
      <c r="AU621">
        <v>2013</v>
      </c>
      <c r="AV621">
        <v>34</v>
      </c>
      <c r="AW621">
        <v>7</v>
      </c>
      <c r="AX621" t="s">
        <v>74</v>
      </c>
      <c r="AY621" t="s">
        <v>74</v>
      </c>
      <c r="AZ621" t="s">
        <v>74</v>
      </c>
      <c r="BA621" t="s">
        <v>74</v>
      </c>
      <c r="BB621">
        <v>2519</v>
      </c>
      <c r="BC621">
        <v>2530</v>
      </c>
      <c r="BD621" t="s">
        <v>74</v>
      </c>
      <c r="BE621" t="s">
        <v>11644</v>
      </c>
      <c r="BF621" t="str">
        <f>HYPERLINK("http://dx.doi.org/10.1080/01431161.2012.746485","http://dx.doi.org/10.1080/01431161.2012.746485")</f>
        <v>http://dx.doi.org/10.1080/01431161.2012.746485</v>
      </c>
      <c r="BG621" t="s">
        <v>74</v>
      </c>
      <c r="BH621" t="s">
        <v>74</v>
      </c>
      <c r="BI621">
        <v>12</v>
      </c>
      <c r="BJ621" t="s">
        <v>11645</v>
      </c>
      <c r="BK621" t="s">
        <v>102</v>
      </c>
      <c r="BL621" t="s">
        <v>11645</v>
      </c>
      <c r="BM621" t="s">
        <v>11646</v>
      </c>
      <c r="BN621" t="s">
        <v>74</v>
      </c>
      <c r="BO621" t="s">
        <v>74</v>
      </c>
      <c r="BP621" t="s">
        <v>74</v>
      </c>
      <c r="BQ621" t="s">
        <v>74</v>
      </c>
      <c r="BR621" t="s">
        <v>105</v>
      </c>
      <c r="BS621" t="s">
        <v>11647</v>
      </c>
      <c r="BT621" t="str">
        <f>HYPERLINK("https%3A%2F%2Fwww.webofscience.com%2Fwos%2Fwoscc%2Ffull-record%2FWOS:000315722200016","View Full Record in Web of Science")</f>
        <v>View Full Record in Web of Science</v>
      </c>
    </row>
    <row r="622" spans="1:72" x14ac:dyDescent="0.15">
      <c r="A622" t="s">
        <v>72</v>
      </c>
      <c r="B622" t="s">
        <v>11648</v>
      </c>
      <c r="C622" t="s">
        <v>74</v>
      </c>
      <c r="D622" t="s">
        <v>74</v>
      </c>
      <c r="E622" t="s">
        <v>74</v>
      </c>
      <c r="F622" t="s">
        <v>11649</v>
      </c>
      <c r="G622" t="s">
        <v>74</v>
      </c>
      <c r="H622" t="s">
        <v>74</v>
      </c>
      <c r="I622" t="s">
        <v>11650</v>
      </c>
      <c r="J622" t="s">
        <v>8537</v>
      </c>
      <c r="K622" t="s">
        <v>74</v>
      </c>
      <c r="L622" t="s">
        <v>74</v>
      </c>
      <c r="M622" t="s">
        <v>78</v>
      </c>
      <c r="N622" t="s">
        <v>79</v>
      </c>
      <c r="O622" t="s">
        <v>74</v>
      </c>
      <c r="P622" t="s">
        <v>74</v>
      </c>
      <c r="Q622" t="s">
        <v>74</v>
      </c>
      <c r="R622" t="s">
        <v>74</v>
      </c>
      <c r="S622" t="s">
        <v>74</v>
      </c>
      <c r="T622" t="s">
        <v>11651</v>
      </c>
      <c r="U622" t="s">
        <v>11652</v>
      </c>
      <c r="V622" t="s">
        <v>11653</v>
      </c>
      <c r="W622" t="s">
        <v>11654</v>
      </c>
      <c r="X622" t="s">
        <v>11516</v>
      </c>
      <c r="Y622" t="s">
        <v>11517</v>
      </c>
      <c r="Z622" t="s">
        <v>11655</v>
      </c>
      <c r="AA622" t="s">
        <v>11656</v>
      </c>
      <c r="AB622" t="s">
        <v>11520</v>
      </c>
      <c r="AC622" t="s">
        <v>11657</v>
      </c>
      <c r="AD622" t="s">
        <v>11658</v>
      </c>
      <c r="AE622" t="s">
        <v>11659</v>
      </c>
      <c r="AF622" t="s">
        <v>74</v>
      </c>
      <c r="AG622">
        <v>54</v>
      </c>
      <c r="AH622">
        <v>7</v>
      </c>
      <c r="AI622">
        <v>8</v>
      </c>
      <c r="AJ622">
        <v>0</v>
      </c>
      <c r="AK622">
        <v>14</v>
      </c>
      <c r="AL622" t="s">
        <v>8548</v>
      </c>
      <c r="AM622" t="s">
        <v>8549</v>
      </c>
      <c r="AN622" t="s">
        <v>8550</v>
      </c>
      <c r="AO622" t="s">
        <v>8551</v>
      </c>
      <c r="AP622" t="s">
        <v>74</v>
      </c>
      <c r="AQ622" t="s">
        <v>74</v>
      </c>
      <c r="AR622" t="s">
        <v>8552</v>
      </c>
      <c r="AS622" t="s">
        <v>8553</v>
      </c>
      <c r="AT622" t="s">
        <v>11622</v>
      </c>
      <c r="AU622">
        <v>2013</v>
      </c>
      <c r="AV622">
        <v>104</v>
      </c>
      <c r="AW622">
        <v>7</v>
      </c>
      <c r="AX622" t="s">
        <v>74</v>
      </c>
      <c r="AY622" t="s">
        <v>74</v>
      </c>
      <c r="AZ622" t="s">
        <v>74</v>
      </c>
      <c r="BA622" t="s">
        <v>74</v>
      </c>
      <c r="BB622">
        <v>904</v>
      </c>
      <c r="BC622">
        <v>910</v>
      </c>
      <c r="BD622" t="s">
        <v>74</v>
      </c>
      <c r="BE622" t="s">
        <v>74</v>
      </c>
      <c r="BF622" t="s">
        <v>74</v>
      </c>
      <c r="BG622" t="s">
        <v>74</v>
      </c>
      <c r="BH622" t="s">
        <v>74</v>
      </c>
      <c r="BI622">
        <v>7</v>
      </c>
      <c r="BJ622" t="s">
        <v>1880</v>
      </c>
      <c r="BK622" t="s">
        <v>102</v>
      </c>
      <c r="BL622" t="s">
        <v>1881</v>
      </c>
      <c r="BM622" t="s">
        <v>11623</v>
      </c>
      <c r="BN622" t="s">
        <v>74</v>
      </c>
      <c r="BO622" t="s">
        <v>74</v>
      </c>
      <c r="BP622" t="s">
        <v>74</v>
      </c>
      <c r="BQ622" t="s">
        <v>74</v>
      </c>
      <c r="BR622" t="s">
        <v>105</v>
      </c>
      <c r="BS622" t="s">
        <v>11660</v>
      </c>
      <c r="BT622" t="str">
        <f>HYPERLINK("https%3A%2F%2Fwww.webofscience.com%2Fwos%2Fwoscc%2Ffull-record%2FWOS:000318128900021","View Full Record in Web of Science")</f>
        <v>View Full Record in Web of Science</v>
      </c>
    </row>
    <row r="623" spans="1:72" x14ac:dyDescent="0.15">
      <c r="A623" t="s">
        <v>72</v>
      </c>
      <c r="B623" t="s">
        <v>11661</v>
      </c>
      <c r="C623" t="s">
        <v>74</v>
      </c>
      <c r="D623" t="s">
        <v>74</v>
      </c>
      <c r="E623" t="s">
        <v>74</v>
      </c>
      <c r="F623" t="s">
        <v>11662</v>
      </c>
      <c r="G623" t="s">
        <v>74</v>
      </c>
      <c r="H623" t="s">
        <v>74</v>
      </c>
      <c r="I623" t="s">
        <v>11663</v>
      </c>
      <c r="J623" t="s">
        <v>11170</v>
      </c>
      <c r="K623" t="s">
        <v>74</v>
      </c>
      <c r="L623" t="s">
        <v>74</v>
      </c>
      <c r="M623" t="s">
        <v>78</v>
      </c>
      <c r="N623" t="s">
        <v>79</v>
      </c>
      <c r="O623" t="s">
        <v>74</v>
      </c>
      <c r="P623" t="s">
        <v>74</v>
      </c>
      <c r="Q623" t="s">
        <v>74</v>
      </c>
      <c r="R623" t="s">
        <v>74</v>
      </c>
      <c r="S623" t="s">
        <v>74</v>
      </c>
      <c r="T623" t="s">
        <v>74</v>
      </c>
      <c r="U623" t="s">
        <v>11664</v>
      </c>
      <c r="V623" t="s">
        <v>11665</v>
      </c>
      <c r="W623" t="s">
        <v>11666</v>
      </c>
      <c r="X623" t="s">
        <v>11667</v>
      </c>
      <c r="Y623" t="s">
        <v>11668</v>
      </c>
      <c r="Z623" t="s">
        <v>11669</v>
      </c>
      <c r="AA623" t="s">
        <v>11670</v>
      </c>
      <c r="AB623" t="s">
        <v>11671</v>
      </c>
      <c r="AC623" t="s">
        <v>11672</v>
      </c>
      <c r="AD623" t="s">
        <v>11673</v>
      </c>
      <c r="AE623" t="s">
        <v>11674</v>
      </c>
      <c r="AF623" t="s">
        <v>74</v>
      </c>
      <c r="AG623">
        <v>40</v>
      </c>
      <c r="AH623">
        <v>28</v>
      </c>
      <c r="AI623">
        <v>31</v>
      </c>
      <c r="AJ623">
        <v>0</v>
      </c>
      <c r="AK623">
        <v>27</v>
      </c>
      <c r="AL623" t="s">
        <v>5020</v>
      </c>
      <c r="AM623" t="s">
        <v>93</v>
      </c>
      <c r="AN623" t="s">
        <v>5021</v>
      </c>
      <c r="AO623" t="s">
        <v>11181</v>
      </c>
      <c r="AP623" t="s">
        <v>74</v>
      </c>
      <c r="AQ623" t="s">
        <v>74</v>
      </c>
      <c r="AR623" t="s">
        <v>11182</v>
      </c>
      <c r="AS623" t="s">
        <v>11183</v>
      </c>
      <c r="AT623" t="s">
        <v>11675</v>
      </c>
      <c r="AU623">
        <v>2013</v>
      </c>
      <c r="AV623">
        <v>52</v>
      </c>
      <c r="AW623">
        <v>14</v>
      </c>
      <c r="AX623" t="s">
        <v>74</v>
      </c>
      <c r="AY623" t="s">
        <v>74</v>
      </c>
      <c r="AZ623" t="s">
        <v>74</v>
      </c>
      <c r="BA623" t="s">
        <v>74</v>
      </c>
      <c r="BB623">
        <v>2402</v>
      </c>
      <c r="BC623">
        <v>2409</v>
      </c>
      <c r="BD623" t="s">
        <v>74</v>
      </c>
      <c r="BE623" t="s">
        <v>11676</v>
      </c>
      <c r="BF623" t="str">
        <f>HYPERLINK("http://dx.doi.org/10.1021/bi3016789","http://dx.doi.org/10.1021/bi3016789")</f>
        <v>http://dx.doi.org/10.1021/bi3016789</v>
      </c>
      <c r="BG623" t="s">
        <v>74</v>
      </c>
      <c r="BH623" t="s">
        <v>74</v>
      </c>
      <c r="BI623">
        <v>8</v>
      </c>
      <c r="BJ623" t="s">
        <v>11186</v>
      </c>
      <c r="BK623" t="s">
        <v>102</v>
      </c>
      <c r="BL623" t="s">
        <v>11186</v>
      </c>
      <c r="BM623" t="s">
        <v>11677</v>
      </c>
      <c r="BN623">
        <v>23461364</v>
      </c>
      <c r="BO623" t="s">
        <v>74</v>
      </c>
      <c r="BP623" t="s">
        <v>74</v>
      </c>
      <c r="BQ623" t="s">
        <v>74</v>
      </c>
      <c r="BR623" t="s">
        <v>105</v>
      </c>
      <c r="BS623" t="s">
        <v>11678</v>
      </c>
      <c r="BT623" t="str">
        <f>HYPERLINK("https%3A%2F%2Fwww.webofscience.com%2Fwos%2Fwoscc%2Ffull-record%2FWOS:000317438500003","View Full Record in Web of Science")</f>
        <v>View Full Record in Web of Science</v>
      </c>
    </row>
    <row r="624" spans="1:72" x14ac:dyDescent="0.15">
      <c r="A624" t="s">
        <v>72</v>
      </c>
      <c r="B624" t="s">
        <v>11679</v>
      </c>
      <c r="C624" t="s">
        <v>74</v>
      </c>
      <c r="D624" t="s">
        <v>74</v>
      </c>
      <c r="E624" t="s">
        <v>74</v>
      </c>
      <c r="F624" t="s">
        <v>11680</v>
      </c>
      <c r="G624" t="s">
        <v>74</v>
      </c>
      <c r="H624" t="s">
        <v>74</v>
      </c>
      <c r="I624" t="s">
        <v>11681</v>
      </c>
      <c r="J624" t="s">
        <v>2101</v>
      </c>
      <c r="K624" t="s">
        <v>74</v>
      </c>
      <c r="L624" t="s">
        <v>74</v>
      </c>
      <c r="M624" t="s">
        <v>78</v>
      </c>
      <c r="N624" t="s">
        <v>79</v>
      </c>
      <c r="O624" t="s">
        <v>74</v>
      </c>
      <c r="P624" t="s">
        <v>74</v>
      </c>
      <c r="Q624" t="s">
        <v>74</v>
      </c>
      <c r="R624" t="s">
        <v>74</v>
      </c>
      <c r="S624" t="s">
        <v>74</v>
      </c>
      <c r="T624" t="s">
        <v>11682</v>
      </c>
      <c r="U624" t="s">
        <v>11683</v>
      </c>
      <c r="V624" t="s">
        <v>11684</v>
      </c>
      <c r="W624" t="s">
        <v>11685</v>
      </c>
      <c r="X624" t="s">
        <v>11686</v>
      </c>
      <c r="Y624" t="s">
        <v>11687</v>
      </c>
      <c r="Z624" t="s">
        <v>11688</v>
      </c>
      <c r="AA624" t="s">
        <v>11689</v>
      </c>
      <c r="AB624" t="s">
        <v>11690</v>
      </c>
      <c r="AC624" t="s">
        <v>11691</v>
      </c>
      <c r="AD624" t="s">
        <v>11692</v>
      </c>
      <c r="AE624" t="s">
        <v>11693</v>
      </c>
      <c r="AF624" t="s">
        <v>74</v>
      </c>
      <c r="AG624">
        <v>39</v>
      </c>
      <c r="AH624">
        <v>18</v>
      </c>
      <c r="AI624">
        <v>19</v>
      </c>
      <c r="AJ624">
        <v>0</v>
      </c>
      <c r="AK624">
        <v>9</v>
      </c>
      <c r="AL624" t="s">
        <v>2112</v>
      </c>
      <c r="AM624" t="s">
        <v>2113</v>
      </c>
      <c r="AN624" t="s">
        <v>2114</v>
      </c>
      <c r="AO624" t="s">
        <v>2115</v>
      </c>
      <c r="AP624" t="s">
        <v>2116</v>
      </c>
      <c r="AQ624" t="s">
        <v>74</v>
      </c>
      <c r="AR624" t="s">
        <v>2101</v>
      </c>
      <c r="AS624" t="s">
        <v>2117</v>
      </c>
      <c r="AT624" t="s">
        <v>11694</v>
      </c>
      <c r="AU624">
        <v>2013</v>
      </c>
      <c r="AV624">
        <v>3636</v>
      </c>
      <c r="AW624">
        <v>4</v>
      </c>
      <c r="AX624" t="s">
        <v>74</v>
      </c>
      <c r="AY624" t="s">
        <v>74</v>
      </c>
      <c r="AZ624" t="s">
        <v>74</v>
      </c>
      <c r="BA624" t="s">
        <v>74</v>
      </c>
      <c r="BB624">
        <v>501</v>
      </c>
      <c r="BC624">
        <v>524</v>
      </c>
      <c r="BD624" t="s">
        <v>74</v>
      </c>
      <c r="BE624" t="s">
        <v>11695</v>
      </c>
      <c r="BF624" t="str">
        <f>HYPERLINK("http://dx.doi.org/10.11646/zootaxa.3636.4.1","http://dx.doi.org/10.11646/zootaxa.3636.4.1")</f>
        <v>http://dx.doi.org/10.11646/zootaxa.3636.4.1</v>
      </c>
      <c r="BG624" t="s">
        <v>74</v>
      </c>
      <c r="BH624" t="s">
        <v>74</v>
      </c>
      <c r="BI624">
        <v>24</v>
      </c>
      <c r="BJ624" t="s">
        <v>2120</v>
      </c>
      <c r="BK624" t="s">
        <v>102</v>
      </c>
      <c r="BL624" t="s">
        <v>2120</v>
      </c>
      <c r="BM624" t="s">
        <v>11696</v>
      </c>
      <c r="BN624">
        <v>26042308</v>
      </c>
      <c r="BO624" t="s">
        <v>74</v>
      </c>
      <c r="BP624" t="s">
        <v>74</v>
      </c>
      <c r="BQ624" t="s">
        <v>74</v>
      </c>
      <c r="BR624" t="s">
        <v>105</v>
      </c>
      <c r="BS624" t="s">
        <v>11697</v>
      </c>
      <c r="BT624" t="str">
        <f>HYPERLINK("https%3A%2F%2Fwww.webofscience.com%2Fwos%2Fwoscc%2Ffull-record%2FWOS:000317097200001","View Full Record in Web of Science")</f>
        <v>View Full Record in Web of Science</v>
      </c>
    </row>
    <row r="625" spans="1:72" x14ac:dyDescent="0.15">
      <c r="A625" t="s">
        <v>72</v>
      </c>
      <c r="B625" t="s">
        <v>11698</v>
      </c>
      <c r="C625" t="s">
        <v>74</v>
      </c>
      <c r="D625" t="s">
        <v>74</v>
      </c>
      <c r="E625" t="s">
        <v>74</v>
      </c>
      <c r="F625" t="s">
        <v>11699</v>
      </c>
      <c r="G625" t="s">
        <v>74</v>
      </c>
      <c r="H625" t="s">
        <v>74</v>
      </c>
      <c r="I625" t="s">
        <v>11700</v>
      </c>
      <c r="J625" t="s">
        <v>2343</v>
      </c>
      <c r="K625" t="s">
        <v>74</v>
      </c>
      <c r="L625" t="s">
        <v>74</v>
      </c>
      <c r="M625" t="s">
        <v>78</v>
      </c>
      <c r="N625" t="s">
        <v>79</v>
      </c>
      <c r="O625" t="s">
        <v>74</v>
      </c>
      <c r="P625" t="s">
        <v>74</v>
      </c>
      <c r="Q625" t="s">
        <v>74</v>
      </c>
      <c r="R625" t="s">
        <v>74</v>
      </c>
      <c r="S625" t="s">
        <v>74</v>
      </c>
      <c r="T625" t="s">
        <v>74</v>
      </c>
      <c r="U625" t="s">
        <v>11701</v>
      </c>
      <c r="V625" t="s">
        <v>11702</v>
      </c>
      <c r="W625" t="s">
        <v>11703</v>
      </c>
      <c r="X625" t="s">
        <v>11704</v>
      </c>
      <c r="Y625" t="s">
        <v>11705</v>
      </c>
      <c r="Z625" t="s">
        <v>11706</v>
      </c>
      <c r="AA625" t="s">
        <v>11707</v>
      </c>
      <c r="AB625" t="s">
        <v>11708</v>
      </c>
      <c r="AC625" t="s">
        <v>11709</v>
      </c>
      <c r="AD625" t="s">
        <v>11710</v>
      </c>
      <c r="AE625" t="s">
        <v>11711</v>
      </c>
      <c r="AF625" t="s">
        <v>74</v>
      </c>
      <c r="AG625">
        <v>69</v>
      </c>
      <c r="AH625">
        <v>54</v>
      </c>
      <c r="AI625">
        <v>62</v>
      </c>
      <c r="AJ625">
        <v>4</v>
      </c>
      <c r="AK625">
        <v>83</v>
      </c>
      <c r="AL625" t="s">
        <v>2355</v>
      </c>
      <c r="AM625" t="s">
        <v>2356</v>
      </c>
      <c r="AN625" t="s">
        <v>2357</v>
      </c>
      <c r="AO625" t="s">
        <v>2358</v>
      </c>
      <c r="AP625" t="s">
        <v>74</v>
      </c>
      <c r="AQ625" t="s">
        <v>74</v>
      </c>
      <c r="AR625" t="s">
        <v>2343</v>
      </c>
      <c r="AS625" t="s">
        <v>2359</v>
      </c>
      <c r="AT625" t="s">
        <v>11694</v>
      </c>
      <c r="AU625">
        <v>2013</v>
      </c>
      <c r="AV625">
        <v>8</v>
      </c>
      <c r="AW625">
        <v>4</v>
      </c>
      <c r="AX625" t="s">
        <v>74</v>
      </c>
      <c r="AY625" t="s">
        <v>74</v>
      </c>
      <c r="AZ625" t="s">
        <v>74</v>
      </c>
      <c r="BA625" t="s">
        <v>74</v>
      </c>
      <c r="BB625" t="s">
        <v>74</v>
      </c>
      <c r="BC625" t="s">
        <v>74</v>
      </c>
      <c r="BD625" t="s">
        <v>11712</v>
      </c>
      <c r="BE625" t="s">
        <v>11713</v>
      </c>
      <c r="BF625" t="str">
        <f>HYPERLINK("http://dx.doi.org/10.1371/journal.pone.0058076","http://dx.doi.org/10.1371/journal.pone.0058076")</f>
        <v>http://dx.doi.org/10.1371/journal.pone.0058076</v>
      </c>
      <c r="BG625" t="s">
        <v>74</v>
      </c>
      <c r="BH625" t="s">
        <v>74</v>
      </c>
      <c r="BI625">
        <v>11</v>
      </c>
      <c r="BJ625" t="s">
        <v>1880</v>
      </c>
      <c r="BK625" t="s">
        <v>102</v>
      </c>
      <c r="BL625" t="s">
        <v>1881</v>
      </c>
      <c r="BM625" t="s">
        <v>11714</v>
      </c>
      <c r="BN625">
        <v>23579925</v>
      </c>
      <c r="BO625" t="s">
        <v>2703</v>
      </c>
      <c r="BP625" t="s">
        <v>74</v>
      </c>
      <c r="BQ625" t="s">
        <v>74</v>
      </c>
      <c r="BR625" t="s">
        <v>105</v>
      </c>
      <c r="BS625" t="s">
        <v>11715</v>
      </c>
      <c r="BT625" t="str">
        <f>HYPERLINK("https%3A%2F%2Fwww.webofscience.com%2Fwos%2Fwoscc%2Ffull-record%2FWOS:000317898000002","View Full Record in Web of Science")</f>
        <v>View Full Record in Web of Science</v>
      </c>
    </row>
    <row r="626" spans="1:72" x14ac:dyDescent="0.15">
      <c r="A626" t="s">
        <v>72</v>
      </c>
      <c r="B626" t="s">
        <v>11716</v>
      </c>
      <c r="C626" t="s">
        <v>74</v>
      </c>
      <c r="D626" t="s">
        <v>74</v>
      </c>
      <c r="E626" t="s">
        <v>74</v>
      </c>
      <c r="F626" t="s">
        <v>11717</v>
      </c>
      <c r="G626" t="s">
        <v>74</v>
      </c>
      <c r="H626" t="s">
        <v>74</v>
      </c>
      <c r="I626" t="s">
        <v>11718</v>
      </c>
      <c r="J626" t="s">
        <v>11719</v>
      </c>
      <c r="K626" t="s">
        <v>74</v>
      </c>
      <c r="L626" t="s">
        <v>74</v>
      </c>
      <c r="M626" t="s">
        <v>78</v>
      </c>
      <c r="N626" t="s">
        <v>52</v>
      </c>
      <c r="O626" t="s">
        <v>11720</v>
      </c>
      <c r="P626" t="s">
        <v>11721</v>
      </c>
      <c r="Q626" t="s">
        <v>11722</v>
      </c>
      <c r="R626" t="s">
        <v>74</v>
      </c>
      <c r="S626" t="s">
        <v>74</v>
      </c>
      <c r="T626" t="s">
        <v>74</v>
      </c>
      <c r="U626" t="s">
        <v>74</v>
      </c>
      <c r="V626" t="s">
        <v>74</v>
      </c>
      <c r="W626" t="s">
        <v>11723</v>
      </c>
      <c r="X626" t="s">
        <v>11724</v>
      </c>
      <c r="Y626" t="s">
        <v>74</v>
      </c>
      <c r="Z626" t="s">
        <v>11725</v>
      </c>
      <c r="AA626" t="s">
        <v>11726</v>
      </c>
      <c r="AB626" t="s">
        <v>11727</v>
      </c>
      <c r="AC626" t="s">
        <v>74</v>
      </c>
      <c r="AD626" t="s">
        <v>74</v>
      </c>
      <c r="AE626" t="s">
        <v>74</v>
      </c>
      <c r="AF626" t="s">
        <v>74</v>
      </c>
      <c r="AG626">
        <v>0</v>
      </c>
      <c r="AH626">
        <v>0</v>
      </c>
      <c r="AI626">
        <v>0</v>
      </c>
      <c r="AJ626">
        <v>0</v>
      </c>
      <c r="AK626">
        <v>9</v>
      </c>
      <c r="AL626" t="s">
        <v>5020</v>
      </c>
      <c r="AM626" t="s">
        <v>93</v>
      </c>
      <c r="AN626" t="s">
        <v>5021</v>
      </c>
      <c r="AO626" t="s">
        <v>11728</v>
      </c>
      <c r="AP626" t="s">
        <v>74</v>
      </c>
      <c r="AQ626" t="s">
        <v>74</v>
      </c>
      <c r="AR626" t="s">
        <v>11729</v>
      </c>
      <c r="AS626" t="s">
        <v>11730</v>
      </c>
      <c r="AT626" t="s">
        <v>11731</v>
      </c>
      <c r="AU626">
        <v>2013</v>
      </c>
      <c r="AV626">
        <v>245</v>
      </c>
      <c r="AW626" t="s">
        <v>74</v>
      </c>
      <c r="AX626" t="s">
        <v>74</v>
      </c>
      <c r="AY626" t="s">
        <v>74</v>
      </c>
      <c r="AZ626" t="s">
        <v>74</v>
      </c>
      <c r="BA626" t="s">
        <v>11732</v>
      </c>
      <c r="BB626" t="s">
        <v>74</v>
      </c>
      <c r="BC626" t="s">
        <v>74</v>
      </c>
      <c r="BD626" t="s">
        <v>74</v>
      </c>
      <c r="BE626" t="s">
        <v>74</v>
      </c>
      <c r="BF626" t="s">
        <v>74</v>
      </c>
      <c r="BG626" t="s">
        <v>74</v>
      </c>
      <c r="BH626" t="s">
        <v>74</v>
      </c>
      <c r="BI626">
        <v>1</v>
      </c>
      <c r="BJ626" t="s">
        <v>11733</v>
      </c>
      <c r="BK626" t="s">
        <v>2934</v>
      </c>
      <c r="BL626" t="s">
        <v>350</v>
      </c>
      <c r="BM626" t="s">
        <v>11734</v>
      </c>
      <c r="BN626" t="s">
        <v>74</v>
      </c>
      <c r="BO626" t="s">
        <v>74</v>
      </c>
      <c r="BP626" t="s">
        <v>74</v>
      </c>
      <c r="BQ626" t="s">
        <v>74</v>
      </c>
      <c r="BR626" t="s">
        <v>105</v>
      </c>
      <c r="BS626" t="s">
        <v>11735</v>
      </c>
      <c r="BT626" t="str">
        <f>HYPERLINK("https%3A%2F%2Fwww.webofscience.com%2Fwos%2Fwoscc%2Ffull-record%2FWOS:000324303600164","View Full Record in Web of Science")</f>
        <v>View Full Record in Web of Science</v>
      </c>
    </row>
    <row r="627" spans="1:72" x14ac:dyDescent="0.15">
      <c r="A627" t="s">
        <v>72</v>
      </c>
      <c r="B627" t="s">
        <v>11736</v>
      </c>
      <c r="C627" t="s">
        <v>74</v>
      </c>
      <c r="D627" t="s">
        <v>74</v>
      </c>
      <c r="E627" t="s">
        <v>74</v>
      </c>
      <c r="F627" t="s">
        <v>11737</v>
      </c>
      <c r="G627" t="s">
        <v>74</v>
      </c>
      <c r="H627" t="s">
        <v>74</v>
      </c>
      <c r="I627" t="s">
        <v>11738</v>
      </c>
      <c r="J627" t="s">
        <v>11719</v>
      </c>
      <c r="K627" t="s">
        <v>74</v>
      </c>
      <c r="L627" t="s">
        <v>74</v>
      </c>
      <c r="M627" t="s">
        <v>78</v>
      </c>
      <c r="N627" t="s">
        <v>52</v>
      </c>
      <c r="O627" t="s">
        <v>11720</v>
      </c>
      <c r="P627" t="s">
        <v>11721</v>
      </c>
      <c r="Q627" t="s">
        <v>11722</v>
      </c>
      <c r="R627" t="s">
        <v>74</v>
      </c>
      <c r="S627" t="s">
        <v>74</v>
      </c>
      <c r="T627" t="s">
        <v>74</v>
      </c>
      <c r="U627" t="s">
        <v>74</v>
      </c>
      <c r="V627" t="s">
        <v>74</v>
      </c>
      <c r="W627" t="s">
        <v>11739</v>
      </c>
      <c r="X627" t="s">
        <v>947</v>
      </c>
      <c r="Y627" t="s">
        <v>74</v>
      </c>
      <c r="Z627" t="s">
        <v>11740</v>
      </c>
      <c r="AA627" t="s">
        <v>74</v>
      </c>
      <c r="AB627" t="s">
        <v>74</v>
      </c>
      <c r="AC627" t="s">
        <v>74</v>
      </c>
      <c r="AD627" t="s">
        <v>74</v>
      </c>
      <c r="AE627" t="s">
        <v>74</v>
      </c>
      <c r="AF627" t="s">
        <v>74</v>
      </c>
      <c r="AG627">
        <v>0</v>
      </c>
      <c r="AH627">
        <v>0</v>
      </c>
      <c r="AI627">
        <v>0</v>
      </c>
      <c r="AJ627">
        <v>0</v>
      </c>
      <c r="AK627">
        <v>2</v>
      </c>
      <c r="AL627" t="s">
        <v>5020</v>
      </c>
      <c r="AM627" t="s">
        <v>93</v>
      </c>
      <c r="AN627" t="s">
        <v>5021</v>
      </c>
      <c r="AO627" t="s">
        <v>11728</v>
      </c>
      <c r="AP627" t="s">
        <v>74</v>
      </c>
      <c r="AQ627" t="s">
        <v>74</v>
      </c>
      <c r="AR627" t="s">
        <v>11729</v>
      </c>
      <c r="AS627" t="s">
        <v>11730</v>
      </c>
      <c r="AT627" t="s">
        <v>11731</v>
      </c>
      <c r="AU627">
        <v>2013</v>
      </c>
      <c r="AV627">
        <v>245</v>
      </c>
      <c r="AW627" t="s">
        <v>74</v>
      </c>
      <c r="AX627" t="s">
        <v>74</v>
      </c>
      <c r="AY627" t="s">
        <v>74</v>
      </c>
      <c r="AZ627" t="s">
        <v>74</v>
      </c>
      <c r="BA627" t="s">
        <v>11741</v>
      </c>
      <c r="BB627" t="s">
        <v>74</v>
      </c>
      <c r="BC627" t="s">
        <v>74</v>
      </c>
      <c r="BD627" t="s">
        <v>74</v>
      </c>
      <c r="BE627" t="s">
        <v>74</v>
      </c>
      <c r="BF627" t="s">
        <v>74</v>
      </c>
      <c r="BG627" t="s">
        <v>74</v>
      </c>
      <c r="BH627" t="s">
        <v>74</v>
      </c>
      <c r="BI627">
        <v>1</v>
      </c>
      <c r="BJ627" t="s">
        <v>11733</v>
      </c>
      <c r="BK627" t="s">
        <v>2934</v>
      </c>
      <c r="BL627" t="s">
        <v>350</v>
      </c>
      <c r="BM627" t="s">
        <v>11734</v>
      </c>
      <c r="BN627" t="s">
        <v>74</v>
      </c>
      <c r="BO627" t="s">
        <v>74</v>
      </c>
      <c r="BP627" t="s">
        <v>74</v>
      </c>
      <c r="BQ627" t="s">
        <v>74</v>
      </c>
      <c r="BR627" t="s">
        <v>105</v>
      </c>
      <c r="BS627" t="s">
        <v>11742</v>
      </c>
      <c r="BT627" t="str">
        <f>HYPERLINK("https%3A%2F%2Fwww.webofscience.com%2Fwos%2Fwoscc%2Ffull-record%2FWOS:000324303600520","View Full Record in Web of Science")</f>
        <v>View Full Record in Web of Science</v>
      </c>
    </row>
    <row r="628" spans="1:72" x14ac:dyDescent="0.15">
      <c r="A628" t="s">
        <v>72</v>
      </c>
      <c r="B628" t="s">
        <v>11743</v>
      </c>
      <c r="C628" t="s">
        <v>74</v>
      </c>
      <c r="D628" t="s">
        <v>74</v>
      </c>
      <c r="E628" t="s">
        <v>74</v>
      </c>
      <c r="F628" t="s">
        <v>11744</v>
      </c>
      <c r="G628" t="s">
        <v>74</v>
      </c>
      <c r="H628" t="s">
        <v>74</v>
      </c>
      <c r="I628" t="s">
        <v>11745</v>
      </c>
      <c r="J628" t="s">
        <v>5322</v>
      </c>
      <c r="K628" t="s">
        <v>74</v>
      </c>
      <c r="L628" t="s">
        <v>74</v>
      </c>
      <c r="M628" t="s">
        <v>78</v>
      </c>
      <c r="N628" t="s">
        <v>254</v>
      </c>
      <c r="O628" t="s">
        <v>74</v>
      </c>
      <c r="P628" t="s">
        <v>74</v>
      </c>
      <c r="Q628" t="s">
        <v>74</v>
      </c>
      <c r="R628" t="s">
        <v>74</v>
      </c>
      <c r="S628" t="s">
        <v>74</v>
      </c>
      <c r="T628" t="s">
        <v>74</v>
      </c>
      <c r="U628" t="s">
        <v>74</v>
      </c>
      <c r="V628" t="s">
        <v>74</v>
      </c>
      <c r="W628" t="s">
        <v>74</v>
      </c>
      <c r="X628" t="s">
        <v>74</v>
      </c>
      <c r="Y628" t="s">
        <v>74</v>
      </c>
      <c r="Z628" t="s">
        <v>74</v>
      </c>
      <c r="AA628" t="s">
        <v>74</v>
      </c>
      <c r="AB628" t="s">
        <v>74</v>
      </c>
      <c r="AC628" t="s">
        <v>74</v>
      </c>
      <c r="AD628" t="s">
        <v>74</v>
      </c>
      <c r="AE628" t="s">
        <v>74</v>
      </c>
      <c r="AF628" t="s">
        <v>74</v>
      </c>
      <c r="AG628">
        <v>0</v>
      </c>
      <c r="AH628">
        <v>0</v>
      </c>
      <c r="AI628">
        <v>0</v>
      </c>
      <c r="AJ628">
        <v>0</v>
      </c>
      <c r="AK628">
        <v>2</v>
      </c>
      <c r="AL628" t="s">
        <v>5325</v>
      </c>
      <c r="AM628" t="s">
        <v>5326</v>
      </c>
      <c r="AN628" t="s">
        <v>5327</v>
      </c>
      <c r="AO628" t="s">
        <v>5328</v>
      </c>
      <c r="AP628" t="s">
        <v>74</v>
      </c>
      <c r="AQ628" t="s">
        <v>74</v>
      </c>
      <c r="AR628" t="s">
        <v>5329</v>
      </c>
      <c r="AS628" t="s">
        <v>5330</v>
      </c>
      <c r="AT628" t="s">
        <v>11746</v>
      </c>
      <c r="AU628">
        <v>2013</v>
      </c>
      <c r="AV628">
        <v>218</v>
      </c>
      <c r="AW628">
        <v>2911</v>
      </c>
      <c r="AX628" t="s">
        <v>74</v>
      </c>
      <c r="AY628" t="s">
        <v>74</v>
      </c>
      <c r="AZ628" t="s">
        <v>74</v>
      </c>
      <c r="BA628" t="s">
        <v>74</v>
      </c>
      <c r="BB628">
        <v>14</v>
      </c>
      <c r="BC628">
        <v>14</v>
      </c>
      <c r="BD628" t="s">
        <v>74</v>
      </c>
      <c r="BE628" t="s">
        <v>74</v>
      </c>
      <c r="BF628" t="s">
        <v>74</v>
      </c>
      <c r="BG628" t="s">
        <v>74</v>
      </c>
      <c r="BH628" t="s">
        <v>74</v>
      </c>
      <c r="BI628">
        <v>1</v>
      </c>
      <c r="BJ628" t="s">
        <v>1880</v>
      </c>
      <c r="BK628" t="s">
        <v>102</v>
      </c>
      <c r="BL628" t="s">
        <v>1881</v>
      </c>
      <c r="BM628" t="s">
        <v>11747</v>
      </c>
      <c r="BN628" t="s">
        <v>74</v>
      </c>
      <c r="BO628" t="s">
        <v>74</v>
      </c>
      <c r="BP628" t="s">
        <v>74</v>
      </c>
      <c r="BQ628" t="s">
        <v>74</v>
      </c>
      <c r="BR628" t="s">
        <v>105</v>
      </c>
      <c r="BS628" t="s">
        <v>11748</v>
      </c>
      <c r="BT628" t="str">
        <f>HYPERLINK("https%3A%2F%2Fwww.webofscience.com%2Fwos%2Fwoscc%2Ffull-record%2FWOS:000317377300010","View Full Record in Web of Science")</f>
        <v>View Full Record in Web of Science</v>
      </c>
    </row>
    <row r="629" spans="1:72" x14ac:dyDescent="0.15">
      <c r="A629" t="s">
        <v>72</v>
      </c>
      <c r="B629" t="s">
        <v>11749</v>
      </c>
      <c r="C629" t="s">
        <v>74</v>
      </c>
      <c r="D629" t="s">
        <v>74</v>
      </c>
      <c r="E629" t="s">
        <v>74</v>
      </c>
      <c r="F629" t="s">
        <v>11750</v>
      </c>
      <c r="G629" t="s">
        <v>74</v>
      </c>
      <c r="H629" t="s">
        <v>74</v>
      </c>
      <c r="I629" t="s">
        <v>11751</v>
      </c>
      <c r="J629" t="s">
        <v>2343</v>
      </c>
      <c r="K629" t="s">
        <v>74</v>
      </c>
      <c r="L629" t="s">
        <v>74</v>
      </c>
      <c r="M629" t="s">
        <v>78</v>
      </c>
      <c r="N629" t="s">
        <v>79</v>
      </c>
      <c r="O629" t="s">
        <v>74</v>
      </c>
      <c r="P629" t="s">
        <v>74</v>
      </c>
      <c r="Q629" t="s">
        <v>74</v>
      </c>
      <c r="R629" t="s">
        <v>74</v>
      </c>
      <c r="S629" t="s">
        <v>74</v>
      </c>
      <c r="T629" t="s">
        <v>74</v>
      </c>
      <c r="U629" t="s">
        <v>11752</v>
      </c>
      <c r="V629" t="s">
        <v>11753</v>
      </c>
      <c r="W629" t="s">
        <v>11754</v>
      </c>
      <c r="X629" t="s">
        <v>11755</v>
      </c>
      <c r="Y629" t="s">
        <v>11756</v>
      </c>
      <c r="Z629" t="s">
        <v>11757</v>
      </c>
      <c r="AA629" t="s">
        <v>74</v>
      </c>
      <c r="AB629" t="s">
        <v>74</v>
      </c>
      <c r="AC629" t="s">
        <v>11758</v>
      </c>
      <c r="AD629" t="s">
        <v>11759</v>
      </c>
      <c r="AE629" t="s">
        <v>11760</v>
      </c>
      <c r="AF629" t="s">
        <v>74</v>
      </c>
      <c r="AG629">
        <v>36</v>
      </c>
      <c r="AH629">
        <v>72</v>
      </c>
      <c r="AI629">
        <v>84</v>
      </c>
      <c r="AJ629">
        <v>1</v>
      </c>
      <c r="AK629">
        <v>124</v>
      </c>
      <c r="AL629" t="s">
        <v>2355</v>
      </c>
      <c r="AM629" t="s">
        <v>2356</v>
      </c>
      <c r="AN629" t="s">
        <v>2357</v>
      </c>
      <c r="AO629" t="s">
        <v>2358</v>
      </c>
      <c r="AP629" t="s">
        <v>74</v>
      </c>
      <c r="AQ629" t="s">
        <v>74</v>
      </c>
      <c r="AR629" t="s">
        <v>2343</v>
      </c>
      <c r="AS629" t="s">
        <v>2359</v>
      </c>
      <c r="AT629" t="s">
        <v>11761</v>
      </c>
      <c r="AU629">
        <v>2013</v>
      </c>
      <c r="AV629">
        <v>8</v>
      </c>
      <c r="AW629">
        <v>4</v>
      </c>
      <c r="AX629" t="s">
        <v>74</v>
      </c>
      <c r="AY629" t="s">
        <v>74</v>
      </c>
      <c r="AZ629" t="s">
        <v>74</v>
      </c>
      <c r="BA629" t="s">
        <v>74</v>
      </c>
      <c r="BB629" t="s">
        <v>74</v>
      </c>
      <c r="BC629" t="s">
        <v>74</v>
      </c>
      <c r="BD629" t="s">
        <v>11762</v>
      </c>
      <c r="BE629" t="s">
        <v>11763</v>
      </c>
      <c r="BF629" t="str">
        <f>HYPERLINK("http://dx.doi.org/10.1371/journal.pone.0060568","http://dx.doi.org/10.1371/journal.pone.0060568")</f>
        <v>http://dx.doi.org/10.1371/journal.pone.0060568</v>
      </c>
      <c r="BG629" t="s">
        <v>74</v>
      </c>
      <c r="BH629" t="s">
        <v>74</v>
      </c>
      <c r="BI629">
        <v>7</v>
      </c>
      <c r="BJ629" t="s">
        <v>1880</v>
      </c>
      <c r="BK629" t="s">
        <v>102</v>
      </c>
      <c r="BL629" t="s">
        <v>1881</v>
      </c>
      <c r="BM629" t="s">
        <v>11764</v>
      </c>
      <c r="BN629">
        <v>23573267</v>
      </c>
      <c r="BO629" t="s">
        <v>1477</v>
      </c>
      <c r="BP629" t="s">
        <v>74</v>
      </c>
      <c r="BQ629" t="s">
        <v>74</v>
      </c>
      <c r="BR629" t="s">
        <v>105</v>
      </c>
      <c r="BS629" t="s">
        <v>11765</v>
      </c>
      <c r="BT629" t="str">
        <f>HYPERLINK("https%3A%2F%2Fwww.webofscience.com%2Fwos%2Fwoscc%2Ffull-record%2FWOS:000318840100085","View Full Record in Web of Science")</f>
        <v>View Full Record in Web of Science</v>
      </c>
    </row>
    <row r="630" spans="1:72" x14ac:dyDescent="0.15">
      <c r="A630" t="s">
        <v>72</v>
      </c>
      <c r="B630" t="s">
        <v>11766</v>
      </c>
      <c r="C630" t="s">
        <v>74</v>
      </c>
      <c r="D630" t="s">
        <v>74</v>
      </c>
      <c r="E630" t="s">
        <v>74</v>
      </c>
      <c r="F630" t="s">
        <v>11767</v>
      </c>
      <c r="G630" t="s">
        <v>74</v>
      </c>
      <c r="H630" t="s">
        <v>74</v>
      </c>
      <c r="I630" t="s">
        <v>11768</v>
      </c>
      <c r="J630" t="s">
        <v>2343</v>
      </c>
      <c r="K630" t="s">
        <v>74</v>
      </c>
      <c r="L630" t="s">
        <v>74</v>
      </c>
      <c r="M630" t="s">
        <v>78</v>
      </c>
      <c r="N630" t="s">
        <v>79</v>
      </c>
      <c r="O630" t="s">
        <v>74</v>
      </c>
      <c r="P630" t="s">
        <v>74</v>
      </c>
      <c r="Q630" t="s">
        <v>74</v>
      </c>
      <c r="R630" t="s">
        <v>74</v>
      </c>
      <c r="S630" t="s">
        <v>74</v>
      </c>
      <c r="T630" t="s">
        <v>74</v>
      </c>
      <c r="U630" t="s">
        <v>11769</v>
      </c>
      <c r="V630" t="s">
        <v>11770</v>
      </c>
      <c r="W630" t="s">
        <v>11771</v>
      </c>
      <c r="X630" t="s">
        <v>6387</v>
      </c>
      <c r="Y630" t="s">
        <v>11772</v>
      </c>
      <c r="Z630" t="s">
        <v>11773</v>
      </c>
      <c r="AA630" t="s">
        <v>11774</v>
      </c>
      <c r="AB630" t="s">
        <v>11775</v>
      </c>
      <c r="AC630" t="s">
        <v>11776</v>
      </c>
      <c r="AD630" t="s">
        <v>11777</v>
      </c>
      <c r="AE630" t="s">
        <v>11778</v>
      </c>
      <c r="AF630" t="s">
        <v>74</v>
      </c>
      <c r="AG630">
        <v>45</v>
      </c>
      <c r="AH630">
        <v>25</v>
      </c>
      <c r="AI630">
        <v>27</v>
      </c>
      <c r="AJ630">
        <v>0</v>
      </c>
      <c r="AK630">
        <v>31</v>
      </c>
      <c r="AL630" t="s">
        <v>2355</v>
      </c>
      <c r="AM630" t="s">
        <v>2356</v>
      </c>
      <c r="AN630" t="s">
        <v>2357</v>
      </c>
      <c r="AO630" t="s">
        <v>2358</v>
      </c>
      <c r="AP630" t="s">
        <v>74</v>
      </c>
      <c r="AQ630" t="s">
        <v>74</v>
      </c>
      <c r="AR630" t="s">
        <v>2343</v>
      </c>
      <c r="AS630" t="s">
        <v>2359</v>
      </c>
      <c r="AT630" t="s">
        <v>11761</v>
      </c>
      <c r="AU630">
        <v>2013</v>
      </c>
      <c r="AV630">
        <v>8</v>
      </c>
      <c r="AW630">
        <v>4</v>
      </c>
      <c r="AX630" t="s">
        <v>74</v>
      </c>
      <c r="AY630" t="s">
        <v>74</v>
      </c>
      <c r="AZ630" t="s">
        <v>74</v>
      </c>
      <c r="BA630" t="s">
        <v>74</v>
      </c>
      <c r="BB630" t="s">
        <v>74</v>
      </c>
      <c r="BC630" t="s">
        <v>74</v>
      </c>
      <c r="BD630" t="s">
        <v>11779</v>
      </c>
      <c r="BE630" t="s">
        <v>11780</v>
      </c>
      <c r="BF630" t="str">
        <f>HYPERLINK("http://dx.doi.org/10.1371/journal.pone.0058230","http://dx.doi.org/10.1371/journal.pone.0058230")</f>
        <v>http://dx.doi.org/10.1371/journal.pone.0058230</v>
      </c>
      <c r="BG630" t="s">
        <v>74</v>
      </c>
      <c r="BH630" t="s">
        <v>74</v>
      </c>
      <c r="BI630">
        <v>9</v>
      </c>
      <c r="BJ630" t="s">
        <v>1880</v>
      </c>
      <c r="BK630" t="s">
        <v>102</v>
      </c>
      <c r="BL630" t="s">
        <v>1881</v>
      </c>
      <c r="BM630" t="s">
        <v>11764</v>
      </c>
      <c r="BN630">
        <v>23573188</v>
      </c>
      <c r="BO630" t="s">
        <v>5130</v>
      </c>
      <c r="BP630" t="s">
        <v>74</v>
      </c>
      <c r="BQ630" t="s">
        <v>74</v>
      </c>
      <c r="BR630" t="s">
        <v>105</v>
      </c>
      <c r="BS630" t="s">
        <v>11781</v>
      </c>
      <c r="BT630" t="str">
        <f>HYPERLINK("https%3A%2F%2Fwww.webofscience.com%2Fwos%2Fwoscc%2Ffull-record%2FWOS:000318840100008","View Full Record in Web of Science")</f>
        <v>View Full Record in Web of Science</v>
      </c>
    </row>
    <row r="631" spans="1:72" x14ac:dyDescent="0.15">
      <c r="A631" t="s">
        <v>72</v>
      </c>
      <c r="B631" t="s">
        <v>11782</v>
      </c>
      <c r="C631" t="s">
        <v>74</v>
      </c>
      <c r="D631" t="s">
        <v>74</v>
      </c>
      <c r="E631" t="s">
        <v>74</v>
      </c>
      <c r="F631" t="s">
        <v>11783</v>
      </c>
      <c r="G631" t="s">
        <v>74</v>
      </c>
      <c r="H631" t="s">
        <v>74</v>
      </c>
      <c r="I631" t="s">
        <v>11784</v>
      </c>
      <c r="J631" t="s">
        <v>5197</v>
      </c>
      <c r="K631" t="s">
        <v>74</v>
      </c>
      <c r="L631" t="s">
        <v>74</v>
      </c>
      <c r="M631" t="s">
        <v>78</v>
      </c>
      <c r="N631" t="s">
        <v>79</v>
      </c>
      <c r="O631" t="s">
        <v>74</v>
      </c>
      <c r="P631" t="s">
        <v>74</v>
      </c>
      <c r="Q631" t="s">
        <v>74</v>
      </c>
      <c r="R631" t="s">
        <v>74</v>
      </c>
      <c r="S631" t="s">
        <v>74</v>
      </c>
      <c r="T631" t="s">
        <v>74</v>
      </c>
      <c r="U631" t="s">
        <v>11785</v>
      </c>
      <c r="V631" t="s">
        <v>11786</v>
      </c>
      <c r="W631" t="s">
        <v>11787</v>
      </c>
      <c r="X631" t="s">
        <v>11788</v>
      </c>
      <c r="Y631" t="s">
        <v>11789</v>
      </c>
      <c r="Z631" t="s">
        <v>11790</v>
      </c>
      <c r="AA631" t="s">
        <v>11791</v>
      </c>
      <c r="AB631" t="s">
        <v>11792</v>
      </c>
      <c r="AC631" t="s">
        <v>11793</v>
      </c>
      <c r="AD631" t="s">
        <v>11794</v>
      </c>
      <c r="AE631" t="s">
        <v>11795</v>
      </c>
      <c r="AF631" t="s">
        <v>74</v>
      </c>
      <c r="AG631">
        <v>47</v>
      </c>
      <c r="AH631">
        <v>58</v>
      </c>
      <c r="AI631">
        <v>62</v>
      </c>
      <c r="AJ631">
        <v>6</v>
      </c>
      <c r="AK631">
        <v>230</v>
      </c>
      <c r="AL631" t="s">
        <v>5020</v>
      </c>
      <c r="AM631" t="s">
        <v>93</v>
      </c>
      <c r="AN631" t="s">
        <v>5021</v>
      </c>
      <c r="AO631" t="s">
        <v>5209</v>
      </c>
      <c r="AP631" t="s">
        <v>5210</v>
      </c>
      <c r="AQ631" t="s">
        <v>74</v>
      </c>
      <c r="AR631" t="s">
        <v>5211</v>
      </c>
      <c r="AS631" t="s">
        <v>5212</v>
      </c>
      <c r="AT631" t="s">
        <v>11796</v>
      </c>
      <c r="AU631">
        <v>2013</v>
      </c>
      <c r="AV631">
        <v>47</v>
      </c>
      <c r="AW631">
        <v>7</v>
      </c>
      <c r="AX631" t="s">
        <v>74</v>
      </c>
      <c r="AY631" t="s">
        <v>74</v>
      </c>
      <c r="AZ631" t="s">
        <v>74</v>
      </c>
      <c r="BA631" t="s">
        <v>74</v>
      </c>
      <c r="BB631">
        <v>3149</v>
      </c>
      <c r="BC631">
        <v>3157</v>
      </c>
      <c r="BD631" t="s">
        <v>74</v>
      </c>
      <c r="BE631" t="s">
        <v>11797</v>
      </c>
      <c r="BF631" t="str">
        <f>HYPERLINK("http://dx.doi.org/10.1021/es3037093","http://dx.doi.org/10.1021/es3037093")</f>
        <v>http://dx.doi.org/10.1021/es3037093</v>
      </c>
      <c r="BG631" t="s">
        <v>74</v>
      </c>
      <c r="BH631" t="s">
        <v>74</v>
      </c>
      <c r="BI631">
        <v>9</v>
      </c>
      <c r="BJ631" t="s">
        <v>5215</v>
      </c>
      <c r="BK631" t="s">
        <v>102</v>
      </c>
      <c r="BL631" t="s">
        <v>5216</v>
      </c>
      <c r="BM631" t="s">
        <v>11798</v>
      </c>
      <c r="BN631">
        <v>23441622</v>
      </c>
      <c r="BO631" t="s">
        <v>74</v>
      </c>
      <c r="BP631" t="s">
        <v>74</v>
      </c>
      <c r="BQ631" t="s">
        <v>74</v>
      </c>
      <c r="BR631" t="s">
        <v>105</v>
      </c>
      <c r="BS631" t="s">
        <v>11799</v>
      </c>
      <c r="BT631" t="str">
        <f>HYPERLINK("https%3A%2F%2Fwww.webofscience.com%2Fwos%2Fwoscc%2Ffull-record%2FWOS:000317173100020","View Full Record in Web of Science")</f>
        <v>View Full Record in Web of Science</v>
      </c>
    </row>
    <row r="632" spans="1:72" x14ac:dyDescent="0.15">
      <c r="A632" t="s">
        <v>72</v>
      </c>
      <c r="B632" t="s">
        <v>11800</v>
      </c>
      <c r="C632" t="s">
        <v>74</v>
      </c>
      <c r="D632" t="s">
        <v>74</v>
      </c>
      <c r="E632" t="s">
        <v>74</v>
      </c>
      <c r="F632" t="s">
        <v>11801</v>
      </c>
      <c r="G632" t="s">
        <v>74</v>
      </c>
      <c r="H632" t="s">
        <v>74</v>
      </c>
      <c r="I632" t="s">
        <v>11802</v>
      </c>
      <c r="J632" t="s">
        <v>11803</v>
      </c>
      <c r="K632" t="s">
        <v>74</v>
      </c>
      <c r="L632" t="s">
        <v>74</v>
      </c>
      <c r="M632" t="s">
        <v>78</v>
      </c>
      <c r="N632" t="s">
        <v>79</v>
      </c>
      <c r="O632" t="s">
        <v>74</v>
      </c>
      <c r="P632" t="s">
        <v>74</v>
      </c>
      <c r="Q632" t="s">
        <v>74</v>
      </c>
      <c r="R632" t="s">
        <v>74</v>
      </c>
      <c r="S632" t="s">
        <v>74</v>
      </c>
      <c r="T632" t="s">
        <v>74</v>
      </c>
      <c r="U632" t="s">
        <v>11804</v>
      </c>
      <c r="V632" t="s">
        <v>11805</v>
      </c>
      <c r="W632" t="s">
        <v>11806</v>
      </c>
      <c r="X632" t="s">
        <v>11807</v>
      </c>
      <c r="Y632" t="s">
        <v>11808</v>
      </c>
      <c r="Z632" t="s">
        <v>74</v>
      </c>
      <c r="AA632" t="s">
        <v>11809</v>
      </c>
      <c r="AB632" t="s">
        <v>11810</v>
      </c>
      <c r="AC632" t="s">
        <v>11811</v>
      </c>
      <c r="AD632" t="s">
        <v>11812</v>
      </c>
      <c r="AE632" t="s">
        <v>11813</v>
      </c>
      <c r="AF632" t="s">
        <v>74</v>
      </c>
      <c r="AG632">
        <v>30</v>
      </c>
      <c r="AH632">
        <v>15</v>
      </c>
      <c r="AI632">
        <v>15</v>
      </c>
      <c r="AJ632">
        <v>0</v>
      </c>
      <c r="AK632">
        <v>32</v>
      </c>
      <c r="AL632" t="s">
        <v>11814</v>
      </c>
      <c r="AM632" t="s">
        <v>11815</v>
      </c>
      <c r="AN632" t="s">
        <v>11816</v>
      </c>
      <c r="AO632" t="s">
        <v>11817</v>
      </c>
      <c r="AP632" t="s">
        <v>74</v>
      </c>
      <c r="AQ632" t="s">
        <v>74</v>
      </c>
      <c r="AR632" t="s">
        <v>11818</v>
      </c>
      <c r="AS632" t="s">
        <v>11819</v>
      </c>
      <c r="AT632" t="s">
        <v>11820</v>
      </c>
      <c r="AU632">
        <v>2013</v>
      </c>
      <c r="AV632">
        <v>41</v>
      </c>
      <c r="AW632">
        <v>1</v>
      </c>
      <c r="AX632" t="s">
        <v>74</v>
      </c>
      <c r="AY632" t="s">
        <v>74</v>
      </c>
      <c r="AZ632" t="s">
        <v>935</v>
      </c>
      <c r="BA632" t="s">
        <v>74</v>
      </c>
      <c r="BB632">
        <v>88</v>
      </c>
      <c r="BC632">
        <v>97</v>
      </c>
      <c r="BD632" t="s">
        <v>74</v>
      </c>
      <c r="BE632" t="s">
        <v>74</v>
      </c>
      <c r="BF632" t="s">
        <v>74</v>
      </c>
      <c r="BG632" t="s">
        <v>74</v>
      </c>
      <c r="BH632" t="s">
        <v>74</v>
      </c>
      <c r="BI632">
        <v>10</v>
      </c>
      <c r="BJ632" t="s">
        <v>11821</v>
      </c>
      <c r="BK632" t="s">
        <v>102</v>
      </c>
      <c r="BL632" t="s">
        <v>11821</v>
      </c>
      <c r="BM632" t="s">
        <v>11822</v>
      </c>
      <c r="BN632" t="s">
        <v>74</v>
      </c>
      <c r="BO632" t="s">
        <v>74</v>
      </c>
      <c r="BP632" t="s">
        <v>74</v>
      </c>
      <c r="BQ632" t="s">
        <v>74</v>
      </c>
      <c r="BR632" t="s">
        <v>105</v>
      </c>
      <c r="BS632" t="s">
        <v>11823</v>
      </c>
      <c r="BT632" t="str">
        <f>HYPERLINK("https%3A%2F%2Fwww.webofscience.com%2Fwos%2Fwoscc%2Ffull-record%2FWOS:000331666700014","View Full Record in Web of Science")</f>
        <v>View Full Record in Web of Science</v>
      </c>
    </row>
    <row r="633" spans="1:72" x14ac:dyDescent="0.15">
      <c r="A633" t="s">
        <v>72</v>
      </c>
      <c r="B633" t="s">
        <v>11824</v>
      </c>
      <c r="C633" t="s">
        <v>74</v>
      </c>
      <c r="D633" t="s">
        <v>74</v>
      </c>
      <c r="E633" t="s">
        <v>74</v>
      </c>
      <c r="F633" t="s">
        <v>11825</v>
      </c>
      <c r="G633" t="s">
        <v>74</v>
      </c>
      <c r="H633" t="s">
        <v>74</v>
      </c>
      <c r="I633" t="s">
        <v>11826</v>
      </c>
      <c r="J633" t="s">
        <v>11827</v>
      </c>
      <c r="K633" t="s">
        <v>74</v>
      </c>
      <c r="L633" t="s">
        <v>74</v>
      </c>
      <c r="M633" t="s">
        <v>78</v>
      </c>
      <c r="N633" t="s">
        <v>79</v>
      </c>
      <c r="O633" t="s">
        <v>74</v>
      </c>
      <c r="P633" t="s">
        <v>74</v>
      </c>
      <c r="Q633" t="s">
        <v>74</v>
      </c>
      <c r="R633" t="s">
        <v>74</v>
      </c>
      <c r="S633" t="s">
        <v>74</v>
      </c>
      <c r="T633" t="s">
        <v>11828</v>
      </c>
      <c r="U633" t="s">
        <v>11829</v>
      </c>
      <c r="V633" t="s">
        <v>11830</v>
      </c>
      <c r="W633" t="s">
        <v>11831</v>
      </c>
      <c r="X633" t="s">
        <v>11832</v>
      </c>
      <c r="Y633" t="s">
        <v>11833</v>
      </c>
      <c r="Z633" t="s">
        <v>11834</v>
      </c>
      <c r="AA633" t="s">
        <v>11835</v>
      </c>
      <c r="AB633" t="s">
        <v>74</v>
      </c>
      <c r="AC633" t="s">
        <v>11836</v>
      </c>
      <c r="AD633" t="s">
        <v>9795</v>
      </c>
      <c r="AE633" t="s">
        <v>11837</v>
      </c>
      <c r="AF633" t="s">
        <v>74</v>
      </c>
      <c r="AG633">
        <v>32</v>
      </c>
      <c r="AH633">
        <v>54</v>
      </c>
      <c r="AI633">
        <v>66</v>
      </c>
      <c r="AJ633">
        <v>1</v>
      </c>
      <c r="AK633">
        <v>46</v>
      </c>
      <c r="AL633" t="s">
        <v>1515</v>
      </c>
      <c r="AM633" t="s">
        <v>442</v>
      </c>
      <c r="AN633" t="s">
        <v>1516</v>
      </c>
      <c r="AO633" t="s">
        <v>11838</v>
      </c>
      <c r="AP633" t="s">
        <v>11839</v>
      </c>
      <c r="AQ633" t="s">
        <v>74</v>
      </c>
      <c r="AR633" t="s">
        <v>11840</v>
      </c>
      <c r="AS633" t="s">
        <v>11841</v>
      </c>
      <c r="AT633" t="s">
        <v>11820</v>
      </c>
      <c r="AU633">
        <v>2013</v>
      </c>
      <c r="AV633">
        <v>134</v>
      </c>
      <c r="AW633" t="s">
        <v>74</v>
      </c>
      <c r="AX633" t="s">
        <v>74</v>
      </c>
      <c r="AY633" t="s">
        <v>74</v>
      </c>
      <c r="AZ633" t="s">
        <v>74</v>
      </c>
      <c r="BA633" t="s">
        <v>74</v>
      </c>
      <c r="BB633">
        <v>151</v>
      </c>
      <c r="BC633">
        <v>157</v>
      </c>
      <c r="BD633" t="s">
        <v>74</v>
      </c>
      <c r="BE633" t="s">
        <v>11842</v>
      </c>
      <c r="BF633" t="str">
        <f>HYPERLINK("http://dx.doi.org/10.1016/j.biortech.2013.01.142","http://dx.doi.org/10.1016/j.biortech.2013.01.142")</f>
        <v>http://dx.doi.org/10.1016/j.biortech.2013.01.142</v>
      </c>
      <c r="BG633" t="s">
        <v>74</v>
      </c>
      <c r="BH633" t="s">
        <v>74</v>
      </c>
      <c r="BI633">
        <v>7</v>
      </c>
      <c r="BJ633" t="s">
        <v>11843</v>
      </c>
      <c r="BK633" t="s">
        <v>102</v>
      </c>
      <c r="BL633" t="s">
        <v>11844</v>
      </c>
      <c r="BM633" t="s">
        <v>11845</v>
      </c>
      <c r="BN633">
        <v>23500572</v>
      </c>
      <c r="BO633" t="s">
        <v>74</v>
      </c>
      <c r="BP633" t="s">
        <v>74</v>
      </c>
      <c r="BQ633" t="s">
        <v>74</v>
      </c>
      <c r="BR633" t="s">
        <v>105</v>
      </c>
      <c r="BS633" t="s">
        <v>11846</v>
      </c>
      <c r="BT633" t="str">
        <f>HYPERLINK("https%3A%2F%2Fwww.webofscience.com%2Fwos%2Fwoscc%2Ffull-record%2FWOS:000328512800012","View Full Record in Web of Science")</f>
        <v>View Full Record in Web of Science</v>
      </c>
    </row>
    <row r="634" spans="1:72" x14ac:dyDescent="0.15">
      <c r="A634" t="s">
        <v>72</v>
      </c>
      <c r="B634" t="s">
        <v>11847</v>
      </c>
      <c r="C634" t="s">
        <v>74</v>
      </c>
      <c r="D634" t="s">
        <v>74</v>
      </c>
      <c r="E634" t="s">
        <v>74</v>
      </c>
      <c r="F634" t="s">
        <v>11848</v>
      </c>
      <c r="G634" t="s">
        <v>74</v>
      </c>
      <c r="H634" t="s">
        <v>74</v>
      </c>
      <c r="I634" t="s">
        <v>11849</v>
      </c>
      <c r="J634" t="s">
        <v>9299</v>
      </c>
      <c r="K634" t="s">
        <v>74</v>
      </c>
      <c r="L634" t="s">
        <v>74</v>
      </c>
      <c r="M634" t="s">
        <v>78</v>
      </c>
      <c r="N634" t="s">
        <v>79</v>
      </c>
      <c r="O634" t="s">
        <v>74</v>
      </c>
      <c r="P634" t="s">
        <v>74</v>
      </c>
      <c r="Q634" t="s">
        <v>74</v>
      </c>
      <c r="R634" t="s">
        <v>74</v>
      </c>
      <c r="S634" t="s">
        <v>74</v>
      </c>
      <c r="T634" t="s">
        <v>74</v>
      </c>
      <c r="U634" t="s">
        <v>74</v>
      </c>
      <c r="V634" t="s">
        <v>11850</v>
      </c>
      <c r="W634" t="s">
        <v>11851</v>
      </c>
      <c r="X634" t="s">
        <v>11852</v>
      </c>
      <c r="Y634" t="s">
        <v>11853</v>
      </c>
      <c r="Z634" t="s">
        <v>11854</v>
      </c>
      <c r="AA634" t="s">
        <v>11855</v>
      </c>
      <c r="AB634" t="s">
        <v>11856</v>
      </c>
      <c r="AC634" t="s">
        <v>74</v>
      </c>
      <c r="AD634" t="s">
        <v>74</v>
      </c>
      <c r="AE634" t="s">
        <v>74</v>
      </c>
      <c r="AF634" t="s">
        <v>74</v>
      </c>
      <c r="AG634">
        <v>8</v>
      </c>
      <c r="AH634">
        <v>1</v>
      </c>
      <c r="AI634">
        <v>2</v>
      </c>
      <c r="AJ634">
        <v>0</v>
      </c>
      <c r="AK634">
        <v>3</v>
      </c>
      <c r="AL634" t="s">
        <v>3125</v>
      </c>
      <c r="AM634" t="s">
        <v>391</v>
      </c>
      <c r="AN634" t="s">
        <v>3126</v>
      </c>
      <c r="AO634" t="s">
        <v>9305</v>
      </c>
      <c r="AP634" t="s">
        <v>9306</v>
      </c>
      <c r="AQ634" t="s">
        <v>74</v>
      </c>
      <c r="AR634" t="s">
        <v>9307</v>
      </c>
      <c r="AS634" t="s">
        <v>9308</v>
      </c>
      <c r="AT634" t="s">
        <v>11820</v>
      </c>
      <c r="AU634">
        <v>2013</v>
      </c>
      <c r="AV634">
        <v>53</v>
      </c>
      <c r="AW634">
        <v>2</v>
      </c>
      <c r="AX634" t="s">
        <v>74</v>
      </c>
      <c r="AY634" t="s">
        <v>74</v>
      </c>
      <c r="AZ634" t="s">
        <v>74</v>
      </c>
      <c r="BA634" t="s">
        <v>74</v>
      </c>
      <c r="BB634">
        <v>166</v>
      </c>
      <c r="BC634">
        <v>176</v>
      </c>
      <c r="BD634" t="s">
        <v>74</v>
      </c>
      <c r="BE634" t="s">
        <v>11857</v>
      </c>
      <c r="BF634" t="str">
        <f>HYPERLINK("http://dx.doi.org/10.1134/S0016793213020035","http://dx.doi.org/10.1134/S0016793213020035")</f>
        <v>http://dx.doi.org/10.1134/S0016793213020035</v>
      </c>
      <c r="BG634" t="s">
        <v>74</v>
      </c>
      <c r="BH634" t="s">
        <v>74</v>
      </c>
      <c r="BI634">
        <v>11</v>
      </c>
      <c r="BJ634" t="s">
        <v>766</v>
      </c>
      <c r="BK634" t="s">
        <v>102</v>
      </c>
      <c r="BL634" t="s">
        <v>766</v>
      </c>
      <c r="BM634" t="s">
        <v>11858</v>
      </c>
      <c r="BN634" t="s">
        <v>74</v>
      </c>
      <c r="BO634" t="s">
        <v>74</v>
      </c>
      <c r="BP634" t="s">
        <v>74</v>
      </c>
      <c r="BQ634" t="s">
        <v>74</v>
      </c>
      <c r="BR634" t="s">
        <v>105</v>
      </c>
      <c r="BS634" t="s">
        <v>11859</v>
      </c>
      <c r="BT634" t="str">
        <f>HYPERLINK("https%3A%2F%2Fwww.webofscience.com%2Fwos%2Fwoscc%2Ffull-record%2FWOS:000327073800004","View Full Record in Web of Science")</f>
        <v>View Full Record in Web of Science</v>
      </c>
    </row>
    <row r="635" spans="1:72" x14ac:dyDescent="0.15">
      <c r="A635" t="s">
        <v>72</v>
      </c>
      <c r="B635" t="s">
        <v>11860</v>
      </c>
      <c r="C635" t="s">
        <v>74</v>
      </c>
      <c r="D635" t="s">
        <v>74</v>
      </c>
      <c r="E635" t="s">
        <v>74</v>
      </c>
      <c r="F635" t="s">
        <v>11861</v>
      </c>
      <c r="G635" t="s">
        <v>74</v>
      </c>
      <c r="H635" t="s">
        <v>74</v>
      </c>
      <c r="I635" t="s">
        <v>11862</v>
      </c>
      <c r="J635" t="s">
        <v>11863</v>
      </c>
      <c r="K635" t="s">
        <v>74</v>
      </c>
      <c r="L635" t="s">
        <v>74</v>
      </c>
      <c r="M635" t="s">
        <v>78</v>
      </c>
      <c r="N635" t="s">
        <v>79</v>
      </c>
      <c r="O635" t="s">
        <v>74</v>
      </c>
      <c r="P635" t="s">
        <v>74</v>
      </c>
      <c r="Q635" t="s">
        <v>74</v>
      </c>
      <c r="R635" t="s">
        <v>74</v>
      </c>
      <c r="S635" t="s">
        <v>74</v>
      </c>
      <c r="T635" t="s">
        <v>11864</v>
      </c>
      <c r="U635" t="s">
        <v>11865</v>
      </c>
      <c r="V635" t="s">
        <v>11866</v>
      </c>
      <c r="W635" t="s">
        <v>11867</v>
      </c>
      <c r="X635" t="s">
        <v>11868</v>
      </c>
      <c r="Y635" t="s">
        <v>11869</v>
      </c>
      <c r="Z635" t="s">
        <v>11870</v>
      </c>
      <c r="AA635" t="s">
        <v>11871</v>
      </c>
      <c r="AB635" t="s">
        <v>11872</v>
      </c>
      <c r="AC635" t="s">
        <v>11873</v>
      </c>
      <c r="AD635" t="s">
        <v>11588</v>
      </c>
      <c r="AE635" t="s">
        <v>11874</v>
      </c>
      <c r="AF635" t="s">
        <v>74</v>
      </c>
      <c r="AG635">
        <v>21</v>
      </c>
      <c r="AH635">
        <v>9</v>
      </c>
      <c r="AI635">
        <v>10</v>
      </c>
      <c r="AJ635">
        <v>3</v>
      </c>
      <c r="AK635">
        <v>24</v>
      </c>
      <c r="AL635" t="s">
        <v>3724</v>
      </c>
      <c r="AM635" t="s">
        <v>3725</v>
      </c>
      <c r="AN635" t="s">
        <v>3726</v>
      </c>
      <c r="AO635" t="s">
        <v>11875</v>
      </c>
      <c r="AP635" t="s">
        <v>11876</v>
      </c>
      <c r="AQ635" t="s">
        <v>74</v>
      </c>
      <c r="AR635" t="s">
        <v>11877</v>
      </c>
      <c r="AS635" t="s">
        <v>11878</v>
      </c>
      <c r="AT635" t="s">
        <v>11820</v>
      </c>
      <c r="AU635">
        <v>2013</v>
      </c>
      <c r="AV635">
        <v>154</v>
      </c>
      <c r="AW635">
        <v>2</v>
      </c>
      <c r="AX635" t="s">
        <v>74</v>
      </c>
      <c r="AY635" t="s">
        <v>74</v>
      </c>
      <c r="AZ635" t="s">
        <v>74</v>
      </c>
      <c r="BA635" t="s">
        <v>74</v>
      </c>
      <c r="BB635">
        <v>559</v>
      </c>
      <c r="BC635">
        <v>562</v>
      </c>
      <c r="BD635" t="s">
        <v>74</v>
      </c>
      <c r="BE635" t="s">
        <v>11879</v>
      </c>
      <c r="BF635" t="str">
        <f>HYPERLINK("http://dx.doi.org/10.1007/s10336-012-0918-z","http://dx.doi.org/10.1007/s10336-012-0918-z")</f>
        <v>http://dx.doi.org/10.1007/s10336-012-0918-z</v>
      </c>
      <c r="BG635" t="s">
        <v>74</v>
      </c>
      <c r="BH635" t="s">
        <v>74</v>
      </c>
      <c r="BI635">
        <v>4</v>
      </c>
      <c r="BJ635" t="s">
        <v>7792</v>
      </c>
      <c r="BK635" t="s">
        <v>102</v>
      </c>
      <c r="BL635" t="s">
        <v>2120</v>
      </c>
      <c r="BM635" t="s">
        <v>11880</v>
      </c>
      <c r="BN635" t="s">
        <v>74</v>
      </c>
      <c r="BO635" t="s">
        <v>1014</v>
      </c>
      <c r="BP635" t="s">
        <v>74</v>
      </c>
      <c r="BQ635" t="s">
        <v>74</v>
      </c>
      <c r="BR635" t="s">
        <v>105</v>
      </c>
      <c r="BS635" t="s">
        <v>11881</v>
      </c>
      <c r="BT635" t="str">
        <f>HYPERLINK("https%3A%2F%2Fwww.webofscience.com%2Fwos%2Fwoscc%2Ffull-record%2FWOS:000323929100025","View Full Record in Web of Science")</f>
        <v>View Full Record in Web of Science</v>
      </c>
    </row>
    <row r="636" spans="1:72" x14ac:dyDescent="0.15">
      <c r="A636" t="s">
        <v>72</v>
      </c>
      <c r="B636" t="s">
        <v>11882</v>
      </c>
      <c r="C636" t="s">
        <v>74</v>
      </c>
      <c r="D636" t="s">
        <v>74</v>
      </c>
      <c r="E636" t="s">
        <v>74</v>
      </c>
      <c r="F636" t="s">
        <v>11883</v>
      </c>
      <c r="G636" t="s">
        <v>74</v>
      </c>
      <c r="H636" t="s">
        <v>74</v>
      </c>
      <c r="I636" t="s">
        <v>11884</v>
      </c>
      <c r="J636" t="s">
        <v>9426</v>
      </c>
      <c r="K636" t="s">
        <v>74</v>
      </c>
      <c r="L636" t="s">
        <v>74</v>
      </c>
      <c r="M636" t="s">
        <v>78</v>
      </c>
      <c r="N636" t="s">
        <v>79</v>
      </c>
      <c r="O636" t="s">
        <v>74</v>
      </c>
      <c r="P636" t="s">
        <v>74</v>
      </c>
      <c r="Q636" t="s">
        <v>74</v>
      </c>
      <c r="R636" t="s">
        <v>74</v>
      </c>
      <c r="S636" t="s">
        <v>74</v>
      </c>
      <c r="T636" t="s">
        <v>11885</v>
      </c>
      <c r="U636" t="s">
        <v>11886</v>
      </c>
      <c r="V636" t="s">
        <v>11887</v>
      </c>
      <c r="W636" t="s">
        <v>11888</v>
      </c>
      <c r="X636" t="s">
        <v>11889</v>
      </c>
      <c r="Y636" t="s">
        <v>11890</v>
      </c>
      <c r="Z636" t="s">
        <v>11891</v>
      </c>
      <c r="AA636" t="s">
        <v>11892</v>
      </c>
      <c r="AB636" t="s">
        <v>11893</v>
      </c>
      <c r="AC636" t="s">
        <v>11894</v>
      </c>
      <c r="AD636" t="s">
        <v>11894</v>
      </c>
      <c r="AE636" t="s">
        <v>11895</v>
      </c>
      <c r="AF636" t="s">
        <v>74</v>
      </c>
      <c r="AG636">
        <v>70</v>
      </c>
      <c r="AH636">
        <v>12</v>
      </c>
      <c r="AI636">
        <v>18</v>
      </c>
      <c r="AJ636">
        <v>0</v>
      </c>
      <c r="AK636">
        <v>5</v>
      </c>
      <c r="AL636" t="s">
        <v>195</v>
      </c>
      <c r="AM636" t="s">
        <v>155</v>
      </c>
      <c r="AN636" t="s">
        <v>196</v>
      </c>
      <c r="AO636" t="s">
        <v>9439</v>
      </c>
      <c r="AP636" t="s">
        <v>9440</v>
      </c>
      <c r="AQ636" t="s">
        <v>74</v>
      </c>
      <c r="AR636" t="s">
        <v>9441</v>
      </c>
      <c r="AS636" t="s">
        <v>9442</v>
      </c>
      <c r="AT636" t="s">
        <v>11820</v>
      </c>
      <c r="AU636">
        <v>2013</v>
      </c>
      <c r="AV636">
        <v>100</v>
      </c>
      <c r="AW636" t="s">
        <v>74</v>
      </c>
      <c r="AX636" t="s">
        <v>74</v>
      </c>
      <c r="AY636" t="s">
        <v>74</v>
      </c>
      <c r="AZ636" t="s">
        <v>74</v>
      </c>
      <c r="BA636" t="s">
        <v>74</v>
      </c>
      <c r="BB636">
        <v>21</v>
      </c>
      <c r="BC636">
        <v>33</v>
      </c>
      <c r="BD636" t="s">
        <v>74</v>
      </c>
      <c r="BE636" t="s">
        <v>11896</v>
      </c>
      <c r="BF636" t="str">
        <f>HYPERLINK("http://dx.doi.org/10.1016/j.marmicro.2013.03.008","http://dx.doi.org/10.1016/j.marmicro.2013.03.008")</f>
        <v>http://dx.doi.org/10.1016/j.marmicro.2013.03.008</v>
      </c>
      <c r="BG636" t="s">
        <v>74</v>
      </c>
      <c r="BH636" t="s">
        <v>74</v>
      </c>
      <c r="BI636">
        <v>13</v>
      </c>
      <c r="BJ636" t="s">
        <v>3339</v>
      </c>
      <c r="BK636" t="s">
        <v>102</v>
      </c>
      <c r="BL636" t="s">
        <v>3339</v>
      </c>
      <c r="BM636" t="s">
        <v>11897</v>
      </c>
      <c r="BN636" t="s">
        <v>74</v>
      </c>
      <c r="BO636" t="s">
        <v>74</v>
      </c>
      <c r="BP636" t="s">
        <v>74</v>
      </c>
      <c r="BQ636" t="s">
        <v>74</v>
      </c>
      <c r="BR636" t="s">
        <v>105</v>
      </c>
      <c r="BS636" t="s">
        <v>11898</v>
      </c>
      <c r="BT636" t="str">
        <f>HYPERLINK("https%3A%2F%2Fwww.webofscience.com%2Fwos%2Fwoscc%2Ffull-record%2FWOS:000321536600004","View Full Record in Web of Science")</f>
        <v>View Full Record in Web of Science</v>
      </c>
    </row>
    <row r="637" spans="1:72" x14ac:dyDescent="0.15">
      <c r="A637" t="s">
        <v>72</v>
      </c>
      <c r="B637" t="s">
        <v>11899</v>
      </c>
      <c r="C637" t="s">
        <v>74</v>
      </c>
      <c r="D637" t="s">
        <v>74</v>
      </c>
      <c r="E637" t="s">
        <v>74</v>
      </c>
      <c r="F637" t="s">
        <v>11900</v>
      </c>
      <c r="G637" t="s">
        <v>74</v>
      </c>
      <c r="H637" t="s">
        <v>74</v>
      </c>
      <c r="I637" t="s">
        <v>11901</v>
      </c>
      <c r="J637" t="s">
        <v>11902</v>
      </c>
      <c r="K637" t="s">
        <v>74</v>
      </c>
      <c r="L637" t="s">
        <v>74</v>
      </c>
      <c r="M637" t="s">
        <v>78</v>
      </c>
      <c r="N637" t="s">
        <v>79</v>
      </c>
      <c r="O637" t="s">
        <v>74</v>
      </c>
      <c r="P637" t="s">
        <v>74</v>
      </c>
      <c r="Q637" t="s">
        <v>74</v>
      </c>
      <c r="R637" t="s">
        <v>74</v>
      </c>
      <c r="S637" t="s">
        <v>74</v>
      </c>
      <c r="T637" t="s">
        <v>11903</v>
      </c>
      <c r="U637" t="s">
        <v>11904</v>
      </c>
      <c r="V637" t="s">
        <v>11905</v>
      </c>
      <c r="W637" t="s">
        <v>11906</v>
      </c>
      <c r="X637" t="s">
        <v>11907</v>
      </c>
      <c r="Y637" t="s">
        <v>11908</v>
      </c>
      <c r="Z637" t="s">
        <v>11909</v>
      </c>
      <c r="AA637" t="s">
        <v>11910</v>
      </c>
      <c r="AB637" t="s">
        <v>11911</v>
      </c>
      <c r="AC637" t="s">
        <v>11912</v>
      </c>
      <c r="AD637" t="s">
        <v>11913</v>
      </c>
      <c r="AE637" t="s">
        <v>11914</v>
      </c>
      <c r="AF637" t="s">
        <v>74</v>
      </c>
      <c r="AG637">
        <v>33</v>
      </c>
      <c r="AH637">
        <v>20</v>
      </c>
      <c r="AI637">
        <v>21</v>
      </c>
      <c r="AJ637">
        <v>1</v>
      </c>
      <c r="AK637">
        <v>23</v>
      </c>
      <c r="AL637" t="s">
        <v>529</v>
      </c>
      <c r="AM637" t="s">
        <v>391</v>
      </c>
      <c r="AN637" t="s">
        <v>1220</v>
      </c>
      <c r="AO637" t="s">
        <v>11915</v>
      </c>
      <c r="AP637" t="s">
        <v>11916</v>
      </c>
      <c r="AQ637" t="s">
        <v>74</v>
      </c>
      <c r="AR637" t="s">
        <v>11917</v>
      </c>
      <c r="AS637" t="s">
        <v>11918</v>
      </c>
      <c r="AT637" t="s">
        <v>11820</v>
      </c>
      <c r="AU637">
        <v>2013</v>
      </c>
      <c r="AV637">
        <v>32</v>
      </c>
      <c r="AW637">
        <v>4</v>
      </c>
      <c r="AX637" t="s">
        <v>74</v>
      </c>
      <c r="AY637" t="s">
        <v>74</v>
      </c>
      <c r="AZ637" t="s">
        <v>74</v>
      </c>
      <c r="BA637" t="s">
        <v>74</v>
      </c>
      <c r="BB637">
        <v>317</v>
      </c>
      <c r="BC637">
        <v>325</v>
      </c>
      <c r="BD637" t="s">
        <v>74</v>
      </c>
      <c r="BE637" t="s">
        <v>11919</v>
      </c>
      <c r="BF637" t="str">
        <f>HYPERLINK("http://dx.doi.org/10.1007/s10930-013-9488-z","http://dx.doi.org/10.1007/s10930-013-9488-z")</f>
        <v>http://dx.doi.org/10.1007/s10930-013-9488-z</v>
      </c>
      <c r="BG637" t="s">
        <v>74</v>
      </c>
      <c r="BH637" t="s">
        <v>74</v>
      </c>
      <c r="BI637">
        <v>9</v>
      </c>
      <c r="BJ637" t="s">
        <v>11186</v>
      </c>
      <c r="BK637" t="s">
        <v>102</v>
      </c>
      <c r="BL637" t="s">
        <v>11186</v>
      </c>
      <c r="BM637" t="s">
        <v>11920</v>
      </c>
      <c r="BN637">
        <v>23645400</v>
      </c>
      <c r="BO637" t="s">
        <v>1063</v>
      </c>
      <c r="BP637" t="s">
        <v>74</v>
      </c>
      <c r="BQ637" t="s">
        <v>74</v>
      </c>
      <c r="BR637" t="s">
        <v>105</v>
      </c>
      <c r="BS637" t="s">
        <v>11921</v>
      </c>
      <c r="BT637" t="str">
        <f>HYPERLINK("https%3A%2F%2Fwww.webofscience.com%2Fwos%2Fwoscc%2Ffull-record%2FWOS:000321625200010","View Full Record in Web of Science")</f>
        <v>View Full Record in Web of Science</v>
      </c>
    </row>
    <row r="638" spans="1:72" x14ac:dyDescent="0.15">
      <c r="A638" t="s">
        <v>72</v>
      </c>
      <c r="B638" t="s">
        <v>11922</v>
      </c>
      <c r="C638" t="s">
        <v>74</v>
      </c>
      <c r="D638" t="s">
        <v>74</v>
      </c>
      <c r="E638" t="s">
        <v>74</v>
      </c>
      <c r="F638" t="s">
        <v>11923</v>
      </c>
      <c r="G638" t="s">
        <v>74</v>
      </c>
      <c r="H638" t="s">
        <v>74</v>
      </c>
      <c r="I638" t="s">
        <v>11924</v>
      </c>
      <c r="J638" t="s">
        <v>6154</v>
      </c>
      <c r="K638" t="s">
        <v>74</v>
      </c>
      <c r="L638" t="s">
        <v>74</v>
      </c>
      <c r="M638" t="s">
        <v>78</v>
      </c>
      <c r="N638" t="s">
        <v>79</v>
      </c>
      <c r="O638" t="s">
        <v>74</v>
      </c>
      <c r="P638" t="s">
        <v>74</v>
      </c>
      <c r="Q638" t="s">
        <v>74</v>
      </c>
      <c r="R638" t="s">
        <v>74</v>
      </c>
      <c r="S638" t="s">
        <v>74</v>
      </c>
      <c r="T638" t="s">
        <v>74</v>
      </c>
      <c r="U638" t="s">
        <v>11925</v>
      </c>
      <c r="V638" t="s">
        <v>11926</v>
      </c>
      <c r="W638" t="s">
        <v>11927</v>
      </c>
      <c r="X638" t="s">
        <v>11928</v>
      </c>
      <c r="Y638" t="s">
        <v>11929</v>
      </c>
      <c r="Z638" t="s">
        <v>74</v>
      </c>
      <c r="AA638" t="s">
        <v>11930</v>
      </c>
      <c r="AB638" t="s">
        <v>11931</v>
      </c>
      <c r="AC638" t="s">
        <v>11932</v>
      </c>
      <c r="AD638" t="s">
        <v>11933</v>
      </c>
      <c r="AE638" t="s">
        <v>11934</v>
      </c>
      <c r="AF638" t="s">
        <v>74</v>
      </c>
      <c r="AG638">
        <v>59</v>
      </c>
      <c r="AH638">
        <v>1</v>
      </c>
      <c r="AI638">
        <v>1</v>
      </c>
      <c r="AJ638">
        <v>0</v>
      </c>
      <c r="AK638">
        <v>10</v>
      </c>
      <c r="AL638" t="s">
        <v>279</v>
      </c>
      <c r="AM638" t="s">
        <v>280</v>
      </c>
      <c r="AN638" t="s">
        <v>281</v>
      </c>
      <c r="AO638" t="s">
        <v>6166</v>
      </c>
      <c r="AP638" t="s">
        <v>74</v>
      </c>
      <c r="AQ638" t="s">
        <v>74</v>
      </c>
      <c r="AR638" t="s">
        <v>6154</v>
      </c>
      <c r="AS638" t="s">
        <v>6167</v>
      </c>
      <c r="AT638" t="s">
        <v>11820</v>
      </c>
      <c r="AU638">
        <v>2013</v>
      </c>
      <c r="AV638">
        <v>9</v>
      </c>
      <c r="AW638">
        <v>2</v>
      </c>
      <c r="AX638" t="s">
        <v>74</v>
      </c>
      <c r="AY638" t="s">
        <v>74</v>
      </c>
      <c r="AZ638" t="s">
        <v>74</v>
      </c>
      <c r="BA638" t="s">
        <v>74</v>
      </c>
      <c r="BB638">
        <v>275</v>
      </c>
      <c r="BC638">
        <v>286</v>
      </c>
      <c r="BD638" t="s">
        <v>74</v>
      </c>
      <c r="BE638" t="s">
        <v>11935</v>
      </c>
      <c r="BF638" t="str">
        <f>HYPERLINK("http://dx.doi.org/10.1130/GES00812.1","http://dx.doi.org/10.1130/GES00812.1")</f>
        <v>http://dx.doi.org/10.1130/GES00812.1</v>
      </c>
      <c r="BG638" t="s">
        <v>74</v>
      </c>
      <c r="BH638" t="s">
        <v>74</v>
      </c>
      <c r="BI638">
        <v>12</v>
      </c>
      <c r="BJ638" t="s">
        <v>1426</v>
      </c>
      <c r="BK638" t="s">
        <v>102</v>
      </c>
      <c r="BL638" t="s">
        <v>219</v>
      </c>
      <c r="BM638" t="s">
        <v>11936</v>
      </c>
      <c r="BN638" t="s">
        <v>74</v>
      </c>
      <c r="BO638" t="s">
        <v>6170</v>
      </c>
      <c r="BP638" t="s">
        <v>74</v>
      </c>
      <c r="BQ638" t="s">
        <v>74</v>
      </c>
      <c r="BR638" t="s">
        <v>105</v>
      </c>
      <c r="BS638" t="s">
        <v>11937</v>
      </c>
      <c r="BT638" t="str">
        <f>HYPERLINK("https%3A%2F%2Fwww.webofscience.com%2Fwos%2Fwoscc%2Ffull-record%2FWOS:000320701200007","View Full Record in Web of Science")</f>
        <v>View Full Record in Web of Science</v>
      </c>
    </row>
    <row r="639" spans="1:72" x14ac:dyDescent="0.15">
      <c r="A639" t="s">
        <v>72</v>
      </c>
      <c r="B639" t="s">
        <v>11938</v>
      </c>
      <c r="C639" t="s">
        <v>74</v>
      </c>
      <c r="D639" t="s">
        <v>74</v>
      </c>
      <c r="E639" t="s">
        <v>74</v>
      </c>
      <c r="F639" t="s">
        <v>11939</v>
      </c>
      <c r="G639" t="s">
        <v>74</v>
      </c>
      <c r="H639" t="s">
        <v>74</v>
      </c>
      <c r="I639" t="s">
        <v>11940</v>
      </c>
      <c r="J639" t="s">
        <v>3089</v>
      </c>
      <c r="K639" t="s">
        <v>74</v>
      </c>
      <c r="L639" t="s">
        <v>74</v>
      </c>
      <c r="M639" t="s">
        <v>78</v>
      </c>
      <c r="N639" t="s">
        <v>79</v>
      </c>
      <c r="O639" t="s">
        <v>74</v>
      </c>
      <c r="P639" t="s">
        <v>74</v>
      </c>
      <c r="Q639" t="s">
        <v>74</v>
      </c>
      <c r="R639" t="s">
        <v>74</v>
      </c>
      <c r="S639" t="s">
        <v>74</v>
      </c>
      <c r="T639" t="s">
        <v>74</v>
      </c>
      <c r="U639" t="s">
        <v>11941</v>
      </c>
      <c r="V639" t="s">
        <v>11942</v>
      </c>
      <c r="W639" t="s">
        <v>11943</v>
      </c>
      <c r="X639" t="s">
        <v>11944</v>
      </c>
      <c r="Y639" t="s">
        <v>11945</v>
      </c>
      <c r="Z639" t="s">
        <v>11946</v>
      </c>
      <c r="AA639" t="s">
        <v>11947</v>
      </c>
      <c r="AB639" t="s">
        <v>11948</v>
      </c>
      <c r="AC639" t="s">
        <v>11949</v>
      </c>
      <c r="AD639" t="s">
        <v>11950</v>
      </c>
      <c r="AE639" t="s">
        <v>11951</v>
      </c>
      <c r="AF639" t="s">
        <v>74</v>
      </c>
      <c r="AG639">
        <v>23</v>
      </c>
      <c r="AH639">
        <v>17</v>
      </c>
      <c r="AI639">
        <v>17</v>
      </c>
      <c r="AJ639">
        <v>0</v>
      </c>
      <c r="AK639">
        <v>22</v>
      </c>
      <c r="AL639" t="s">
        <v>3100</v>
      </c>
      <c r="AM639" t="s">
        <v>643</v>
      </c>
      <c r="AN639" t="s">
        <v>11952</v>
      </c>
      <c r="AO639" t="s">
        <v>3102</v>
      </c>
      <c r="AP639" t="s">
        <v>3103</v>
      </c>
      <c r="AQ639" t="s">
        <v>74</v>
      </c>
      <c r="AR639" t="s">
        <v>3104</v>
      </c>
      <c r="AS639" t="s">
        <v>3105</v>
      </c>
      <c r="AT639" t="s">
        <v>11820</v>
      </c>
      <c r="AU639">
        <v>2013</v>
      </c>
      <c r="AV639">
        <v>63</v>
      </c>
      <c r="AW639" t="s">
        <v>74</v>
      </c>
      <c r="AX639">
        <v>4</v>
      </c>
      <c r="AY639" t="s">
        <v>74</v>
      </c>
      <c r="AZ639" t="s">
        <v>74</v>
      </c>
      <c r="BA639" t="s">
        <v>74</v>
      </c>
      <c r="BB639">
        <v>1370</v>
      </c>
      <c r="BC639">
        <v>1375</v>
      </c>
      <c r="BD639" t="s">
        <v>74</v>
      </c>
      <c r="BE639" t="s">
        <v>11953</v>
      </c>
      <c r="BF639" t="str">
        <f>HYPERLINK("http://dx.doi.org/10.1099/ijs.0.042861-0","http://dx.doi.org/10.1099/ijs.0.042861-0")</f>
        <v>http://dx.doi.org/10.1099/ijs.0.042861-0</v>
      </c>
      <c r="BG639" t="s">
        <v>74</v>
      </c>
      <c r="BH639" t="s">
        <v>74</v>
      </c>
      <c r="BI639">
        <v>6</v>
      </c>
      <c r="BJ639" t="s">
        <v>3107</v>
      </c>
      <c r="BK639" t="s">
        <v>102</v>
      </c>
      <c r="BL639" t="s">
        <v>3107</v>
      </c>
      <c r="BM639" t="s">
        <v>11954</v>
      </c>
      <c r="BN639">
        <v>22798642</v>
      </c>
      <c r="BO639" t="s">
        <v>74</v>
      </c>
      <c r="BP639" t="s">
        <v>74</v>
      </c>
      <c r="BQ639" t="s">
        <v>74</v>
      </c>
      <c r="BR639" t="s">
        <v>105</v>
      </c>
      <c r="BS639" t="s">
        <v>11955</v>
      </c>
      <c r="BT639" t="str">
        <f>HYPERLINK("https%3A%2F%2Fwww.webofscience.com%2Fwos%2Fwoscc%2Ffull-record%2FWOS:000319785700025","View Full Record in Web of Science")</f>
        <v>View Full Record in Web of Science</v>
      </c>
    </row>
    <row r="640" spans="1:72" x14ac:dyDescent="0.15">
      <c r="A640" t="s">
        <v>72</v>
      </c>
      <c r="B640" t="s">
        <v>11956</v>
      </c>
      <c r="C640" t="s">
        <v>74</v>
      </c>
      <c r="D640" t="s">
        <v>74</v>
      </c>
      <c r="E640" t="s">
        <v>74</v>
      </c>
      <c r="F640" t="s">
        <v>11957</v>
      </c>
      <c r="G640" t="s">
        <v>74</v>
      </c>
      <c r="H640" t="s">
        <v>74</v>
      </c>
      <c r="I640" t="s">
        <v>11958</v>
      </c>
      <c r="J640" t="s">
        <v>1710</v>
      </c>
      <c r="K640" t="s">
        <v>74</v>
      </c>
      <c r="L640" t="s">
        <v>74</v>
      </c>
      <c r="M640" t="s">
        <v>78</v>
      </c>
      <c r="N640" t="s">
        <v>79</v>
      </c>
      <c r="O640" t="s">
        <v>74</v>
      </c>
      <c r="P640" t="s">
        <v>74</v>
      </c>
      <c r="Q640" t="s">
        <v>74</v>
      </c>
      <c r="R640" t="s">
        <v>74</v>
      </c>
      <c r="S640" t="s">
        <v>74</v>
      </c>
      <c r="T640" t="s">
        <v>11959</v>
      </c>
      <c r="U640" t="s">
        <v>11960</v>
      </c>
      <c r="V640" t="s">
        <v>11961</v>
      </c>
      <c r="W640" t="s">
        <v>11962</v>
      </c>
      <c r="X640" t="s">
        <v>11963</v>
      </c>
      <c r="Y640" t="s">
        <v>11964</v>
      </c>
      <c r="Z640" t="s">
        <v>11965</v>
      </c>
      <c r="AA640" t="s">
        <v>11966</v>
      </c>
      <c r="AB640" t="s">
        <v>11967</v>
      </c>
      <c r="AC640" t="s">
        <v>11968</v>
      </c>
      <c r="AD640" t="s">
        <v>11968</v>
      </c>
      <c r="AE640" t="s">
        <v>11969</v>
      </c>
      <c r="AF640" t="s">
        <v>74</v>
      </c>
      <c r="AG640">
        <v>56</v>
      </c>
      <c r="AH640">
        <v>72</v>
      </c>
      <c r="AI640">
        <v>78</v>
      </c>
      <c r="AJ640">
        <v>0</v>
      </c>
      <c r="AK640">
        <v>33</v>
      </c>
      <c r="AL640" t="s">
        <v>92</v>
      </c>
      <c r="AM640" t="s">
        <v>93</v>
      </c>
      <c r="AN640" t="s">
        <v>94</v>
      </c>
      <c r="AO640" t="s">
        <v>1723</v>
      </c>
      <c r="AP640" t="s">
        <v>1724</v>
      </c>
      <c r="AQ640" t="s">
        <v>74</v>
      </c>
      <c r="AR640" t="s">
        <v>1725</v>
      </c>
      <c r="AS640" t="s">
        <v>1726</v>
      </c>
      <c r="AT640" t="s">
        <v>11820</v>
      </c>
      <c r="AU640">
        <v>2013</v>
      </c>
      <c r="AV640">
        <v>118</v>
      </c>
      <c r="AW640">
        <v>4</v>
      </c>
      <c r="AX640" t="s">
        <v>74</v>
      </c>
      <c r="AY640" t="s">
        <v>74</v>
      </c>
      <c r="AZ640" t="s">
        <v>74</v>
      </c>
      <c r="BA640" t="s">
        <v>74</v>
      </c>
      <c r="BB640">
        <v>1759</v>
      </c>
      <c r="BC640">
        <v>1774</v>
      </c>
      <c r="BD640" t="s">
        <v>74</v>
      </c>
      <c r="BE640" t="s">
        <v>11970</v>
      </c>
      <c r="BF640" t="str">
        <f>HYPERLINK("http://dx.doi.org/10.1002/jgrc.20155","http://dx.doi.org/10.1002/jgrc.20155")</f>
        <v>http://dx.doi.org/10.1002/jgrc.20155</v>
      </c>
      <c r="BG640" t="s">
        <v>74</v>
      </c>
      <c r="BH640" t="s">
        <v>74</v>
      </c>
      <c r="BI640">
        <v>16</v>
      </c>
      <c r="BJ640" t="s">
        <v>327</v>
      </c>
      <c r="BK640" t="s">
        <v>102</v>
      </c>
      <c r="BL640" t="s">
        <v>327</v>
      </c>
      <c r="BM640" t="s">
        <v>11971</v>
      </c>
      <c r="BN640" t="s">
        <v>74</v>
      </c>
      <c r="BO640" t="s">
        <v>74</v>
      </c>
      <c r="BP640" t="s">
        <v>74</v>
      </c>
      <c r="BQ640" t="s">
        <v>74</v>
      </c>
      <c r="BR640" t="s">
        <v>105</v>
      </c>
      <c r="BS640" t="s">
        <v>11972</v>
      </c>
      <c r="BT640" t="str">
        <f>HYPERLINK("https%3A%2F%2Fwww.webofscience.com%2Fwos%2Fwoscc%2Ffull-record%2FWOS:000320324100009","View Full Record in Web of Science")</f>
        <v>View Full Record in Web of Science</v>
      </c>
    </row>
    <row r="641" spans="1:72" x14ac:dyDescent="0.15">
      <c r="A641" t="s">
        <v>72</v>
      </c>
      <c r="B641" t="s">
        <v>11973</v>
      </c>
      <c r="C641" t="s">
        <v>74</v>
      </c>
      <c r="D641" t="s">
        <v>74</v>
      </c>
      <c r="E641" t="s">
        <v>74</v>
      </c>
      <c r="F641" t="s">
        <v>11974</v>
      </c>
      <c r="G641" t="s">
        <v>74</v>
      </c>
      <c r="H641" t="s">
        <v>74</v>
      </c>
      <c r="I641" t="s">
        <v>11975</v>
      </c>
      <c r="J641" t="s">
        <v>5800</v>
      </c>
      <c r="K641" t="s">
        <v>74</v>
      </c>
      <c r="L641" t="s">
        <v>74</v>
      </c>
      <c r="M641" t="s">
        <v>78</v>
      </c>
      <c r="N641" t="s">
        <v>79</v>
      </c>
      <c r="O641" t="s">
        <v>74</v>
      </c>
      <c r="P641" t="s">
        <v>74</v>
      </c>
      <c r="Q641" t="s">
        <v>74</v>
      </c>
      <c r="R641" t="s">
        <v>74</v>
      </c>
      <c r="S641" t="s">
        <v>74</v>
      </c>
      <c r="T641" t="s">
        <v>74</v>
      </c>
      <c r="U641" t="s">
        <v>74</v>
      </c>
      <c r="V641" t="s">
        <v>11976</v>
      </c>
      <c r="W641" t="s">
        <v>11977</v>
      </c>
      <c r="X641" t="s">
        <v>11978</v>
      </c>
      <c r="Y641" t="s">
        <v>11979</v>
      </c>
      <c r="Z641" t="s">
        <v>74</v>
      </c>
      <c r="AA641" t="s">
        <v>74</v>
      </c>
      <c r="AB641" t="s">
        <v>74</v>
      </c>
      <c r="AC641" t="s">
        <v>74</v>
      </c>
      <c r="AD641" t="s">
        <v>74</v>
      </c>
      <c r="AE641" t="s">
        <v>74</v>
      </c>
      <c r="AF641" t="s">
        <v>74</v>
      </c>
      <c r="AG641">
        <v>12</v>
      </c>
      <c r="AH641">
        <v>0</v>
      </c>
      <c r="AI641">
        <v>0</v>
      </c>
      <c r="AJ641">
        <v>0</v>
      </c>
      <c r="AK641">
        <v>7</v>
      </c>
      <c r="AL641" t="s">
        <v>9465</v>
      </c>
      <c r="AM641" t="s">
        <v>391</v>
      </c>
      <c r="AN641" t="s">
        <v>9466</v>
      </c>
      <c r="AO641" t="s">
        <v>5810</v>
      </c>
      <c r="AP641" t="s">
        <v>74</v>
      </c>
      <c r="AQ641" t="s">
        <v>74</v>
      </c>
      <c r="AR641" t="s">
        <v>5812</v>
      </c>
      <c r="AS641" t="s">
        <v>5813</v>
      </c>
      <c r="AT641" t="s">
        <v>11820</v>
      </c>
      <c r="AU641">
        <v>2013</v>
      </c>
      <c r="AV641">
        <v>38</v>
      </c>
      <c r="AW641">
        <v>4</v>
      </c>
      <c r="AX641" t="s">
        <v>74</v>
      </c>
      <c r="AY641" t="s">
        <v>74</v>
      </c>
      <c r="AZ641" t="s">
        <v>74</v>
      </c>
      <c r="BA641" t="s">
        <v>74</v>
      </c>
      <c r="BB641">
        <v>285</v>
      </c>
      <c r="BC641">
        <v>295</v>
      </c>
      <c r="BD641" t="s">
        <v>74</v>
      </c>
      <c r="BE641" t="s">
        <v>11980</v>
      </c>
      <c r="BF641" t="str">
        <f>HYPERLINK("http://dx.doi.org/10.3103/S1068373913040110","http://dx.doi.org/10.3103/S1068373913040110")</f>
        <v>http://dx.doi.org/10.3103/S1068373913040110</v>
      </c>
      <c r="BG641" t="s">
        <v>74</v>
      </c>
      <c r="BH641" t="s">
        <v>74</v>
      </c>
      <c r="BI641">
        <v>11</v>
      </c>
      <c r="BJ641" t="s">
        <v>305</v>
      </c>
      <c r="BK641" t="s">
        <v>102</v>
      </c>
      <c r="BL641" t="s">
        <v>305</v>
      </c>
      <c r="BM641" t="s">
        <v>11981</v>
      </c>
      <c r="BN641" t="s">
        <v>74</v>
      </c>
      <c r="BO641" t="s">
        <v>74</v>
      </c>
      <c r="BP641" t="s">
        <v>74</v>
      </c>
      <c r="BQ641" t="s">
        <v>74</v>
      </c>
      <c r="BR641" t="s">
        <v>105</v>
      </c>
      <c r="BS641" t="s">
        <v>11982</v>
      </c>
      <c r="BT641" t="str">
        <f>HYPERLINK("https%3A%2F%2Fwww.webofscience.com%2Fwos%2Fwoscc%2Ffull-record%2FWOS:000320043600011","View Full Record in Web of Science")</f>
        <v>View Full Record in Web of Science</v>
      </c>
    </row>
    <row r="642" spans="1:72" x14ac:dyDescent="0.15">
      <c r="A642" t="s">
        <v>72</v>
      </c>
      <c r="B642" t="s">
        <v>11983</v>
      </c>
      <c r="C642" t="s">
        <v>74</v>
      </c>
      <c r="D642" t="s">
        <v>74</v>
      </c>
      <c r="E642" t="s">
        <v>74</v>
      </c>
      <c r="F642" t="s">
        <v>11984</v>
      </c>
      <c r="G642" t="s">
        <v>74</v>
      </c>
      <c r="H642" t="s">
        <v>74</v>
      </c>
      <c r="I642" t="s">
        <v>11985</v>
      </c>
      <c r="J642" t="s">
        <v>77</v>
      </c>
      <c r="K642" t="s">
        <v>74</v>
      </c>
      <c r="L642" t="s">
        <v>74</v>
      </c>
      <c r="M642" t="s">
        <v>78</v>
      </c>
      <c r="N642" t="s">
        <v>79</v>
      </c>
      <c r="O642" t="s">
        <v>74</v>
      </c>
      <c r="P642" t="s">
        <v>74</v>
      </c>
      <c r="Q642" t="s">
        <v>74</v>
      </c>
      <c r="R642" t="s">
        <v>74</v>
      </c>
      <c r="S642" t="s">
        <v>74</v>
      </c>
      <c r="T642" t="s">
        <v>11986</v>
      </c>
      <c r="U642" t="s">
        <v>11987</v>
      </c>
      <c r="V642" t="s">
        <v>11988</v>
      </c>
      <c r="W642" t="s">
        <v>11989</v>
      </c>
      <c r="X642" t="s">
        <v>11990</v>
      </c>
      <c r="Y642" t="s">
        <v>11991</v>
      </c>
      <c r="Z642" t="s">
        <v>11992</v>
      </c>
      <c r="AA642" t="s">
        <v>11993</v>
      </c>
      <c r="AB642" t="s">
        <v>11994</v>
      </c>
      <c r="AC642" t="s">
        <v>11995</v>
      </c>
      <c r="AD642" t="s">
        <v>11996</v>
      </c>
      <c r="AE642" t="s">
        <v>11997</v>
      </c>
      <c r="AF642" t="s">
        <v>74</v>
      </c>
      <c r="AG642">
        <v>40</v>
      </c>
      <c r="AH642">
        <v>19</v>
      </c>
      <c r="AI642">
        <v>23</v>
      </c>
      <c r="AJ642">
        <v>0</v>
      </c>
      <c r="AK642">
        <v>7</v>
      </c>
      <c r="AL642" t="s">
        <v>92</v>
      </c>
      <c r="AM642" t="s">
        <v>93</v>
      </c>
      <c r="AN642" t="s">
        <v>94</v>
      </c>
      <c r="AO642" t="s">
        <v>95</v>
      </c>
      <c r="AP642" t="s">
        <v>96</v>
      </c>
      <c r="AQ642" t="s">
        <v>74</v>
      </c>
      <c r="AR642" t="s">
        <v>97</v>
      </c>
      <c r="AS642" t="s">
        <v>98</v>
      </c>
      <c r="AT642" t="s">
        <v>11820</v>
      </c>
      <c r="AU642">
        <v>2013</v>
      </c>
      <c r="AV642">
        <v>118</v>
      </c>
      <c r="AW642">
        <v>4</v>
      </c>
      <c r="AX642" t="s">
        <v>74</v>
      </c>
      <c r="AY642" t="s">
        <v>74</v>
      </c>
      <c r="AZ642" t="s">
        <v>74</v>
      </c>
      <c r="BA642" t="s">
        <v>74</v>
      </c>
      <c r="BB642">
        <v>1428</v>
      </c>
      <c r="BC642">
        <v>1434</v>
      </c>
      <c r="BD642" t="s">
        <v>74</v>
      </c>
      <c r="BE642" t="s">
        <v>11998</v>
      </c>
      <c r="BF642" t="str">
        <f>HYPERLINK("http://dx.doi.org/10.1002/jgra.50243","http://dx.doi.org/10.1002/jgra.50243")</f>
        <v>http://dx.doi.org/10.1002/jgra.50243</v>
      </c>
      <c r="BG642" t="s">
        <v>74</v>
      </c>
      <c r="BH642" t="s">
        <v>74</v>
      </c>
      <c r="BI642">
        <v>7</v>
      </c>
      <c r="BJ642" t="s">
        <v>101</v>
      </c>
      <c r="BK642" t="s">
        <v>102</v>
      </c>
      <c r="BL642" t="s">
        <v>101</v>
      </c>
      <c r="BM642" t="s">
        <v>11999</v>
      </c>
      <c r="BN642" t="s">
        <v>74</v>
      </c>
      <c r="BO642" t="s">
        <v>104</v>
      </c>
      <c r="BP642" t="s">
        <v>74</v>
      </c>
      <c r="BQ642" t="s">
        <v>74</v>
      </c>
      <c r="BR642" t="s">
        <v>105</v>
      </c>
      <c r="BS642" t="s">
        <v>12000</v>
      </c>
      <c r="BT642" t="str">
        <f>HYPERLINK("https%3A%2F%2Fwww.webofscience.com%2Fwos%2Fwoscc%2Ffull-record%2FWOS:000319924400006","View Full Record in Web of Science")</f>
        <v>View Full Record in Web of Science</v>
      </c>
    </row>
    <row r="643" spans="1:72" x14ac:dyDescent="0.15">
      <c r="A643" t="s">
        <v>72</v>
      </c>
      <c r="B643" t="s">
        <v>12001</v>
      </c>
      <c r="C643" t="s">
        <v>74</v>
      </c>
      <c r="D643" t="s">
        <v>74</v>
      </c>
      <c r="E643" t="s">
        <v>74</v>
      </c>
      <c r="F643" t="s">
        <v>12002</v>
      </c>
      <c r="G643" t="s">
        <v>74</v>
      </c>
      <c r="H643" t="s">
        <v>74</v>
      </c>
      <c r="I643" t="s">
        <v>12003</v>
      </c>
      <c r="J643" t="s">
        <v>12004</v>
      </c>
      <c r="K643" t="s">
        <v>74</v>
      </c>
      <c r="L643" t="s">
        <v>74</v>
      </c>
      <c r="M643" t="s">
        <v>78</v>
      </c>
      <c r="N643" t="s">
        <v>79</v>
      </c>
      <c r="O643" t="s">
        <v>74</v>
      </c>
      <c r="P643" t="s">
        <v>74</v>
      </c>
      <c r="Q643" t="s">
        <v>74</v>
      </c>
      <c r="R643" t="s">
        <v>74</v>
      </c>
      <c r="S643" t="s">
        <v>74</v>
      </c>
      <c r="T643" t="s">
        <v>12005</v>
      </c>
      <c r="U643" t="s">
        <v>12006</v>
      </c>
      <c r="V643" t="s">
        <v>12007</v>
      </c>
      <c r="W643" t="s">
        <v>12008</v>
      </c>
      <c r="X643" t="s">
        <v>12009</v>
      </c>
      <c r="Y643" t="s">
        <v>12010</v>
      </c>
      <c r="Z643" t="s">
        <v>12011</v>
      </c>
      <c r="AA643" t="s">
        <v>12012</v>
      </c>
      <c r="AB643" t="s">
        <v>12013</v>
      </c>
      <c r="AC643" t="s">
        <v>12014</v>
      </c>
      <c r="AD643" t="s">
        <v>12015</v>
      </c>
      <c r="AE643" t="s">
        <v>12016</v>
      </c>
      <c r="AF643" t="s">
        <v>74</v>
      </c>
      <c r="AG643">
        <v>15</v>
      </c>
      <c r="AH643">
        <v>17</v>
      </c>
      <c r="AI643">
        <v>23</v>
      </c>
      <c r="AJ643">
        <v>1</v>
      </c>
      <c r="AK643">
        <v>37</v>
      </c>
      <c r="AL643" t="s">
        <v>1244</v>
      </c>
      <c r="AM643" t="s">
        <v>391</v>
      </c>
      <c r="AN643" t="s">
        <v>1245</v>
      </c>
      <c r="AO643" t="s">
        <v>12017</v>
      </c>
      <c r="AP643" t="s">
        <v>74</v>
      </c>
      <c r="AQ643" t="s">
        <v>74</v>
      </c>
      <c r="AR643" t="s">
        <v>12018</v>
      </c>
      <c r="AS643" t="s">
        <v>12019</v>
      </c>
      <c r="AT643" t="s">
        <v>11820</v>
      </c>
      <c r="AU643">
        <v>2013</v>
      </c>
      <c r="AV643">
        <v>24</v>
      </c>
      <c r="AW643">
        <v>4</v>
      </c>
      <c r="AX643" t="s">
        <v>74</v>
      </c>
      <c r="AY643" t="s">
        <v>74</v>
      </c>
      <c r="AZ643" t="s">
        <v>74</v>
      </c>
      <c r="BA643" t="s">
        <v>74</v>
      </c>
      <c r="BB643">
        <v>311</v>
      </c>
      <c r="BC643">
        <v>314</v>
      </c>
      <c r="BD643" t="s">
        <v>74</v>
      </c>
      <c r="BE643" t="s">
        <v>12020</v>
      </c>
      <c r="BF643" t="str">
        <f>HYPERLINK("http://dx.doi.org/10.1016/j.cclet.2013.02.011","http://dx.doi.org/10.1016/j.cclet.2013.02.011")</f>
        <v>http://dx.doi.org/10.1016/j.cclet.2013.02.011</v>
      </c>
      <c r="BG643" t="s">
        <v>74</v>
      </c>
      <c r="BH643" t="s">
        <v>74</v>
      </c>
      <c r="BI643">
        <v>4</v>
      </c>
      <c r="BJ643" t="s">
        <v>11733</v>
      </c>
      <c r="BK643" t="s">
        <v>102</v>
      </c>
      <c r="BL643" t="s">
        <v>350</v>
      </c>
      <c r="BM643" t="s">
        <v>12021</v>
      </c>
      <c r="BN643" t="s">
        <v>74</v>
      </c>
      <c r="BO643" t="s">
        <v>74</v>
      </c>
      <c r="BP643" t="s">
        <v>74</v>
      </c>
      <c r="BQ643" t="s">
        <v>74</v>
      </c>
      <c r="BR643" t="s">
        <v>105</v>
      </c>
      <c r="BS643" t="s">
        <v>12022</v>
      </c>
      <c r="BT643" t="str">
        <f>HYPERLINK("https%3A%2F%2Fwww.webofscience.com%2Fwos%2Fwoscc%2Ffull-record%2FWOS:000319307900012","View Full Record in Web of Science")</f>
        <v>View Full Record in Web of Science</v>
      </c>
    </row>
    <row r="644" spans="1:72" x14ac:dyDescent="0.15">
      <c r="A644" t="s">
        <v>72</v>
      </c>
      <c r="B644" t="s">
        <v>12023</v>
      </c>
      <c r="C644" t="s">
        <v>74</v>
      </c>
      <c r="D644" t="s">
        <v>74</v>
      </c>
      <c r="E644" t="s">
        <v>74</v>
      </c>
      <c r="F644" t="s">
        <v>12024</v>
      </c>
      <c r="G644" t="s">
        <v>74</v>
      </c>
      <c r="H644" t="s">
        <v>74</v>
      </c>
      <c r="I644" t="s">
        <v>12025</v>
      </c>
      <c r="J644" t="s">
        <v>1571</v>
      </c>
      <c r="K644" t="s">
        <v>74</v>
      </c>
      <c r="L644" t="s">
        <v>74</v>
      </c>
      <c r="M644" t="s">
        <v>78</v>
      </c>
      <c r="N644" t="s">
        <v>79</v>
      </c>
      <c r="O644" t="s">
        <v>74</v>
      </c>
      <c r="P644" t="s">
        <v>74</v>
      </c>
      <c r="Q644" t="s">
        <v>74</v>
      </c>
      <c r="R644" t="s">
        <v>74</v>
      </c>
      <c r="S644" t="s">
        <v>74</v>
      </c>
      <c r="T644" t="s">
        <v>12026</v>
      </c>
      <c r="U644" t="s">
        <v>12027</v>
      </c>
      <c r="V644" t="s">
        <v>12028</v>
      </c>
      <c r="W644" t="s">
        <v>12029</v>
      </c>
      <c r="X644" t="s">
        <v>12030</v>
      </c>
      <c r="Y644" t="s">
        <v>12031</v>
      </c>
      <c r="Z644" t="s">
        <v>12032</v>
      </c>
      <c r="AA644" t="s">
        <v>12033</v>
      </c>
      <c r="AB644" t="s">
        <v>12034</v>
      </c>
      <c r="AC644" t="s">
        <v>12035</v>
      </c>
      <c r="AD644" t="s">
        <v>12036</v>
      </c>
      <c r="AE644" t="s">
        <v>12037</v>
      </c>
      <c r="AF644" t="s">
        <v>74</v>
      </c>
      <c r="AG644">
        <v>79</v>
      </c>
      <c r="AH644">
        <v>22</v>
      </c>
      <c r="AI644">
        <v>28</v>
      </c>
      <c r="AJ644">
        <v>0</v>
      </c>
      <c r="AK644">
        <v>27</v>
      </c>
      <c r="AL644" t="s">
        <v>92</v>
      </c>
      <c r="AM644" t="s">
        <v>93</v>
      </c>
      <c r="AN644" t="s">
        <v>94</v>
      </c>
      <c r="AO644" t="s">
        <v>74</v>
      </c>
      <c r="AP644" t="s">
        <v>1584</v>
      </c>
      <c r="AQ644" t="s">
        <v>74</v>
      </c>
      <c r="AR644" t="s">
        <v>1585</v>
      </c>
      <c r="AS644" t="s">
        <v>1586</v>
      </c>
      <c r="AT644" t="s">
        <v>11820</v>
      </c>
      <c r="AU644">
        <v>2013</v>
      </c>
      <c r="AV644">
        <v>14</v>
      </c>
      <c r="AW644">
        <v>4</v>
      </c>
      <c r="AX644" t="s">
        <v>74</v>
      </c>
      <c r="AY644" t="s">
        <v>74</v>
      </c>
      <c r="AZ644" t="s">
        <v>74</v>
      </c>
      <c r="BA644" t="s">
        <v>74</v>
      </c>
      <c r="BB644">
        <v>902</v>
      </c>
      <c r="BC644">
        <v>920</v>
      </c>
      <c r="BD644" t="s">
        <v>74</v>
      </c>
      <c r="BE644" t="s">
        <v>12038</v>
      </c>
      <c r="BF644" t="str">
        <f>HYPERLINK("http://dx.doi.org/10.1002/ggge.20098","http://dx.doi.org/10.1002/ggge.20098")</f>
        <v>http://dx.doi.org/10.1002/ggge.20098</v>
      </c>
      <c r="BG644" t="s">
        <v>74</v>
      </c>
      <c r="BH644" t="s">
        <v>74</v>
      </c>
      <c r="BI644">
        <v>19</v>
      </c>
      <c r="BJ644" t="s">
        <v>766</v>
      </c>
      <c r="BK644" t="s">
        <v>102</v>
      </c>
      <c r="BL644" t="s">
        <v>766</v>
      </c>
      <c r="BM644" t="s">
        <v>12039</v>
      </c>
      <c r="BN644" t="s">
        <v>74</v>
      </c>
      <c r="BO644" t="s">
        <v>104</v>
      </c>
      <c r="BP644" t="s">
        <v>74</v>
      </c>
      <c r="BQ644" t="s">
        <v>74</v>
      </c>
      <c r="BR644" t="s">
        <v>105</v>
      </c>
      <c r="BS644" t="s">
        <v>12040</v>
      </c>
      <c r="BT644" t="str">
        <f>HYPERLINK("https%3A%2F%2Fwww.webofscience.com%2Fwos%2Fwoscc%2Ffull-record%2FWOS:000319410100009","View Full Record in Web of Science")</f>
        <v>View Full Record in Web of Science</v>
      </c>
    </row>
    <row r="645" spans="1:72" x14ac:dyDescent="0.15">
      <c r="A645" t="s">
        <v>72</v>
      </c>
      <c r="B645" t="s">
        <v>12041</v>
      </c>
      <c r="C645" t="s">
        <v>74</v>
      </c>
      <c r="D645" t="s">
        <v>74</v>
      </c>
      <c r="E645" t="s">
        <v>74</v>
      </c>
      <c r="F645" t="s">
        <v>12042</v>
      </c>
      <c r="G645" t="s">
        <v>74</v>
      </c>
      <c r="H645" t="s">
        <v>74</v>
      </c>
      <c r="I645" t="s">
        <v>12043</v>
      </c>
      <c r="J645" t="s">
        <v>1571</v>
      </c>
      <c r="K645" t="s">
        <v>74</v>
      </c>
      <c r="L645" t="s">
        <v>74</v>
      </c>
      <c r="M645" t="s">
        <v>78</v>
      </c>
      <c r="N645" t="s">
        <v>79</v>
      </c>
      <c r="O645" t="s">
        <v>74</v>
      </c>
      <c r="P645" t="s">
        <v>74</v>
      </c>
      <c r="Q645" t="s">
        <v>74</v>
      </c>
      <c r="R645" t="s">
        <v>74</v>
      </c>
      <c r="S645" t="s">
        <v>74</v>
      </c>
      <c r="T645" t="s">
        <v>12044</v>
      </c>
      <c r="U645" t="s">
        <v>12045</v>
      </c>
      <c r="V645" t="s">
        <v>12046</v>
      </c>
      <c r="W645" t="s">
        <v>12047</v>
      </c>
      <c r="X645" t="s">
        <v>12048</v>
      </c>
      <c r="Y645" t="s">
        <v>12049</v>
      </c>
      <c r="Z645" t="s">
        <v>12050</v>
      </c>
      <c r="AA645" t="s">
        <v>12051</v>
      </c>
      <c r="AB645" t="s">
        <v>12052</v>
      </c>
      <c r="AC645" t="s">
        <v>12053</v>
      </c>
      <c r="AD645" t="s">
        <v>12054</v>
      </c>
      <c r="AE645" t="s">
        <v>12055</v>
      </c>
      <c r="AF645" t="s">
        <v>74</v>
      </c>
      <c r="AG645">
        <v>35</v>
      </c>
      <c r="AH645">
        <v>12</v>
      </c>
      <c r="AI645">
        <v>16</v>
      </c>
      <c r="AJ645">
        <v>0</v>
      </c>
      <c r="AK645">
        <v>16</v>
      </c>
      <c r="AL645" t="s">
        <v>92</v>
      </c>
      <c r="AM645" t="s">
        <v>93</v>
      </c>
      <c r="AN645" t="s">
        <v>94</v>
      </c>
      <c r="AO645" t="s">
        <v>1584</v>
      </c>
      <c r="AP645" t="s">
        <v>74</v>
      </c>
      <c r="AQ645" t="s">
        <v>74</v>
      </c>
      <c r="AR645" t="s">
        <v>1585</v>
      </c>
      <c r="AS645" t="s">
        <v>1586</v>
      </c>
      <c r="AT645" t="s">
        <v>11820</v>
      </c>
      <c r="AU645">
        <v>2013</v>
      </c>
      <c r="AV645">
        <v>14</v>
      </c>
      <c r="AW645">
        <v>4</v>
      </c>
      <c r="AX645" t="s">
        <v>74</v>
      </c>
      <c r="AY645" t="s">
        <v>74</v>
      </c>
      <c r="AZ645" t="s">
        <v>74</v>
      </c>
      <c r="BA645" t="s">
        <v>74</v>
      </c>
      <c r="BB645">
        <v>1294</v>
      </c>
      <c r="BC645">
        <v>1311</v>
      </c>
      <c r="BD645" t="s">
        <v>74</v>
      </c>
      <c r="BE645" t="s">
        <v>12056</v>
      </c>
      <c r="BF645" t="str">
        <f>HYPERLINK("http://dx.doi.org/10.1002/ggge.20097","http://dx.doi.org/10.1002/ggge.20097")</f>
        <v>http://dx.doi.org/10.1002/ggge.20097</v>
      </c>
      <c r="BG645" t="s">
        <v>74</v>
      </c>
      <c r="BH645" t="s">
        <v>74</v>
      </c>
      <c r="BI645">
        <v>18</v>
      </c>
      <c r="BJ645" t="s">
        <v>766</v>
      </c>
      <c r="BK645" t="s">
        <v>102</v>
      </c>
      <c r="BL645" t="s">
        <v>766</v>
      </c>
      <c r="BM645" t="s">
        <v>12039</v>
      </c>
      <c r="BN645" t="s">
        <v>74</v>
      </c>
      <c r="BO645" t="s">
        <v>104</v>
      </c>
      <c r="BP645" t="s">
        <v>74</v>
      </c>
      <c r="BQ645" t="s">
        <v>74</v>
      </c>
      <c r="BR645" t="s">
        <v>105</v>
      </c>
      <c r="BS645" t="s">
        <v>12057</v>
      </c>
      <c r="BT645" t="str">
        <f>HYPERLINK("https%3A%2F%2Fwww.webofscience.com%2Fwos%2Fwoscc%2Ffull-record%2FWOS:000319410100031","View Full Record in Web of Science")</f>
        <v>View Full Record in Web of Science</v>
      </c>
    </row>
    <row r="646" spans="1:72" x14ac:dyDescent="0.15">
      <c r="A646" t="s">
        <v>72</v>
      </c>
      <c r="B646" t="s">
        <v>12058</v>
      </c>
      <c r="C646" t="s">
        <v>74</v>
      </c>
      <c r="D646" t="s">
        <v>74</v>
      </c>
      <c r="E646" t="s">
        <v>74</v>
      </c>
      <c r="F646" t="s">
        <v>12059</v>
      </c>
      <c r="G646" t="s">
        <v>74</v>
      </c>
      <c r="H646" t="s">
        <v>74</v>
      </c>
      <c r="I646" t="s">
        <v>12060</v>
      </c>
      <c r="J646" t="s">
        <v>12061</v>
      </c>
      <c r="K646" t="s">
        <v>74</v>
      </c>
      <c r="L646" t="s">
        <v>74</v>
      </c>
      <c r="M646" t="s">
        <v>78</v>
      </c>
      <c r="N646" t="s">
        <v>79</v>
      </c>
      <c r="O646" t="s">
        <v>74</v>
      </c>
      <c r="P646" t="s">
        <v>74</v>
      </c>
      <c r="Q646" t="s">
        <v>74</v>
      </c>
      <c r="R646" t="s">
        <v>74</v>
      </c>
      <c r="S646" t="s">
        <v>74</v>
      </c>
      <c r="T646" t="s">
        <v>12062</v>
      </c>
      <c r="U646" t="s">
        <v>12063</v>
      </c>
      <c r="V646" t="s">
        <v>12064</v>
      </c>
      <c r="W646" t="s">
        <v>74</v>
      </c>
      <c r="X646" t="s">
        <v>74</v>
      </c>
      <c r="Y646" t="s">
        <v>74</v>
      </c>
      <c r="Z646" t="s">
        <v>12065</v>
      </c>
      <c r="AA646" t="s">
        <v>74</v>
      </c>
      <c r="AB646" t="s">
        <v>74</v>
      </c>
      <c r="AC646" t="s">
        <v>12066</v>
      </c>
      <c r="AD646" t="s">
        <v>12067</v>
      </c>
      <c r="AE646" t="s">
        <v>12068</v>
      </c>
      <c r="AF646" t="s">
        <v>74</v>
      </c>
      <c r="AG646">
        <v>97</v>
      </c>
      <c r="AH646">
        <v>24</v>
      </c>
      <c r="AI646">
        <v>27</v>
      </c>
      <c r="AJ646">
        <v>0</v>
      </c>
      <c r="AK646">
        <v>31</v>
      </c>
      <c r="AL646" t="s">
        <v>92</v>
      </c>
      <c r="AM646" t="s">
        <v>93</v>
      </c>
      <c r="AN646" t="s">
        <v>94</v>
      </c>
      <c r="AO646" t="s">
        <v>12069</v>
      </c>
      <c r="AP646" t="s">
        <v>12070</v>
      </c>
      <c r="AQ646" t="s">
        <v>74</v>
      </c>
      <c r="AR646" t="s">
        <v>12071</v>
      </c>
      <c r="AS646" t="s">
        <v>12072</v>
      </c>
      <c r="AT646" t="s">
        <v>11820</v>
      </c>
      <c r="AU646">
        <v>2013</v>
      </c>
      <c r="AV646">
        <v>118</v>
      </c>
      <c r="AW646">
        <v>4</v>
      </c>
      <c r="AX646" t="s">
        <v>74</v>
      </c>
      <c r="AY646" t="s">
        <v>74</v>
      </c>
      <c r="AZ646" t="s">
        <v>74</v>
      </c>
      <c r="BA646" t="s">
        <v>74</v>
      </c>
      <c r="BB646">
        <v>803</v>
      </c>
      <c r="BC646">
        <v>830</v>
      </c>
      <c r="BD646" t="s">
        <v>74</v>
      </c>
      <c r="BE646" t="s">
        <v>12073</v>
      </c>
      <c r="BF646" t="str">
        <f>HYPERLINK("http://dx.doi.org/10.1029/2012JE004243","http://dx.doi.org/10.1029/2012JE004243")</f>
        <v>http://dx.doi.org/10.1029/2012JE004243</v>
      </c>
      <c r="BG646" t="s">
        <v>74</v>
      </c>
      <c r="BH646" t="s">
        <v>74</v>
      </c>
      <c r="BI646">
        <v>28</v>
      </c>
      <c r="BJ646" t="s">
        <v>766</v>
      </c>
      <c r="BK646" t="s">
        <v>102</v>
      </c>
      <c r="BL646" t="s">
        <v>766</v>
      </c>
      <c r="BM646" t="s">
        <v>12074</v>
      </c>
      <c r="BN646" t="s">
        <v>74</v>
      </c>
      <c r="BO646" t="s">
        <v>104</v>
      </c>
      <c r="BP646" t="s">
        <v>74</v>
      </c>
      <c r="BQ646" t="s">
        <v>74</v>
      </c>
      <c r="BR646" t="s">
        <v>105</v>
      </c>
      <c r="BS646" t="s">
        <v>12075</v>
      </c>
      <c r="BT646" t="str">
        <f>HYPERLINK("https%3A%2F%2Fwww.webofscience.com%2Fwos%2Fwoscc%2Ffull-record%2FWOS:000319155000012","View Full Record in Web of Science")</f>
        <v>View Full Record in Web of Science</v>
      </c>
    </row>
    <row r="647" spans="1:72" x14ac:dyDescent="0.15">
      <c r="A647" t="s">
        <v>72</v>
      </c>
      <c r="B647" t="s">
        <v>12076</v>
      </c>
      <c r="C647" t="s">
        <v>74</v>
      </c>
      <c r="D647" t="s">
        <v>74</v>
      </c>
      <c r="E647" t="s">
        <v>74</v>
      </c>
      <c r="F647" t="s">
        <v>12077</v>
      </c>
      <c r="G647" t="s">
        <v>74</v>
      </c>
      <c r="H647" t="s">
        <v>74</v>
      </c>
      <c r="I647" t="s">
        <v>12078</v>
      </c>
      <c r="J647" t="s">
        <v>12079</v>
      </c>
      <c r="K647" t="s">
        <v>74</v>
      </c>
      <c r="L647" t="s">
        <v>74</v>
      </c>
      <c r="M647" t="s">
        <v>78</v>
      </c>
      <c r="N647" t="s">
        <v>79</v>
      </c>
      <c r="O647" t="s">
        <v>74</v>
      </c>
      <c r="P647" t="s">
        <v>74</v>
      </c>
      <c r="Q647" t="s">
        <v>74</v>
      </c>
      <c r="R647" t="s">
        <v>74</v>
      </c>
      <c r="S647" t="s">
        <v>74</v>
      </c>
      <c r="T647" t="s">
        <v>12080</v>
      </c>
      <c r="U647" t="s">
        <v>12081</v>
      </c>
      <c r="V647" t="s">
        <v>12082</v>
      </c>
      <c r="W647" t="s">
        <v>12083</v>
      </c>
      <c r="X647" t="s">
        <v>12084</v>
      </c>
      <c r="Y647" t="s">
        <v>12085</v>
      </c>
      <c r="Z647" t="s">
        <v>12086</v>
      </c>
      <c r="AA647" t="s">
        <v>74</v>
      </c>
      <c r="AB647" t="s">
        <v>74</v>
      </c>
      <c r="AC647" t="s">
        <v>12087</v>
      </c>
      <c r="AD647" t="s">
        <v>12087</v>
      </c>
      <c r="AE647" t="s">
        <v>12088</v>
      </c>
      <c r="AF647" t="s">
        <v>74</v>
      </c>
      <c r="AG647">
        <v>34</v>
      </c>
      <c r="AH647">
        <v>8</v>
      </c>
      <c r="AI647">
        <v>8</v>
      </c>
      <c r="AJ647">
        <v>1</v>
      </c>
      <c r="AK647">
        <v>19</v>
      </c>
      <c r="AL647" t="s">
        <v>12089</v>
      </c>
      <c r="AM647" t="s">
        <v>1826</v>
      </c>
      <c r="AN647" t="s">
        <v>12090</v>
      </c>
      <c r="AO647" t="s">
        <v>12091</v>
      </c>
      <c r="AP647" t="s">
        <v>12092</v>
      </c>
      <c r="AQ647" t="s">
        <v>74</v>
      </c>
      <c r="AR647" t="s">
        <v>12093</v>
      </c>
      <c r="AS647" t="s">
        <v>12094</v>
      </c>
      <c r="AT647" t="s">
        <v>11820</v>
      </c>
      <c r="AU647">
        <v>2013</v>
      </c>
      <c r="AV647">
        <v>26</v>
      </c>
      <c r="AW647">
        <v>4</v>
      </c>
      <c r="AX647" t="s">
        <v>74</v>
      </c>
      <c r="AY647" t="s">
        <v>74</v>
      </c>
      <c r="AZ647" t="s">
        <v>74</v>
      </c>
      <c r="BA647" t="s">
        <v>74</v>
      </c>
      <c r="BB647">
        <v>552</v>
      </c>
      <c r="BC647">
        <v>557</v>
      </c>
      <c r="BD647" t="s">
        <v>74</v>
      </c>
      <c r="BE647" t="s">
        <v>12095</v>
      </c>
      <c r="BF647" t="str">
        <f>HYPERLINK("http://dx.doi.org/10.5713/ajas.2012.12557","http://dx.doi.org/10.5713/ajas.2012.12557")</f>
        <v>http://dx.doi.org/10.5713/ajas.2012.12557</v>
      </c>
      <c r="BG647" t="s">
        <v>74</v>
      </c>
      <c r="BH647" t="s">
        <v>74</v>
      </c>
      <c r="BI647">
        <v>6</v>
      </c>
      <c r="BJ647" t="s">
        <v>12096</v>
      </c>
      <c r="BK647" t="s">
        <v>102</v>
      </c>
      <c r="BL647" t="s">
        <v>12097</v>
      </c>
      <c r="BM647" t="s">
        <v>12098</v>
      </c>
      <c r="BN647">
        <v>25049822</v>
      </c>
      <c r="BO647" t="s">
        <v>5130</v>
      </c>
      <c r="BP647" t="s">
        <v>74</v>
      </c>
      <c r="BQ647" t="s">
        <v>74</v>
      </c>
      <c r="BR647" t="s">
        <v>105</v>
      </c>
      <c r="BS647" t="s">
        <v>12099</v>
      </c>
      <c r="BT647" t="str">
        <f>HYPERLINK("https%3A%2F%2Fwww.webofscience.com%2Fwos%2Fwoscc%2Ffull-record%2FWOS:000319093700014","View Full Record in Web of Science")</f>
        <v>View Full Record in Web of Science</v>
      </c>
    </row>
    <row r="648" spans="1:72" x14ac:dyDescent="0.15">
      <c r="A648" t="s">
        <v>72</v>
      </c>
      <c r="B648" t="s">
        <v>12100</v>
      </c>
      <c r="C648" t="s">
        <v>74</v>
      </c>
      <c r="D648" t="s">
        <v>74</v>
      </c>
      <c r="E648" t="s">
        <v>74</v>
      </c>
      <c r="F648" t="s">
        <v>12101</v>
      </c>
      <c r="G648" t="s">
        <v>74</v>
      </c>
      <c r="H648" t="s">
        <v>74</v>
      </c>
      <c r="I648" t="s">
        <v>7181</v>
      </c>
      <c r="J648" t="s">
        <v>12102</v>
      </c>
      <c r="K648" t="s">
        <v>74</v>
      </c>
      <c r="L648" t="s">
        <v>74</v>
      </c>
      <c r="M648" t="s">
        <v>78</v>
      </c>
      <c r="N648" t="s">
        <v>7183</v>
      </c>
      <c r="O648" t="s">
        <v>74</v>
      </c>
      <c r="P648" t="s">
        <v>74</v>
      </c>
      <c r="Q648" t="s">
        <v>74</v>
      </c>
      <c r="R648" t="s">
        <v>74</v>
      </c>
      <c r="S648" t="s">
        <v>74</v>
      </c>
      <c r="T648" t="s">
        <v>74</v>
      </c>
      <c r="U648" t="s">
        <v>74</v>
      </c>
      <c r="V648" t="s">
        <v>74</v>
      </c>
      <c r="W648" t="s">
        <v>12103</v>
      </c>
      <c r="X648" t="s">
        <v>12104</v>
      </c>
      <c r="Y648" t="s">
        <v>12105</v>
      </c>
      <c r="Z648" t="s">
        <v>74</v>
      </c>
      <c r="AA648" t="s">
        <v>74</v>
      </c>
      <c r="AB648" t="s">
        <v>74</v>
      </c>
      <c r="AC648" t="s">
        <v>74</v>
      </c>
      <c r="AD648" t="s">
        <v>74</v>
      </c>
      <c r="AE648" t="s">
        <v>74</v>
      </c>
      <c r="AF648" t="s">
        <v>74</v>
      </c>
      <c r="AG648">
        <v>1</v>
      </c>
      <c r="AH648">
        <v>0</v>
      </c>
      <c r="AI648">
        <v>0</v>
      </c>
      <c r="AJ648">
        <v>0</v>
      </c>
      <c r="AK648">
        <v>2</v>
      </c>
      <c r="AL648" t="s">
        <v>390</v>
      </c>
      <c r="AM648" t="s">
        <v>391</v>
      </c>
      <c r="AN648" t="s">
        <v>392</v>
      </c>
      <c r="AO648" t="s">
        <v>12106</v>
      </c>
      <c r="AP648" t="s">
        <v>12107</v>
      </c>
      <c r="AQ648" t="s">
        <v>74</v>
      </c>
      <c r="AR648" t="s">
        <v>12108</v>
      </c>
      <c r="AS648" t="s">
        <v>12109</v>
      </c>
      <c r="AT648" t="s">
        <v>11820</v>
      </c>
      <c r="AU648">
        <v>2013</v>
      </c>
      <c r="AV648">
        <v>52</v>
      </c>
      <c r="AW648">
        <v>2</v>
      </c>
      <c r="AX648" t="s">
        <v>74</v>
      </c>
      <c r="AY648" t="s">
        <v>74</v>
      </c>
      <c r="AZ648" t="s">
        <v>74</v>
      </c>
      <c r="BA648" t="s">
        <v>74</v>
      </c>
      <c r="BB648">
        <v>558</v>
      </c>
      <c r="BC648">
        <v>559</v>
      </c>
      <c r="BD648" t="s">
        <v>74</v>
      </c>
      <c r="BE648" t="s">
        <v>12110</v>
      </c>
      <c r="BF648" t="str">
        <f>HYPERLINK("http://dx.doi.org/10.1017/jbr.2013.45","http://dx.doi.org/10.1017/jbr.2013.45")</f>
        <v>http://dx.doi.org/10.1017/jbr.2013.45</v>
      </c>
      <c r="BG648" t="s">
        <v>74</v>
      </c>
      <c r="BH648" t="s">
        <v>74</v>
      </c>
      <c r="BI648">
        <v>3</v>
      </c>
      <c r="BJ648" t="s">
        <v>7717</v>
      </c>
      <c r="BK648" t="s">
        <v>12111</v>
      </c>
      <c r="BL648" t="s">
        <v>7717</v>
      </c>
      <c r="BM648" t="s">
        <v>12112</v>
      </c>
      <c r="BN648" t="s">
        <v>74</v>
      </c>
      <c r="BO648" t="s">
        <v>74</v>
      </c>
      <c r="BP648" t="s">
        <v>74</v>
      </c>
      <c r="BQ648" t="s">
        <v>74</v>
      </c>
      <c r="BR648" t="s">
        <v>105</v>
      </c>
      <c r="BS648" t="s">
        <v>12113</v>
      </c>
      <c r="BT648" t="str">
        <f>HYPERLINK("https%3A%2F%2Fwww.webofscience.com%2Fwos%2Fwoscc%2Ffull-record%2FWOS:000318440600053","View Full Record in Web of Science")</f>
        <v>View Full Record in Web of Science</v>
      </c>
    </row>
    <row r="649" spans="1:72" x14ac:dyDescent="0.15">
      <c r="A649" t="s">
        <v>72</v>
      </c>
      <c r="B649" t="s">
        <v>12114</v>
      </c>
      <c r="C649" t="s">
        <v>74</v>
      </c>
      <c r="D649" t="s">
        <v>74</v>
      </c>
      <c r="E649" t="s">
        <v>74</v>
      </c>
      <c r="F649" t="s">
        <v>12115</v>
      </c>
      <c r="G649" t="s">
        <v>74</v>
      </c>
      <c r="H649" t="s">
        <v>74</v>
      </c>
      <c r="I649" t="s">
        <v>12116</v>
      </c>
      <c r="J649" t="s">
        <v>894</v>
      </c>
      <c r="K649" t="s">
        <v>74</v>
      </c>
      <c r="L649" t="s">
        <v>74</v>
      </c>
      <c r="M649" t="s">
        <v>78</v>
      </c>
      <c r="N649" t="s">
        <v>79</v>
      </c>
      <c r="O649" t="s">
        <v>74</v>
      </c>
      <c r="P649" t="s">
        <v>74</v>
      </c>
      <c r="Q649" t="s">
        <v>74</v>
      </c>
      <c r="R649" t="s">
        <v>74</v>
      </c>
      <c r="S649" t="s">
        <v>74</v>
      </c>
      <c r="T649" t="s">
        <v>12117</v>
      </c>
      <c r="U649" t="s">
        <v>12118</v>
      </c>
      <c r="V649" t="s">
        <v>12119</v>
      </c>
      <c r="W649" t="s">
        <v>12120</v>
      </c>
      <c r="X649" t="s">
        <v>12121</v>
      </c>
      <c r="Y649" t="s">
        <v>12122</v>
      </c>
      <c r="Z649" t="s">
        <v>12123</v>
      </c>
      <c r="AA649" t="s">
        <v>12124</v>
      </c>
      <c r="AB649" t="s">
        <v>12125</v>
      </c>
      <c r="AC649" t="s">
        <v>12126</v>
      </c>
      <c r="AD649" t="s">
        <v>12127</v>
      </c>
      <c r="AE649" t="s">
        <v>12128</v>
      </c>
      <c r="AF649" t="s">
        <v>74</v>
      </c>
      <c r="AG649">
        <v>41</v>
      </c>
      <c r="AH649">
        <v>36</v>
      </c>
      <c r="AI649">
        <v>40</v>
      </c>
      <c r="AJ649">
        <v>0</v>
      </c>
      <c r="AK649">
        <v>13</v>
      </c>
      <c r="AL649" t="s">
        <v>906</v>
      </c>
      <c r="AM649" t="s">
        <v>643</v>
      </c>
      <c r="AN649" t="s">
        <v>907</v>
      </c>
      <c r="AO649" t="s">
        <v>908</v>
      </c>
      <c r="AP649" t="s">
        <v>909</v>
      </c>
      <c r="AQ649" t="s">
        <v>74</v>
      </c>
      <c r="AR649" t="s">
        <v>910</v>
      </c>
      <c r="AS649" t="s">
        <v>911</v>
      </c>
      <c r="AT649" t="s">
        <v>11820</v>
      </c>
      <c r="AU649">
        <v>2013</v>
      </c>
      <c r="AV649">
        <v>41</v>
      </c>
      <c r="AW649" t="s">
        <v>74</v>
      </c>
      <c r="AX649" t="s">
        <v>74</v>
      </c>
      <c r="AY649" t="s">
        <v>74</v>
      </c>
      <c r="AZ649" t="s">
        <v>74</v>
      </c>
      <c r="BA649" t="s">
        <v>74</v>
      </c>
      <c r="BB649">
        <v>186</v>
      </c>
      <c r="BC649">
        <v>193</v>
      </c>
      <c r="BD649" t="s">
        <v>74</v>
      </c>
      <c r="BE649" t="s">
        <v>12129</v>
      </c>
      <c r="BF649" t="str">
        <f>HYPERLINK("http://dx.doi.org/10.1016/j.cretres.2012.12.004","http://dx.doi.org/10.1016/j.cretres.2012.12.004")</f>
        <v>http://dx.doi.org/10.1016/j.cretres.2012.12.004</v>
      </c>
      <c r="BG649" t="s">
        <v>74</v>
      </c>
      <c r="BH649" t="s">
        <v>74</v>
      </c>
      <c r="BI649">
        <v>8</v>
      </c>
      <c r="BJ649" t="s">
        <v>913</v>
      </c>
      <c r="BK649" t="s">
        <v>102</v>
      </c>
      <c r="BL649" t="s">
        <v>913</v>
      </c>
      <c r="BM649" t="s">
        <v>12130</v>
      </c>
      <c r="BN649" t="s">
        <v>74</v>
      </c>
      <c r="BO649" t="s">
        <v>426</v>
      </c>
      <c r="BP649" t="s">
        <v>74</v>
      </c>
      <c r="BQ649" t="s">
        <v>74</v>
      </c>
      <c r="BR649" t="s">
        <v>105</v>
      </c>
      <c r="BS649" t="s">
        <v>12131</v>
      </c>
      <c r="BT649" t="str">
        <f>HYPERLINK("https%3A%2F%2Fwww.webofscience.com%2Fwos%2Fwoscc%2Ffull-record%2FWOS:000316582700016","View Full Record in Web of Science")</f>
        <v>View Full Record in Web of Science</v>
      </c>
    </row>
    <row r="650" spans="1:72" x14ac:dyDescent="0.15">
      <c r="A650" t="s">
        <v>72</v>
      </c>
      <c r="B650" t="s">
        <v>12132</v>
      </c>
      <c r="C650" t="s">
        <v>74</v>
      </c>
      <c r="D650" t="s">
        <v>74</v>
      </c>
      <c r="E650" t="s">
        <v>74</v>
      </c>
      <c r="F650" t="s">
        <v>12133</v>
      </c>
      <c r="G650" t="s">
        <v>74</v>
      </c>
      <c r="H650" t="s">
        <v>74</v>
      </c>
      <c r="I650" t="s">
        <v>12134</v>
      </c>
      <c r="J650" t="s">
        <v>12135</v>
      </c>
      <c r="K650" t="s">
        <v>74</v>
      </c>
      <c r="L650" t="s">
        <v>74</v>
      </c>
      <c r="M650" t="s">
        <v>78</v>
      </c>
      <c r="N650" t="s">
        <v>79</v>
      </c>
      <c r="O650" t="s">
        <v>74</v>
      </c>
      <c r="P650" t="s">
        <v>74</v>
      </c>
      <c r="Q650" t="s">
        <v>74</v>
      </c>
      <c r="R650" t="s">
        <v>74</v>
      </c>
      <c r="S650" t="s">
        <v>74</v>
      </c>
      <c r="T650" t="s">
        <v>12136</v>
      </c>
      <c r="U650" t="s">
        <v>12137</v>
      </c>
      <c r="V650" t="s">
        <v>12138</v>
      </c>
      <c r="W650" t="s">
        <v>12139</v>
      </c>
      <c r="X650" t="s">
        <v>12140</v>
      </c>
      <c r="Y650" t="s">
        <v>12141</v>
      </c>
      <c r="Z650" t="s">
        <v>12142</v>
      </c>
      <c r="AA650" t="s">
        <v>12143</v>
      </c>
      <c r="AB650" t="s">
        <v>12144</v>
      </c>
      <c r="AC650" t="s">
        <v>12145</v>
      </c>
      <c r="AD650" t="s">
        <v>12146</v>
      </c>
      <c r="AE650" t="s">
        <v>12147</v>
      </c>
      <c r="AF650" t="s">
        <v>74</v>
      </c>
      <c r="AG650">
        <v>90</v>
      </c>
      <c r="AH650">
        <v>41</v>
      </c>
      <c r="AI650">
        <v>50</v>
      </c>
      <c r="AJ650">
        <v>7</v>
      </c>
      <c r="AK650">
        <v>98</v>
      </c>
      <c r="AL650" t="s">
        <v>154</v>
      </c>
      <c r="AM650" t="s">
        <v>155</v>
      </c>
      <c r="AN650" t="s">
        <v>156</v>
      </c>
      <c r="AO650" t="s">
        <v>12148</v>
      </c>
      <c r="AP650" t="s">
        <v>12149</v>
      </c>
      <c r="AQ650" t="s">
        <v>74</v>
      </c>
      <c r="AR650" t="s">
        <v>12150</v>
      </c>
      <c r="AS650" t="s">
        <v>12151</v>
      </c>
      <c r="AT650" t="s">
        <v>11820</v>
      </c>
      <c r="AU650">
        <v>2013</v>
      </c>
      <c r="AV650">
        <v>74</v>
      </c>
      <c r="AW650" t="s">
        <v>74</v>
      </c>
      <c r="AX650" t="s">
        <v>74</v>
      </c>
      <c r="AY650" t="s">
        <v>74</v>
      </c>
      <c r="AZ650" t="s">
        <v>935</v>
      </c>
      <c r="BA650" t="s">
        <v>74</v>
      </c>
      <c r="BB650">
        <v>10</v>
      </c>
      <c r="BC650">
        <v>19</v>
      </c>
      <c r="BD650" t="s">
        <v>74</v>
      </c>
      <c r="BE650" t="s">
        <v>12152</v>
      </c>
      <c r="BF650" t="str">
        <f>HYPERLINK("http://dx.doi.org/10.1016/j.clay.2012.09.003","http://dx.doi.org/10.1016/j.clay.2012.09.003")</f>
        <v>http://dx.doi.org/10.1016/j.clay.2012.09.003</v>
      </c>
      <c r="BG650" t="s">
        <v>74</v>
      </c>
      <c r="BH650" t="s">
        <v>74</v>
      </c>
      <c r="BI650">
        <v>10</v>
      </c>
      <c r="BJ650" t="s">
        <v>12153</v>
      </c>
      <c r="BK650" t="s">
        <v>102</v>
      </c>
      <c r="BL650" t="s">
        <v>12154</v>
      </c>
      <c r="BM650" t="s">
        <v>12155</v>
      </c>
      <c r="BN650" t="s">
        <v>74</v>
      </c>
      <c r="BO650" t="s">
        <v>74</v>
      </c>
      <c r="BP650" t="s">
        <v>74</v>
      </c>
      <c r="BQ650" t="s">
        <v>74</v>
      </c>
      <c r="BR650" t="s">
        <v>105</v>
      </c>
      <c r="BS650" t="s">
        <v>12156</v>
      </c>
      <c r="BT650" t="str">
        <f>HYPERLINK("https%3A%2F%2Fwww.webofscience.com%2Fwos%2Fwoscc%2Ffull-record%2FWOS:000317945100003","View Full Record in Web of Science")</f>
        <v>View Full Record in Web of Science</v>
      </c>
    </row>
    <row r="651" spans="1:72" x14ac:dyDescent="0.15">
      <c r="A651" t="s">
        <v>72</v>
      </c>
      <c r="B651" t="s">
        <v>12157</v>
      </c>
      <c r="C651" t="s">
        <v>74</v>
      </c>
      <c r="D651" t="s">
        <v>74</v>
      </c>
      <c r="E651" t="s">
        <v>74</v>
      </c>
      <c r="F651" t="s">
        <v>12158</v>
      </c>
      <c r="G651" t="s">
        <v>74</v>
      </c>
      <c r="H651" t="s">
        <v>74</v>
      </c>
      <c r="I651" t="s">
        <v>12159</v>
      </c>
      <c r="J651" t="s">
        <v>5881</v>
      </c>
      <c r="K651" t="s">
        <v>74</v>
      </c>
      <c r="L651" t="s">
        <v>74</v>
      </c>
      <c r="M651" t="s">
        <v>78</v>
      </c>
      <c r="N651" t="s">
        <v>79</v>
      </c>
      <c r="O651" t="s">
        <v>74</v>
      </c>
      <c r="P651" t="s">
        <v>74</v>
      </c>
      <c r="Q651" t="s">
        <v>74</v>
      </c>
      <c r="R651" t="s">
        <v>74</v>
      </c>
      <c r="S651" t="s">
        <v>74</v>
      </c>
      <c r="T651" t="s">
        <v>12160</v>
      </c>
      <c r="U651" t="s">
        <v>12161</v>
      </c>
      <c r="V651" t="s">
        <v>12162</v>
      </c>
      <c r="W651" t="s">
        <v>12163</v>
      </c>
      <c r="X651" t="s">
        <v>12164</v>
      </c>
      <c r="Y651" t="s">
        <v>12165</v>
      </c>
      <c r="Z651" t="s">
        <v>12166</v>
      </c>
      <c r="AA651" t="s">
        <v>74</v>
      </c>
      <c r="AB651" t="s">
        <v>12167</v>
      </c>
      <c r="AC651" t="s">
        <v>12168</v>
      </c>
      <c r="AD651" t="s">
        <v>12169</v>
      </c>
      <c r="AE651" t="s">
        <v>12170</v>
      </c>
      <c r="AF651" t="s">
        <v>74</v>
      </c>
      <c r="AG651">
        <v>51</v>
      </c>
      <c r="AH651">
        <v>19</v>
      </c>
      <c r="AI651">
        <v>20</v>
      </c>
      <c r="AJ651">
        <v>1</v>
      </c>
      <c r="AK651">
        <v>11</v>
      </c>
      <c r="AL651" t="s">
        <v>5893</v>
      </c>
      <c r="AM651" t="s">
        <v>5894</v>
      </c>
      <c r="AN651" t="s">
        <v>5895</v>
      </c>
      <c r="AO651" t="s">
        <v>5896</v>
      </c>
      <c r="AP651" t="s">
        <v>74</v>
      </c>
      <c r="AQ651" t="s">
        <v>74</v>
      </c>
      <c r="AR651" t="s">
        <v>5897</v>
      </c>
      <c r="AS651" t="s">
        <v>5898</v>
      </c>
      <c r="AT651" t="s">
        <v>11820</v>
      </c>
      <c r="AU651">
        <v>2013</v>
      </c>
      <c r="AV651">
        <v>552</v>
      </c>
      <c r="AW651" t="s">
        <v>74</v>
      </c>
      <c r="AX651" t="s">
        <v>74</v>
      </c>
      <c r="AY651" t="s">
        <v>74</v>
      </c>
      <c r="AZ651" t="s">
        <v>74</v>
      </c>
      <c r="BA651" t="s">
        <v>74</v>
      </c>
      <c r="BB651" t="s">
        <v>74</v>
      </c>
      <c r="BC651" t="s">
        <v>74</v>
      </c>
      <c r="BD651" t="s">
        <v>12171</v>
      </c>
      <c r="BE651" t="s">
        <v>12172</v>
      </c>
      <c r="BF651" t="str">
        <f>HYPERLINK("http://dx.doi.org/10.1051/0004-6361/201219658","http://dx.doi.org/10.1051/0004-6361/201219658")</f>
        <v>http://dx.doi.org/10.1051/0004-6361/201219658</v>
      </c>
      <c r="BG651" t="s">
        <v>74</v>
      </c>
      <c r="BH651" t="s">
        <v>74</v>
      </c>
      <c r="BI651">
        <v>8</v>
      </c>
      <c r="BJ651" t="s">
        <v>101</v>
      </c>
      <c r="BK651" t="s">
        <v>102</v>
      </c>
      <c r="BL651" t="s">
        <v>101</v>
      </c>
      <c r="BM651" t="s">
        <v>12173</v>
      </c>
      <c r="BN651" t="s">
        <v>74</v>
      </c>
      <c r="BO651" t="s">
        <v>997</v>
      </c>
      <c r="BP651" t="s">
        <v>74</v>
      </c>
      <c r="BQ651" t="s">
        <v>74</v>
      </c>
      <c r="BR651" t="s">
        <v>105</v>
      </c>
      <c r="BS651" t="s">
        <v>12174</v>
      </c>
      <c r="BT651" t="str">
        <f>HYPERLINK("https%3A%2F%2Fwww.webofscience.com%2Fwos%2Fwoscc%2Ffull-record%2FWOS:000317912000053","View Full Record in Web of Science")</f>
        <v>View Full Record in Web of Science</v>
      </c>
    </row>
    <row r="652" spans="1:72" x14ac:dyDescent="0.15">
      <c r="A652" t="s">
        <v>72</v>
      </c>
      <c r="B652" t="s">
        <v>12175</v>
      </c>
      <c r="C652" t="s">
        <v>74</v>
      </c>
      <c r="D652" t="s">
        <v>74</v>
      </c>
      <c r="E652" t="s">
        <v>74</v>
      </c>
      <c r="F652" t="s">
        <v>12176</v>
      </c>
      <c r="G652" t="s">
        <v>74</v>
      </c>
      <c r="H652" t="s">
        <v>74</v>
      </c>
      <c r="I652" t="s">
        <v>12177</v>
      </c>
      <c r="J652" t="s">
        <v>12178</v>
      </c>
      <c r="K652" t="s">
        <v>74</v>
      </c>
      <c r="L652" t="s">
        <v>74</v>
      </c>
      <c r="M652" t="s">
        <v>78</v>
      </c>
      <c r="N652" t="s">
        <v>79</v>
      </c>
      <c r="O652" t="s">
        <v>74</v>
      </c>
      <c r="P652" t="s">
        <v>74</v>
      </c>
      <c r="Q652" t="s">
        <v>74</v>
      </c>
      <c r="R652" t="s">
        <v>74</v>
      </c>
      <c r="S652" t="s">
        <v>74</v>
      </c>
      <c r="T652" t="s">
        <v>12179</v>
      </c>
      <c r="U652" t="s">
        <v>12180</v>
      </c>
      <c r="V652" t="s">
        <v>12181</v>
      </c>
      <c r="W652" t="s">
        <v>12182</v>
      </c>
      <c r="X652" t="s">
        <v>12183</v>
      </c>
      <c r="Y652" t="s">
        <v>12184</v>
      </c>
      <c r="Z652" t="s">
        <v>12185</v>
      </c>
      <c r="AA652" t="s">
        <v>74</v>
      </c>
      <c r="AB652" t="s">
        <v>12186</v>
      </c>
      <c r="AC652" t="s">
        <v>12187</v>
      </c>
      <c r="AD652" t="s">
        <v>12188</v>
      </c>
      <c r="AE652" t="s">
        <v>12189</v>
      </c>
      <c r="AF652" t="s">
        <v>74</v>
      </c>
      <c r="AG652">
        <v>58</v>
      </c>
      <c r="AH652">
        <v>3</v>
      </c>
      <c r="AI652">
        <v>5</v>
      </c>
      <c r="AJ652">
        <v>0</v>
      </c>
      <c r="AK652">
        <v>42</v>
      </c>
      <c r="AL652" t="s">
        <v>1080</v>
      </c>
      <c r="AM652" t="s">
        <v>1081</v>
      </c>
      <c r="AN652" t="s">
        <v>1082</v>
      </c>
      <c r="AO652" t="s">
        <v>12190</v>
      </c>
      <c r="AP652" t="s">
        <v>12191</v>
      </c>
      <c r="AQ652" t="s">
        <v>74</v>
      </c>
      <c r="AR652" t="s">
        <v>12192</v>
      </c>
      <c r="AS652" t="s">
        <v>12193</v>
      </c>
      <c r="AT652" t="s">
        <v>11820</v>
      </c>
      <c r="AU652">
        <v>2013</v>
      </c>
      <c r="AV652">
        <v>27</v>
      </c>
      <c r="AW652">
        <v>2</v>
      </c>
      <c r="AX652" t="s">
        <v>74</v>
      </c>
      <c r="AY652" t="s">
        <v>74</v>
      </c>
      <c r="AZ652" t="s">
        <v>74</v>
      </c>
      <c r="BA652" t="s">
        <v>74</v>
      </c>
      <c r="BB652">
        <v>3669</v>
      </c>
      <c r="BC652">
        <v>3680</v>
      </c>
      <c r="BD652" t="s">
        <v>74</v>
      </c>
      <c r="BE652" t="s">
        <v>12194</v>
      </c>
      <c r="BF652" t="str">
        <f>HYPERLINK("http://dx.doi.org/10.5504/BBEQ.2013.0002","http://dx.doi.org/10.5504/BBEQ.2013.0002")</f>
        <v>http://dx.doi.org/10.5504/BBEQ.2013.0002</v>
      </c>
      <c r="BG652" t="s">
        <v>74</v>
      </c>
      <c r="BH652" t="s">
        <v>74</v>
      </c>
      <c r="BI652">
        <v>12</v>
      </c>
      <c r="BJ652" t="s">
        <v>2583</v>
      </c>
      <c r="BK652" t="s">
        <v>102</v>
      </c>
      <c r="BL652" t="s">
        <v>2583</v>
      </c>
      <c r="BM652" t="s">
        <v>12195</v>
      </c>
      <c r="BN652" t="s">
        <v>74</v>
      </c>
      <c r="BO652" t="s">
        <v>104</v>
      </c>
      <c r="BP652" t="s">
        <v>74</v>
      </c>
      <c r="BQ652" t="s">
        <v>74</v>
      </c>
      <c r="BR652" t="s">
        <v>105</v>
      </c>
      <c r="BS652" t="s">
        <v>12196</v>
      </c>
      <c r="BT652" t="str">
        <f>HYPERLINK("https%3A%2F%2Fwww.webofscience.com%2Fwos%2Fwoscc%2Ffull-record%2FWOS:000317997400010","View Full Record in Web of Science")</f>
        <v>View Full Record in Web of Science</v>
      </c>
    </row>
    <row r="653" spans="1:72" x14ac:dyDescent="0.15">
      <c r="A653" t="s">
        <v>72</v>
      </c>
      <c r="B653" t="s">
        <v>12197</v>
      </c>
      <c r="C653" t="s">
        <v>74</v>
      </c>
      <c r="D653" t="s">
        <v>74</v>
      </c>
      <c r="E653" t="s">
        <v>74</v>
      </c>
      <c r="F653" t="s">
        <v>12198</v>
      </c>
      <c r="G653" t="s">
        <v>74</v>
      </c>
      <c r="H653" t="s">
        <v>74</v>
      </c>
      <c r="I653" t="s">
        <v>12199</v>
      </c>
      <c r="J653" t="s">
        <v>12200</v>
      </c>
      <c r="K653" t="s">
        <v>74</v>
      </c>
      <c r="L653" t="s">
        <v>74</v>
      </c>
      <c r="M653" t="s">
        <v>78</v>
      </c>
      <c r="N653" t="s">
        <v>79</v>
      </c>
      <c r="O653" t="s">
        <v>74</v>
      </c>
      <c r="P653" t="s">
        <v>74</v>
      </c>
      <c r="Q653" t="s">
        <v>74</v>
      </c>
      <c r="R653" t="s">
        <v>74</v>
      </c>
      <c r="S653" t="s">
        <v>74</v>
      </c>
      <c r="T653" t="s">
        <v>12201</v>
      </c>
      <c r="U653" t="s">
        <v>12202</v>
      </c>
      <c r="V653" t="s">
        <v>12203</v>
      </c>
      <c r="W653" t="s">
        <v>12204</v>
      </c>
      <c r="X653" t="s">
        <v>12205</v>
      </c>
      <c r="Y653" t="s">
        <v>12206</v>
      </c>
      <c r="Z653" t="s">
        <v>12207</v>
      </c>
      <c r="AA653" t="s">
        <v>12208</v>
      </c>
      <c r="AB653" t="s">
        <v>74</v>
      </c>
      <c r="AC653" t="s">
        <v>12209</v>
      </c>
      <c r="AD653" t="s">
        <v>12209</v>
      </c>
      <c r="AE653" t="s">
        <v>12210</v>
      </c>
      <c r="AF653" t="s">
        <v>74</v>
      </c>
      <c r="AG653">
        <v>19</v>
      </c>
      <c r="AH653">
        <v>10</v>
      </c>
      <c r="AI653">
        <v>12</v>
      </c>
      <c r="AJ653">
        <v>0</v>
      </c>
      <c r="AK653">
        <v>10</v>
      </c>
      <c r="AL653" t="s">
        <v>212</v>
      </c>
      <c r="AM653" t="s">
        <v>213</v>
      </c>
      <c r="AN653" t="s">
        <v>214</v>
      </c>
      <c r="AO653" t="s">
        <v>12211</v>
      </c>
      <c r="AP653" t="s">
        <v>74</v>
      </c>
      <c r="AQ653" t="s">
        <v>74</v>
      </c>
      <c r="AR653" t="s">
        <v>12212</v>
      </c>
      <c r="AS653" t="s">
        <v>12213</v>
      </c>
      <c r="AT653" t="s">
        <v>11820</v>
      </c>
      <c r="AU653">
        <v>2013</v>
      </c>
      <c r="AV653">
        <v>58</v>
      </c>
      <c r="AW653">
        <v>11</v>
      </c>
      <c r="AX653" t="s">
        <v>74</v>
      </c>
      <c r="AY653" t="s">
        <v>74</v>
      </c>
      <c r="AZ653" t="s">
        <v>74</v>
      </c>
      <c r="BA653" t="s">
        <v>74</v>
      </c>
      <c r="BB653">
        <v>1310</v>
      </c>
      <c r="BC653">
        <v>1315</v>
      </c>
      <c r="BD653" t="s">
        <v>74</v>
      </c>
      <c r="BE653" t="s">
        <v>12214</v>
      </c>
      <c r="BF653" t="str">
        <f>HYPERLINK("http://dx.doi.org/10.1007/s11434-012-5626-9","http://dx.doi.org/10.1007/s11434-012-5626-9")</f>
        <v>http://dx.doi.org/10.1007/s11434-012-5626-9</v>
      </c>
      <c r="BG653" t="s">
        <v>74</v>
      </c>
      <c r="BH653" t="s">
        <v>74</v>
      </c>
      <c r="BI653">
        <v>6</v>
      </c>
      <c r="BJ653" t="s">
        <v>1880</v>
      </c>
      <c r="BK653" t="s">
        <v>102</v>
      </c>
      <c r="BL653" t="s">
        <v>1881</v>
      </c>
      <c r="BM653" t="s">
        <v>12215</v>
      </c>
      <c r="BN653" t="s">
        <v>74</v>
      </c>
      <c r="BO653" t="s">
        <v>104</v>
      </c>
      <c r="BP653" t="s">
        <v>74</v>
      </c>
      <c r="BQ653" t="s">
        <v>74</v>
      </c>
      <c r="BR653" t="s">
        <v>105</v>
      </c>
      <c r="BS653" t="s">
        <v>12216</v>
      </c>
      <c r="BT653" t="str">
        <f>HYPERLINK("https%3A%2F%2Fwww.webofscience.com%2Fwos%2Fwoscc%2Ffull-record%2FWOS:000318127300013","View Full Record in Web of Science")</f>
        <v>View Full Record in Web of Science</v>
      </c>
    </row>
    <row r="654" spans="1:72" x14ac:dyDescent="0.15">
      <c r="A654" t="s">
        <v>72</v>
      </c>
      <c r="B654" t="s">
        <v>12217</v>
      </c>
      <c r="C654" t="s">
        <v>74</v>
      </c>
      <c r="D654" t="s">
        <v>74</v>
      </c>
      <c r="E654" t="s">
        <v>74</v>
      </c>
      <c r="F654" t="s">
        <v>12218</v>
      </c>
      <c r="G654" t="s">
        <v>74</v>
      </c>
      <c r="H654" t="s">
        <v>74</v>
      </c>
      <c r="I654" t="s">
        <v>12219</v>
      </c>
      <c r="J654" t="s">
        <v>12200</v>
      </c>
      <c r="K654" t="s">
        <v>74</v>
      </c>
      <c r="L654" t="s">
        <v>74</v>
      </c>
      <c r="M654" t="s">
        <v>78</v>
      </c>
      <c r="N654" t="s">
        <v>79</v>
      </c>
      <c r="O654" t="s">
        <v>74</v>
      </c>
      <c r="P654" t="s">
        <v>74</v>
      </c>
      <c r="Q654" t="s">
        <v>74</v>
      </c>
      <c r="R654" t="s">
        <v>74</v>
      </c>
      <c r="S654" t="s">
        <v>74</v>
      </c>
      <c r="T654" t="s">
        <v>12220</v>
      </c>
      <c r="U654" t="s">
        <v>12221</v>
      </c>
      <c r="V654" t="s">
        <v>12222</v>
      </c>
      <c r="W654" t="s">
        <v>12223</v>
      </c>
      <c r="X654" t="s">
        <v>12224</v>
      </c>
      <c r="Y654" t="s">
        <v>12225</v>
      </c>
      <c r="Z654" t="s">
        <v>588</v>
      </c>
      <c r="AA654" t="s">
        <v>12226</v>
      </c>
      <c r="AB654" t="s">
        <v>74</v>
      </c>
      <c r="AC654" t="s">
        <v>12227</v>
      </c>
      <c r="AD654" t="s">
        <v>12228</v>
      </c>
      <c r="AE654" t="s">
        <v>12229</v>
      </c>
      <c r="AF654" t="s">
        <v>74</v>
      </c>
      <c r="AG654">
        <v>26</v>
      </c>
      <c r="AH654">
        <v>25</v>
      </c>
      <c r="AI654">
        <v>28</v>
      </c>
      <c r="AJ654">
        <v>4</v>
      </c>
      <c r="AK654">
        <v>24</v>
      </c>
      <c r="AL654" t="s">
        <v>212</v>
      </c>
      <c r="AM654" t="s">
        <v>213</v>
      </c>
      <c r="AN654" t="s">
        <v>214</v>
      </c>
      <c r="AO654" t="s">
        <v>12211</v>
      </c>
      <c r="AP654" t="s">
        <v>74</v>
      </c>
      <c r="AQ654" t="s">
        <v>74</v>
      </c>
      <c r="AR654" t="s">
        <v>12212</v>
      </c>
      <c r="AS654" t="s">
        <v>12213</v>
      </c>
      <c r="AT654" t="s">
        <v>11820</v>
      </c>
      <c r="AU654">
        <v>2013</v>
      </c>
      <c r="AV654">
        <v>58</v>
      </c>
      <c r="AW654">
        <v>12</v>
      </c>
      <c r="AX654" t="s">
        <v>74</v>
      </c>
      <c r="AY654" t="s">
        <v>74</v>
      </c>
      <c r="AZ654" t="s">
        <v>935</v>
      </c>
      <c r="BA654" t="s">
        <v>74</v>
      </c>
      <c r="BB654">
        <v>1420</v>
      </c>
      <c r="BC654">
        <v>1426</v>
      </c>
      <c r="BD654" t="s">
        <v>74</v>
      </c>
      <c r="BE654" t="s">
        <v>12230</v>
      </c>
      <c r="BF654" t="str">
        <f>HYPERLINK("http://dx.doi.org/10.1007/s11434-012-5502-7","http://dx.doi.org/10.1007/s11434-012-5502-7")</f>
        <v>http://dx.doi.org/10.1007/s11434-012-5502-7</v>
      </c>
      <c r="BG654" t="s">
        <v>74</v>
      </c>
      <c r="BH654" t="s">
        <v>74</v>
      </c>
      <c r="BI654">
        <v>7</v>
      </c>
      <c r="BJ654" t="s">
        <v>1880</v>
      </c>
      <c r="BK654" t="s">
        <v>102</v>
      </c>
      <c r="BL654" t="s">
        <v>1881</v>
      </c>
      <c r="BM654" t="s">
        <v>12231</v>
      </c>
      <c r="BN654" t="s">
        <v>74</v>
      </c>
      <c r="BO654" t="s">
        <v>104</v>
      </c>
      <c r="BP654" t="s">
        <v>74</v>
      </c>
      <c r="BQ654" t="s">
        <v>74</v>
      </c>
      <c r="BR654" t="s">
        <v>105</v>
      </c>
      <c r="BS654" t="s">
        <v>12232</v>
      </c>
      <c r="BT654" t="str">
        <f>HYPERLINK("https%3A%2F%2Fwww.webofscience.com%2Fwos%2Fwoscc%2Ffull-record%2FWOS:000318127100011","View Full Record in Web of Science")</f>
        <v>View Full Record in Web of Science</v>
      </c>
    </row>
    <row r="655" spans="1:72" x14ac:dyDescent="0.15">
      <c r="A655" t="s">
        <v>72</v>
      </c>
      <c r="B655" t="s">
        <v>12233</v>
      </c>
      <c r="C655" t="s">
        <v>74</v>
      </c>
      <c r="D655" t="s">
        <v>74</v>
      </c>
      <c r="E655" t="s">
        <v>74</v>
      </c>
      <c r="F655" t="s">
        <v>12234</v>
      </c>
      <c r="G655" t="s">
        <v>74</v>
      </c>
      <c r="H655" t="s">
        <v>74</v>
      </c>
      <c r="I655" t="s">
        <v>12235</v>
      </c>
      <c r="J655" t="s">
        <v>12236</v>
      </c>
      <c r="K655" t="s">
        <v>74</v>
      </c>
      <c r="L655" t="s">
        <v>74</v>
      </c>
      <c r="M655" t="s">
        <v>78</v>
      </c>
      <c r="N655" t="s">
        <v>79</v>
      </c>
      <c r="O655" t="s">
        <v>74</v>
      </c>
      <c r="P655" t="s">
        <v>74</v>
      </c>
      <c r="Q655" t="s">
        <v>74</v>
      </c>
      <c r="R655" t="s">
        <v>74</v>
      </c>
      <c r="S655" t="s">
        <v>74</v>
      </c>
      <c r="T655" t="s">
        <v>12237</v>
      </c>
      <c r="U655" t="s">
        <v>12238</v>
      </c>
      <c r="V655" t="s">
        <v>12239</v>
      </c>
      <c r="W655" t="s">
        <v>12240</v>
      </c>
      <c r="X655" t="s">
        <v>12241</v>
      </c>
      <c r="Y655" t="s">
        <v>12242</v>
      </c>
      <c r="Z655" t="s">
        <v>12243</v>
      </c>
      <c r="AA655" t="s">
        <v>74</v>
      </c>
      <c r="AB655" t="s">
        <v>12244</v>
      </c>
      <c r="AC655" t="s">
        <v>74</v>
      </c>
      <c r="AD655" t="s">
        <v>74</v>
      </c>
      <c r="AE655" t="s">
        <v>74</v>
      </c>
      <c r="AF655" t="s">
        <v>74</v>
      </c>
      <c r="AG655">
        <v>65</v>
      </c>
      <c r="AH655">
        <v>16</v>
      </c>
      <c r="AI655">
        <v>17</v>
      </c>
      <c r="AJ655">
        <v>1</v>
      </c>
      <c r="AK655">
        <v>12</v>
      </c>
      <c r="AL655" t="s">
        <v>529</v>
      </c>
      <c r="AM655" t="s">
        <v>1151</v>
      </c>
      <c r="AN655" t="s">
        <v>1152</v>
      </c>
      <c r="AO655" t="s">
        <v>12245</v>
      </c>
      <c r="AP655" t="s">
        <v>12246</v>
      </c>
      <c r="AQ655" t="s">
        <v>74</v>
      </c>
      <c r="AR655" t="s">
        <v>12247</v>
      </c>
      <c r="AS655" t="s">
        <v>12248</v>
      </c>
      <c r="AT655" t="s">
        <v>11820</v>
      </c>
      <c r="AU655">
        <v>2013</v>
      </c>
      <c r="AV655">
        <v>35</v>
      </c>
      <c r="AW655">
        <v>3</v>
      </c>
      <c r="AX655" t="s">
        <v>74</v>
      </c>
      <c r="AY655" t="s">
        <v>74</v>
      </c>
      <c r="AZ655" t="s">
        <v>74</v>
      </c>
      <c r="BA655" t="s">
        <v>74</v>
      </c>
      <c r="BB655">
        <v>527</v>
      </c>
      <c r="BC655">
        <v>559</v>
      </c>
      <c r="BD655" t="s">
        <v>74</v>
      </c>
      <c r="BE655" t="s">
        <v>12249</v>
      </c>
      <c r="BF655" t="str">
        <f>HYPERLINK("http://dx.doi.org/10.1007/s10686-013-9330-9","http://dx.doi.org/10.1007/s10686-013-9330-9")</f>
        <v>http://dx.doi.org/10.1007/s10686-013-9330-9</v>
      </c>
      <c r="BG655" t="s">
        <v>74</v>
      </c>
      <c r="BH655" t="s">
        <v>74</v>
      </c>
      <c r="BI655">
        <v>33</v>
      </c>
      <c r="BJ655" t="s">
        <v>101</v>
      </c>
      <c r="BK655" t="s">
        <v>102</v>
      </c>
      <c r="BL655" t="s">
        <v>101</v>
      </c>
      <c r="BM655" t="s">
        <v>12250</v>
      </c>
      <c r="BN655" t="s">
        <v>74</v>
      </c>
      <c r="BO655" t="s">
        <v>74</v>
      </c>
      <c r="BP655" t="s">
        <v>74</v>
      </c>
      <c r="BQ655" t="s">
        <v>74</v>
      </c>
      <c r="BR655" t="s">
        <v>105</v>
      </c>
      <c r="BS655" t="s">
        <v>12251</v>
      </c>
      <c r="BT655" t="str">
        <f>HYPERLINK("https%3A%2F%2Fwww.webofscience.com%2Fwos%2Fwoscc%2Ffull-record%2FWOS:000318169600007","View Full Record in Web of Science")</f>
        <v>View Full Record in Web of Science</v>
      </c>
    </row>
    <row r="656" spans="1:72" x14ac:dyDescent="0.15">
      <c r="A656" t="s">
        <v>72</v>
      </c>
      <c r="B656" t="s">
        <v>12252</v>
      </c>
      <c r="C656" t="s">
        <v>74</v>
      </c>
      <c r="D656" t="s">
        <v>74</v>
      </c>
      <c r="E656" t="s">
        <v>74</v>
      </c>
      <c r="F656" t="s">
        <v>12253</v>
      </c>
      <c r="G656" t="s">
        <v>74</v>
      </c>
      <c r="H656" t="s">
        <v>74</v>
      </c>
      <c r="I656" t="s">
        <v>12254</v>
      </c>
      <c r="J656" t="s">
        <v>3554</v>
      </c>
      <c r="K656" t="s">
        <v>74</v>
      </c>
      <c r="L656" t="s">
        <v>74</v>
      </c>
      <c r="M656" t="s">
        <v>78</v>
      </c>
      <c r="N656" t="s">
        <v>79</v>
      </c>
      <c r="O656" t="s">
        <v>74</v>
      </c>
      <c r="P656" t="s">
        <v>74</v>
      </c>
      <c r="Q656" t="s">
        <v>74</v>
      </c>
      <c r="R656" t="s">
        <v>74</v>
      </c>
      <c r="S656" t="s">
        <v>74</v>
      </c>
      <c r="T656" t="s">
        <v>12255</v>
      </c>
      <c r="U656" t="s">
        <v>12256</v>
      </c>
      <c r="V656" t="s">
        <v>12257</v>
      </c>
      <c r="W656" t="s">
        <v>12258</v>
      </c>
      <c r="X656" t="s">
        <v>12259</v>
      </c>
      <c r="Y656" t="s">
        <v>12260</v>
      </c>
      <c r="Z656" t="s">
        <v>12261</v>
      </c>
      <c r="AA656" t="s">
        <v>74</v>
      </c>
      <c r="AB656" t="s">
        <v>12262</v>
      </c>
      <c r="AC656" t="s">
        <v>12263</v>
      </c>
      <c r="AD656" t="s">
        <v>12263</v>
      </c>
      <c r="AE656" t="s">
        <v>12264</v>
      </c>
      <c r="AF656" t="s">
        <v>74</v>
      </c>
      <c r="AG656">
        <v>70</v>
      </c>
      <c r="AH656">
        <v>24</v>
      </c>
      <c r="AI656">
        <v>32</v>
      </c>
      <c r="AJ656">
        <v>0</v>
      </c>
      <c r="AK656">
        <v>32</v>
      </c>
      <c r="AL656" t="s">
        <v>441</v>
      </c>
      <c r="AM656" t="s">
        <v>442</v>
      </c>
      <c r="AN656" t="s">
        <v>443</v>
      </c>
      <c r="AO656" t="s">
        <v>3567</v>
      </c>
      <c r="AP656" t="s">
        <v>3568</v>
      </c>
      <c r="AQ656" t="s">
        <v>74</v>
      </c>
      <c r="AR656" t="s">
        <v>3569</v>
      </c>
      <c r="AS656" t="s">
        <v>3570</v>
      </c>
      <c r="AT656" t="s">
        <v>11820</v>
      </c>
      <c r="AU656">
        <v>2013</v>
      </c>
      <c r="AV656">
        <v>70</v>
      </c>
      <c r="AW656">
        <v>3</v>
      </c>
      <c r="AX656" t="s">
        <v>74</v>
      </c>
      <c r="AY656" t="s">
        <v>74</v>
      </c>
      <c r="AZ656" t="s">
        <v>74</v>
      </c>
      <c r="BA656" t="s">
        <v>74</v>
      </c>
      <c r="BB656">
        <v>636</v>
      </c>
      <c r="BC656">
        <v>649</v>
      </c>
      <c r="BD656" t="s">
        <v>74</v>
      </c>
      <c r="BE656" t="s">
        <v>12265</v>
      </c>
      <c r="BF656" t="str">
        <f>HYPERLINK("http://dx.doi.org/10.1093/icesjms/fst004","http://dx.doi.org/10.1093/icesjms/fst004")</f>
        <v>http://dx.doi.org/10.1093/icesjms/fst004</v>
      </c>
      <c r="BG656" t="s">
        <v>74</v>
      </c>
      <c r="BH656" t="s">
        <v>74</v>
      </c>
      <c r="BI656">
        <v>14</v>
      </c>
      <c r="BJ656" t="s">
        <v>3572</v>
      </c>
      <c r="BK656" t="s">
        <v>102</v>
      </c>
      <c r="BL656" t="s">
        <v>3572</v>
      </c>
      <c r="BM656" t="s">
        <v>12266</v>
      </c>
      <c r="BN656" t="s">
        <v>74</v>
      </c>
      <c r="BO656" t="s">
        <v>74</v>
      </c>
      <c r="BP656" t="s">
        <v>74</v>
      </c>
      <c r="BQ656" t="s">
        <v>74</v>
      </c>
      <c r="BR656" t="s">
        <v>105</v>
      </c>
      <c r="BS656" t="s">
        <v>12267</v>
      </c>
      <c r="BT656" t="str">
        <f>HYPERLINK("https%3A%2F%2Fwww.webofscience.com%2Fwos%2Fwoscc%2Ffull-record%2FWOS:000318093200014","View Full Record in Web of Science")</f>
        <v>View Full Record in Web of Science</v>
      </c>
    </row>
    <row r="657" spans="1:72" x14ac:dyDescent="0.15">
      <c r="A657" t="s">
        <v>72</v>
      </c>
      <c r="B657" t="s">
        <v>12268</v>
      </c>
      <c r="C657" t="s">
        <v>74</v>
      </c>
      <c r="D657" t="s">
        <v>74</v>
      </c>
      <c r="E657" t="s">
        <v>74</v>
      </c>
      <c r="F657" t="s">
        <v>12269</v>
      </c>
      <c r="G657" t="s">
        <v>74</v>
      </c>
      <c r="H657" t="s">
        <v>74</v>
      </c>
      <c r="I657" t="s">
        <v>12270</v>
      </c>
      <c r="J657" t="s">
        <v>12271</v>
      </c>
      <c r="K657" t="s">
        <v>74</v>
      </c>
      <c r="L657" t="s">
        <v>74</v>
      </c>
      <c r="M657" t="s">
        <v>78</v>
      </c>
      <c r="N657" t="s">
        <v>79</v>
      </c>
      <c r="O657" t="s">
        <v>74</v>
      </c>
      <c r="P657" t="s">
        <v>74</v>
      </c>
      <c r="Q657" t="s">
        <v>74</v>
      </c>
      <c r="R657" t="s">
        <v>74</v>
      </c>
      <c r="S657" t="s">
        <v>74</v>
      </c>
      <c r="T657" t="s">
        <v>12272</v>
      </c>
      <c r="U657" t="s">
        <v>12273</v>
      </c>
      <c r="V657" t="s">
        <v>12274</v>
      </c>
      <c r="W657" t="s">
        <v>12275</v>
      </c>
      <c r="X657" t="s">
        <v>12276</v>
      </c>
      <c r="Y657" t="s">
        <v>12277</v>
      </c>
      <c r="Z657" t="s">
        <v>12278</v>
      </c>
      <c r="AA657" t="s">
        <v>614</v>
      </c>
      <c r="AB657" t="s">
        <v>12279</v>
      </c>
      <c r="AC657" t="s">
        <v>12280</v>
      </c>
      <c r="AD657" t="s">
        <v>12280</v>
      </c>
      <c r="AE657" t="s">
        <v>12281</v>
      </c>
      <c r="AF657" t="s">
        <v>74</v>
      </c>
      <c r="AG657">
        <v>22</v>
      </c>
      <c r="AH657">
        <v>5</v>
      </c>
      <c r="AI657">
        <v>8</v>
      </c>
      <c r="AJ657">
        <v>0</v>
      </c>
      <c r="AK657">
        <v>8</v>
      </c>
      <c r="AL657" t="s">
        <v>7630</v>
      </c>
      <c r="AM657" t="s">
        <v>7631</v>
      </c>
      <c r="AN657" t="s">
        <v>7632</v>
      </c>
      <c r="AO657" t="s">
        <v>12282</v>
      </c>
      <c r="AP657" t="s">
        <v>74</v>
      </c>
      <c r="AQ657" t="s">
        <v>74</v>
      </c>
      <c r="AR657" t="s">
        <v>12283</v>
      </c>
      <c r="AS657" t="s">
        <v>12284</v>
      </c>
      <c r="AT657" t="s">
        <v>11820</v>
      </c>
      <c r="AU657">
        <v>2013</v>
      </c>
      <c r="AV657">
        <v>14</v>
      </c>
      <c r="AW657">
        <v>4</v>
      </c>
      <c r="AX657" t="s">
        <v>74</v>
      </c>
      <c r="AY657" t="s">
        <v>74</v>
      </c>
      <c r="AZ657" t="s">
        <v>74</v>
      </c>
      <c r="BA657" t="s">
        <v>74</v>
      </c>
      <c r="BB657">
        <v>7457</v>
      </c>
      <c r="BC657">
        <v>7467</v>
      </c>
      <c r="BD657" t="s">
        <v>74</v>
      </c>
      <c r="BE657" t="s">
        <v>12285</v>
      </c>
      <c r="BF657" t="str">
        <f>HYPERLINK("http://dx.doi.org/10.3390/ijms14047457","http://dx.doi.org/10.3390/ijms14047457")</f>
        <v>http://dx.doi.org/10.3390/ijms14047457</v>
      </c>
      <c r="BG657" t="s">
        <v>74</v>
      </c>
      <c r="BH657" t="s">
        <v>74</v>
      </c>
      <c r="BI657">
        <v>11</v>
      </c>
      <c r="BJ657" t="s">
        <v>12286</v>
      </c>
      <c r="BK657" t="s">
        <v>102</v>
      </c>
      <c r="BL657" t="s">
        <v>12287</v>
      </c>
      <c r="BM657" t="s">
        <v>12288</v>
      </c>
      <c r="BN657">
        <v>23552830</v>
      </c>
      <c r="BO657" t="s">
        <v>2363</v>
      </c>
      <c r="BP657" t="s">
        <v>74</v>
      </c>
      <c r="BQ657" t="s">
        <v>74</v>
      </c>
      <c r="BR657" t="s">
        <v>105</v>
      </c>
      <c r="BS657" t="s">
        <v>12289</v>
      </c>
      <c r="BT657" t="str">
        <f>HYPERLINK("https%3A%2F%2Fwww.webofscience.com%2Fwos%2Fwoscc%2Ffull-record%2FWOS:000318017100045","View Full Record in Web of Science")</f>
        <v>View Full Record in Web of Science</v>
      </c>
    </row>
    <row r="658" spans="1:72" x14ac:dyDescent="0.15">
      <c r="A658" t="s">
        <v>72</v>
      </c>
      <c r="B658" t="s">
        <v>12290</v>
      </c>
      <c r="C658" t="s">
        <v>74</v>
      </c>
      <c r="D658" t="s">
        <v>74</v>
      </c>
      <c r="E658" t="s">
        <v>74</v>
      </c>
      <c r="F658" t="s">
        <v>12291</v>
      </c>
      <c r="G658" t="s">
        <v>74</v>
      </c>
      <c r="H658" t="s">
        <v>74</v>
      </c>
      <c r="I658" t="s">
        <v>12292</v>
      </c>
      <c r="J658" t="s">
        <v>12293</v>
      </c>
      <c r="K658" t="s">
        <v>74</v>
      </c>
      <c r="L658" t="s">
        <v>74</v>
      </c>
      <c r="M658" t="s">
        <v>78</v>
      </c>
      <c r="N658" t="s">
        <v>79</v>
      </c>
      <c r="O658" t="s">
        <v>74</v>
      </c>
      <c r="P658" t="s">
        <v>74</v>
      </c>
      <c r="Q658" t="s">
        <v>74</v>
      </c>
      <c r="R658" t="s">
        <v>74</v>
      </c>
      <c r="S658" t="s">
        <v>74</v>
      </c>
      <c r="T658" t="s">
        <v>12294</v>
      </c>
      <c r="U658" t="s">
        <v>12295</v>
      </c>
      <c r="V658" t="s">
        <v>12296</v>
      </c>
      <c r="W658" t="s">
        <v>12297</v>
      </c>
      <c r="X658" t="s">
        <v>12298</v>
      </c>
      <c r="Y658" t="s">
        <v>12299</v>
      </c>
      <c r="Z658" t="s">
        <v>12300</v>
      </c>
      <c r="AA658" t="s">
        <v>12301</v>
      </c>
      <c r="AB658" t="s">
        <v>12302</v>
      </c>
      <c r="AC658" t="s">
        <v>74</v>
      </c>
      <c r="AD658" t="s">
        <v>74</v>
      </c>
      <c r="AE658" t="s">
        <v>74</v>
      </c>
      <c r="AF658" t="s">
        <v>74</v>
      </c>
      <c r="AG658">
        <v>34</v>
      </c>
      <c r="AH658">
        <v>9</v>
      </c>
      <c r="AI658">
        <v>9</v>
      </c>
      <c r="AJ658">
        <v>0</v>
      </c>
      <c r="AK658">
        <v>18</v>
      </c>
      <c r="AL658" t="s">
        <v>8548</v>
      </c>
      <c r="AM658" t="s">
        <v>8549</v>
      </c>
      <c r="AN658" t="s">
        <v>8550</v>
      </c>
      <c r="AO658" t="s">
        <v>12303</v>
      </c>
      <c r="AP658" t="s">
        <v>12304</v>
      </c>
      <c r="AQ658" t="s">
        <v>74</v>
      </c>
      <c r="AR658" t="s">
        <v>12305</v>
      </c>
      <c r="AS658" t="s">
        <v>12306</v>
      </c>
      <c r="AT658" t="s">
        <v>11820</v>
      </c>
      <c r="AU658">
        <v>2013</v>
      </c>
      <c r="AV658">
        <v>122</v>
      </c>
      <c r="AW658">
        <v>2</v>
      </c>
      <c r="AX658" t="s">
        <v>74</v>
      </c>
      <c r="AY658" t="s">
        <v>74</v>
      </c>
      <c r="AZ658" t="s">
        <v>74</v>
      </c>
      <c r="BA658" t="s">
        <v>74</v>
      </c>
      <c r="BB658">
        <v>491</v>
      </c>
      <c r="BC658">
        <v>501</v>
      </c>
      <c r="BD658" t="s">
        <v>74</v>
      </c>
      <c r="BE658" t="s">
        <v>12307</v>
      </c>
      <c r="BF658" t="str">
        <f>HYPERLINK("http://dx.doi.org/10.1007/s12040-013-0271-5","http://dx.doi.org/10.1007/s12040-013-0271-5")</f>
        <v>http://dx.doi.org/10.1007/s12040-013-0271-5</v>
      </c>
      <c r="BG658" t="s">
        <v>74</v>
      </c>
      <c r="BH658" t="s">
        <v>74</v>
      </c>
      <c r="BI658">
        <v>11</v>
      </c>
      <c r="BJ658" t="s">
        <v>12308</v>
      </c>
      <c r="BK658" t="s">
        <v>102</v>
      </c>
      <c r="BL658" t="s">
        <v>12309</v>
      </c>
      <c r="BM658" t="s">
        <v>12310</v>
      </c>
      <c r="BN658" t="s">
        <v>74</v>
      </c>
      <c r="BO658" t="s">
        <v>104</v>
      </c>
      <c r="BP658" t="s">
        <v>74</v>
      </c>
      <c r="BQ658" t="s">
        <v>74</v>
      </c>
      <c r="BR658" t="s">
        <v>105</v>
      </c>
      <c r="BS658" t="s">
        <v>12311</v>
      </c>
      <c r="BT658" t="str">
        <f>HYPERLINK("https%3A%2F%2Fwww.webofscience.com%2Fwos%2Fwoscc%2Ffull-record%2FWOS:000317606500017","View Full Record in Web of Science")</f>
        <v>View Full Record in Web of Science</v>
      </c>
    </row>
    <row r="659" spans="1:72" x14ac:dyDescent="0.15">
      <c r="A659" t="s">
        <v>72</v>
      </c>
      <c r="B659" t="s">
        <v>12312</v>
      </c>
      <c r="C659" t="s">
        <v>74</v>
      </c>
      <c r="D659" t="s">
        <v>74</v>
      </c>
      <c r="E659" t="s">
        <v>74</v>
      </c>
      <c r="F659" t="s">
        <v>12313</v>
      </c>
      <c r="G659" t="s">
        <v>74</v>
      </c>
      <c r="H659" t="s">
        <v>74</v>
      </c>
      <c r="I659" t="s">
        <v>12314</v>
      </c>
      <c r="J659" t="s">
        <v>1733</v>
      </c>
      <c r="K659" t="s">
        <v>74</v>
      </c>
      <c r="L659" t="s">
        <v>74</v>
      </c>
      <c r="M659" t="s">
        <v>78</v>
      </c>
      <c r="N659" t="s">
        <v>79</v>
      </c>
      <c r="O659" t="s">
        <v>74</v>
      </c>
      <c r="P659" t="s">
        <v>74</v>
      </c>
      <c r="Q659" t="s">
        <v>74</v>
      </c>
      <c r="R659" t="s">
        <v>74</v>
      </c>
      <c r="S659" t="s">
        <v>74</v>
      </c>
      <c r="T659" t="s">
        <v>12315</v>
      </c>
      <c r="U659" t="s">
        <v>12316</v>
      </c>
      <c r="V659" t="s">
        <v>12317</v>
      </c>
      <c r="W659" t="s">
        <v>12318</v>
      </c>
      <c r="X659" t="s">
        <v>12319</v>
      </c>
      <c r="Y659" t="s">
        <v>12320</v>
      </c>
      <c r="Z659" t="s">
        <v>12321</v>
      </c>
      <c r="AA659" t="s">
        <v>12322</v>
      </c>
      <c r="AB659" t="s">
        <v>12323</v>
      </c>
      <c r="AC659" t="s">
        <v>12324</v>
      </c>
      <c r="AD659" t="s">
        <v>12325</v>
      </c>
      <c r="AE659" t="s">
        <v>12326</v>
      </c>
      <c r="AF659" t="s">
        <v>74</v>
      </c>
      <c r="AG659">
        <v>50</v>
      </c>
      <c r="AH659">
        <v>25</v>
      </c>
      <c r="AI659">
        <v>28</v>
      </c>
      <c r="AJ659">
        <v>0</v>
      </c>
      <c r="AK659">
        <v>37</v>
      </c>
      <c r="AL659" t="s">
        <v>2961</v>
      </c>
      <c r="AM659" t="s">
        <v>369</v>
      </c>
      <c r="AN659" t="s">
        <v>370</v>
      </c>
      <c r="AO659" t="s">
        <v>1744</v>
      </c>
      <c r="AP659" t="s">
        <v>74</v>
      </c>
      <c r="AQ659" t="s">
        <v>74</v>
      </c>
      <c r="AR659" t="s">
        <v>1746</v>
      </c>
      <c r="AS659" t="s">
        <v>1747</v>
      </c>
      <c r="AT659" t="s">
        <v>11820</v>
      </c>
      <c r="AU659">
        <v>2013</v>
      </c>
      <c r="AV659">
        <v>49</v>
      </c>
      <c r="AW659">
        <v>2</v>
      </c>
      <c r="AX659" t="s">
        <v>74</v>
      </c>
      <c r="AY659" t="s">
        <v>74</v>
      </c>
      <c r="AZ659" t="s">
        <v>74</v>
      </c>
      <c r="BA659" t="s">
        <v>74</v>
      </c>
      <c r="BB659">
        <v>427</v>
      </c>
      <c r="BC659">
        <v>438</v>
      </c>
      <c r="BD659" t="s">
        <v>74</v>
      </c>
      <c r="BE659" t="s">
        <v>12327</v>
      </c>
      <c r="BF659" t="str">
        <f>HYPERLINK("http://dx.doi.org/10.1111/jpy.12053","http://dx.doi.org/10.1111/jpy.12053")</f>
        <v>http://dx.doi.org/10.1111/jpy.12053</v>
      </c>
      <c r="BG659" t="s">
        <v>74</v>
      </c>
      <c r="BH659" t="s">
        <v>74</v>
      </c>
      <c r="BI659">
        <v>12</v>
      </c>
      <c r="BJ659" t="s">
        <v>1748</v>
      </c>
      <c r="BK659" t="s">
        <v>102</v>
      </c>
      <c r="BL659" t="s">
        <v>1748</v>
      </c>
      <c r="BM659" t="s">
        <v>12328</v>
      </c>
      <c r="BN659">
        <v>27008528</v>
      </c>
      <c r="BO659" t="s">
        <v>74</v>
      </c>
      <c r="BP659" t="s">
        <v>74</v>
      </c>
      <c r="BQ659" t="s">
        <v>74</v>
      </c>
      <c r="BR659" t="s">
        <v>105</v>
      </c>
      <c r="BS659" t="s">
        <v>12329</v>
      </c>
      <c r="BT659" t="str">
        <f>HYPERLINK("https%3A%2F%2Fwww.webofscience.com%2Fwos%2Fwoscc%2Ffull-record%2FWOS:000317297200019","View Full Record in Web of Science")</f>
        <v>View Full Record in Web of Science</v>
      </c>
    </row>
    <row r="660" spans="1:72" x14ac:dyDescent="0.15">
      <c r="A660" t="s">
        <v>72</v>
      </c>
      <c r="B660" t="s">
        <v>12330</v>
      </c>
      <c r="C660" t="s">
        <v>74</v>
      </c>
      <c r="D660" t="s">
        <v>74</v>
      </c>
      <c r="E660" t="s">
        <v>74</v>
      </c>
      <c r="F660" t="s">
        <v>12331</v>
      </c>
      <c r="G660" t="s">
        <v>74</v>
      </c>
      <c r="H660" t="s">
        <v>74</v>
      </c>
      <c r="I660" t="s">
        <v>12332</v>
      </c>
      <c r="J660" t="s">
        <v>12333</v>
      </c>
      <c r="K660" t="s">
        <v>74</v>
      </c>
      <c r="L660" t="s">
        <v>74</v>
      </c>
      <c r="M660" t="s">
        <v>78</v>
      </c>
      <c r="N660" t="s">
        <v>79</v>
      </c>
      <c r="O660" t="s">
        <v>74</v>
      </c>
      <c r="P660" t="s">
        <v>74</v>
      </c>
      <c r="Q660" t="s">
        <v>74</v>
      </c>
      <c r="R660" t="s">
        <v>74</v>
      </c>
      <c r="S660" t="s">
        <v>74</v>
      </c>
      <c r="T660" t="s">
        <v>12334</v>
      </c>
      <c r="U660" t="s">
        <v>12335</v>
      </c>
      <c r="V660" t="s">
        <v>12336</v>
      </c>
      <c r="W660" t="s">
        <v>12337</v>
      </c>
      <c r="X660" t="s">
        <v>12338</v>
      </c>
      <c r="Y660" t="s">
        <v>12339</v>
      </c>
      <c r="Z660" t="s">
        <v>12340</v>
      </c>
      <c r="AA660" t="s">
        <v>12341</v>
      </c>
      <c r="AB660" t="s">
        <v>12342</v>
      </c>
      <c r="AC660" t="s">
        <v>12343</v>
      </c>
      <c r="AD660" t="s">
        <v>12343</v>
      </c>
      <c r="AE660" t="s">
        <v>12344</v>
      </c>
      <c r="AF660" t="s">
        <v>74</v>
      </c>
      <c r="AG660">
        <v>98</v>
      </c>
      <c r="AH660">
        <v>9</v>
      </c>
      <c r="AI660">
        <v>9</v>
      </c>
      <c r="AJ660">
        <v>0</v>
      </c>
      <c r="AK660">
        <v>20</v>
      </c>
      <c r="AL660" t="s">
        <v>368</v>
      </c>
      <c r="AM660" t="s">
        <v>369</v>
      </c>
      <c r="AN660" t="s">
        <v>370</v>
      </c>
      <c r="AO660" t="s">
        <v>12345</v>
      </c>
      <c r="AP660" t="s">
        <v>12346</v>
      </c>
      <c r="AQ660" t="s">
        <v>74</v>
      </c>
      <c r="AR660" t="s">
        <v>12347</v>
      </c>
      <c r="AS660" t="s">
        <v>12348</v>
      </c>
      <c r="AT660" t="s">
        <v>11820</v>
      </c>
      <c r="AU660">
        <v>2013</v>
      </c>
      <c r="AV660">
        <v>28</v>
      </c>
      <c r="AW660">
        <v>3</v>
      </c>
      <c r="AX660" t="s">
        <v>74</v>
      </c>
      <c r="AY660" t="s">
        <v>74</v>
      </c>
      <c r="AZ660" t="s">
        <v>74</v>
      </c>
      <c r="BA660" t="s">
        <v>74</v>
      </c>
      <c r="BB660">
        <v>217</v>
      </c>
      <c r="BC660">
        <v>228</v>
      </c>
      <c r="BD660" t="s">
        <v>74</v>
      </c>
      <c r="BE660" t="s">
        <v>12349</v>
      </c>
      <c r="BF660" t="str">
        <f>HYPERLINK("http://dx.doi.org/10.1002/jqs.2601","http://dx.doi.org/10.1002/jqs.2601")</f>
        <v>http://dx.doi.org/10.1002/jqs.2601</v>
      </c>
      <c r="BG660" t="s">
        <v>74</v>
      </c>
      <c r="BH660" t="s">
        <v>74</v>
      </c>
      <c r="BI660">
        <v>12</v>
      </c>
      <c r="BJ660" t="s">
        <v>650</v>
      </c>
      <c r="BK660" t="s">
        <v>102</v>
      </c>
      <c r="BL660" t="s">
        <v>651</v>
      </c>
      <c r="BM660" t="s">
        <v>12350</v>
      </c>
      <c r="BN660" t="s">
        <v>74</v>
      </c>
      <c r="BO660" t="s">
        <v>74</v>
      </c>
      <c r="BP660" t="s">
        <v>74</v>
      </c>
      <c r="BQ660" t="s">
        <v>74</v>
      </c>
      <c r="BR660" t="s">
        <v>105</v>
      </c>
      <c r="BS660" t="s">
        <v>12351</v>
      </c>
      <c r="BT660" t="str">
        <f>HYPERLINK("https%3A%2F%2Fwww.webofscience.com%2Fwos%2Fwoscc%2Ffull-record%2FWOS:000318118100001","View Full Record in Web of Science")</f>
        <v>View Full Record in Web of Science</v>
      </c>
    </row>
    <row r="661" spans="1:72" x14ac:dyDescent="0.15">
      <c r="A661" t="s">
        <v>72</v>
      </c>
      <c r="B661" t="s">
        <v>12352</v>
      </c>
      <c r="C661" t="s">
        <v>74</v>
      </c>
      <c r="D661" t="s">
        <v>74</v>
      </c>
      <c r="E661" t="s">
        <v>74</v>
      </c>
      <c r="F661" t="s">
        <v>12353</v>
      </c>
      <c r="G661" t="s">
        <v>74</v>
      </c>
      <c r="H661" t="s">
        <v>74</v>
      </c>
      <c r="I661" t="s">
        <v>12354</v>
      </c>
      <c r="J661" t="s">
        <v>12355</v>
      </c>
      <c r="K661" t="s">
        <v>74</v>
      </c>
      <c r="L661" t="s">
        <v>74</v>
      </c>
      <c r="M661" t="s">
        <v>78</v>
      </c>
      <c r="N661" t="s">
        <v>79</v>
      </c>
      <c r="O661" t="s">
        <v>74</v>
      </c>
      <c r="P661" t="s">
        <v>74</v>
      </c>
      <c r="Q661" t="s">
        <v>74</v>
      </c>
      <c r="R661" t="s">
        <v>74</v>
      </c>
      <c r="S661" t="s">
        <v>74</v>
      </c>
      <c r="T661" t="s">
        <v>12356</v>
      </c>
      <c r="U661" t="s">
        <v>12357</v>
      </c>
      <c r="V661" t="s">
        <v>12358</v>
      </c>
      <c r="W661" t="s">
        <v>12359</v>
      </c>
      <c r="X661" t="s">
        <v>12360</v>
      </c>
      <c r="Y661" t="s">
        <v>12361</v>
      </c>
      <c r="Z661" t="s">
        <v>12362</v>
      </c>
      <c r="AA661" t="s">
        <v>74</v>
      </c>
      <c r="AB661" t="s">
        <v>12363</v>
      </c>
      <c r="AC661" t="s">
        <v>12364</v>
      </c>
      <c r="AD661" t="s">
        <v>12365</v>
      </c>
      <c r="AE661" t="s">
        <v>12366</v>
      </c>
      <c r="AF661" t="s">
        <v>74</v>
      </c>
      <c r="AG661">
        <v>48</v>
      </c>
      <c r="AH661">
        <v>4</v>
      </c>
      <c r="AI661">
        <v>4</v>
      </c>
      <c r="AJ661">
        <v>1</v>
      </c>
      <c r="AK661">
        <v>21</v>
      </c>
      <c r="AL661" t="s">
        <v>12367</v>
      </c>
      <c r="AM661" t="s">
        <v>12368</v>
      </c>
      <c r="AN661" t="s">
        <v>12369</v>
      </c>
      <c r="AO661" t="s">
        <v>12370</v>
      </c>
      <c r="AP661" t="s">
        <v>74</v>
      </c>
      <c r="AQ661" t="s">
        <v>74</v>
      </c>
      <c r="AR661" t="s">
        <v>12371</v>
      </c>
      <c r="AS661" t="s">
        <v>12372</v>
      </c>
      <c r="AT661" t="s">
        <v>11820</v>
      </c>
      <c r="AU661">
        <v>2013</v>
      </c>
      <c r="AV661">
        <v>59</v>
      </c>
      <c r="AW661">
        <v>2</v>
      </c>
      <c r="AX661" t="s">
        <v>74</v>
      </c>
      <c r="AY661" t="s">
        <v>74</v>
      </c>
      <c r="AZ661" t="s">
        <v>74</v>
      </c>
      <c r="BA661" t="s">
        <v>74</v>
      </c>
      <c r="BB661">
        <v>159</v>
      </c>
      <c r="BC661">
        <v>167</v>
      </c>
      <c r="BD661" t="s">
        <v>74</v>
      </c>
      <c r="BE661" t="s">
        <v>12373</v>
      </c>
      <c r="BF661" t="str">
        <f>HYPERLINK("http://dx.doi.org/10.1262/jrd.2012-132","http://dx.doi.org/10.1262/jrd.2012-132")</f>
        <v>http://dx.doi.org/10.1262/jrd.2012-132</v>
      </c>
      <c r="BG661" t="s">
        <v>74</v>
      </c>
      <c r="BH661" t="s">
        <v>74</v>
      </c>
      <c r="BI661">
        <v>9</v>
      </c>
      <c r="BJ661" t="s">
        <v>12374</v>
      </c>
      <c r="BK661" t="s">
        <v>102</v>
      </c>
      <c r="BL661" t="s">
        <v>12375</v>
      </c>
      <c r="BM661" t="s">
        <v>12376</v>
      </c>
      <c r="BN661">
        <v>23269486</v>
      </c>
      <c r="BO661" t="s">
        <v>12377</v>
      </c>
      <c r="BP661" t="s">
        <v>74</v>
      </c>
      <c r="BQ661" t="s">
        <v>74</v>
      </c>
      <c r="BR661" t="s">
        <v>105</v>
      </c>
      <c r="BS661" t="s">
        <v>12378</v>
      </c>
      <c r="BT661" t="str">
        <f>HYPERLINK("https%3A%2F%2Fwww.webofscience.com%2Fwos%2Fwoscc%2Ffull-record%2FWOS:000317944200009","View Full Record in Web of Science")</f>
        <v>View Full Record in Web of Science</v>
      </c>
    </row>
    <row r="662" spans="1:72" x14ac:dyDescent="0.15">
      <c r="A662" t="s">
        <v>72</v>
      </c>
      <c r="B662" t="s">
        <v>12379</v>
      </c>
      <c r="C662" t="s">
        <v>74</v>
      </c>
      <c r="D662" t="s">
        <v>74</v>
      </c>
      <c r="E662" t="s">
        <v>74</v>
      </c>
      <c r="F662" t="s">
        <v>12380</v>
      </c>
      <c r="G662" t="s">
        <v>74</v>
      </c>
      <c r="H662" t="s">
        <v>74</v>
      </c>
      <c r="I662" t="s">
        <v>12381</v>
      </c>
      <c r="J662" t="s">
        <v>12382</v>
      </c>
      <c r="K662" t="s">
        <v>74</v>
      </c>
      <c r="L662" t="s">
        <v>74</v>
      </c>
      <c r="M662" t="s">
        <v>78</v>
      </c>
      <c r="N662" t="s">
        <v>79</v>
      </c>
      <c r="O662" t="s">
        <v>74</v>
      </c>
      <c r="P662" t="s">
        <v>74</v>
      </c>
      <c r="Q662" t="s">
        <v>74</v>
      </c>
      <c r="R662" t="s">
        <v>74</v>
      </c>
      <c r="S662" t="s">
        <v>74</v>
      </c>
      <c r="T662" t="s">
        <v>12383</v>
      </c>
      <c r="U662" t="s">
        <v>12384</v>
      </c>
      <c r="V662" t="s">
        <v>12385</v>
      </c>
      <c r="W662" t="s">
        <v>12386</v>
      </c>
      <c r="X662" t="s">
        <v>12387</v>
      </c>
      <c r="Y662" t="s">
        <v>12388</v>
      </c>
      <c r="Z662" t="s">
        <v>12389</v>
      </c>
      <c r="AA662" t="s">
        <v>12390</v>
      </c>
      <c r="AB662" t="s">
        <v>12391</v>
      </c>
      <c r="AC662" t="s">
        <v>12392</v>
      </c>
      <c r="AD662" t="s">
        <v>12393</v>
      </c>
      <c r="AE662" t="s">
        <v>12394</v>
      </c>
      <c r="AF662" t="s">
        <v>74</v>
      </c>
      <c r="AG662">
        <v>41</v>
      </c>
      <c r="AH662">
        <v>14</v>
      </c>
      <c r="AI662">
        <v>14</v>
      </c>
      <c r="AJ662">
        <v>1</v>
      </c>
      <c r="AK662">
        <v>35</v>
      </c>
      <c r="AL662" t="s">
        <v>195</v>
      </c>
      <c r="AM662" t="s">
        <v>155</v>
      </c>
      <c r="AN662" t="s">
        <v>196</v>
      </c>
      <c r="AO662" t="s">
        <v>12395</v>
      </c>
      <c r="AP662" t="s">
        <v>12396</v>
      </c>
      <c r="AQ662" t="s">
        <v>74</v>
      </c>
      <c r="AR662" t="s">
        <v>12397</v>
      </c>
      <c r="AS662" t="s">
        <v>12398</v>
      </c>
      <c r="AT662" t="s">
        <v>11820</v>
      </c>
      <c r="AU662">
        <v>2013</v>
      </c>
      <c r="AV662">
        <v>78</v>
      </c>
      <c r="AW662" t="s">
        <v>74</v>
      </c>
      <c r="AX662" t="s">
        <v>74</v>
      </c>
      <c r="AY662" t="s">
        <v>74</v>
      </c>
      <c r="AZ662" t="s">
        <v>74</v>
      </c>
      <c r="BA662" t="s">
        <v>74</v>
      </c>
      <c r="BB662">
        <v>36</v>
      </c>
      <c r="BC662">
        <v>44</v>
      </c>
      <c r="BD662" t="s">
        <v>74</v>
      </c>
      <c r="BE662" t="s">
        <v>12399</v>
      </c>
      <c r="BF662" t="str">
        <f>HYPERLINK("http://dx.doi.org/10.1016/j.seares.2012.12.007","http://dx.doi.org/10.1016/j.seares.2012.12.007")</f>
        <v>http://dx.doi.org/10.1016/j.seares.2012.12.007</v>
      </c>
      <c r="BG662" t="s">
        <v>74</v>
      </c>
      <c r="BH662" t="s">
        <v>74</v>
      </c>
      <c r="BI662">
        <v>9</v>
      </c>
      <c r="BJ662" t="s">
        <v>3206</v>
      </c>
      <c r="BK662" t="s">
        <v>102</v>
      </c>
      <c r="BL662" t="s">
        <v>3206</v>
      </c>
      <c r="BM662" t="s">
        <v>12400</v>
      </c>
      <c r="BN662" t="s">
        <v>74</v>
      </c>
      <c r="BO662" t="s">
        <v>74</v>
      </c>
      <c r="BP662" t="s">
        <v>74</v>
      </c>
      <c r="BQ662" t="s">
        <v>74</v>
      </c>
      <c r="BR662" t="s">
        <v>105</v>
      </c>
      <c r="BS662" t="s">
        <v>12401</v>
      </c>
      <c r="BT662" t="str">
        <f>HYPERLINK("https%3A%2F%2Fwww.webofscience.com%2Fwos%2Fwoscc%2Ffull-record%2FWOS:000316583400005","View Full Record in Web of Science")</f>
        <v>View Full Record in Web of Science</v>
      </c>
    </row>
    <row r="663" spans="1:72" x14ac:dyDescent="0.15">
      <c r="A663" t="s">
        <v>72</v>
      </c>
      <c r="B663" t="s">
        <v>12402</v>
      </c>
      <c r="C663" t="s">
        <v>74</v>
      </c>
      <c r="D663" t="s">
        <v>74</v>
      </c>
      <c r="E663" t="s">
        <v>74</v>
      </c>
      <c r="F663" t="s">
        <v>12403</v>
      </c>
      <c r="G663" t="s">
        <v>74</v>
      </c>
      <c r="H663" t="s">
        <v>74</v>
      </c>
      <c r="I663" t="s">
        <v>7181</v>
      </c>
      <c r="J663" t="s">
        <v>12404</v>
      </c>
      <c r="K663" t="s">
        <v>74</v>
      </c>
      <c r="L663" t="s">
        <v>74</v>
      </c>
      <c r="M663" t="s">
        <v>78</v>
      </c>
      <c r="N663" t="s">
        <v>7183</v>
      </c>
      <c r="O663" t="s">
        <v>74</v>
      </c>
      <c r="P663" t="s">
        <v>74</v>
      </c>
      <c r="Q663" t="s">
        <v>74</v>
      </c>
      <c r="R663" t="s">
        <v>74</v>
      </c>
      <c r="S663" t="s">
        <v>74</v>
      </c>
      <c r="T663" t="s">
        <v>74</v>
      </c>
      <c r="U663" t="s">
        <v>74</v>
      </c>
      <c r="V663" t="s">
        <v>74</v>
      </c>
      <c r="W663" t="s">
        <v>12405</v>
      </c>
      <c r="X663" t="s">
        <v>12406</v>
      </c>
      <c r="Y663" t="s">
        <v>12407</v>
      </c>
      <c r="Z663" t="s">
        <v>74</v>
      </c>
      <c r="AA663" t="s">
        <v>74</v>
      </c>
      <c r="AB663" t="s">
        <v>74</v>
      </c>
      <c r="AC663" t="s">
        <v>74</v>
      </c>
      <c r="AD663" t="s">
        <v>74</v>
      </c>
      <c r="AE663" t="s">
        <v>74</v>
      </c>
      <c r="AF663" t="s">
        <v>74</v>
      </c>
      <c r="AG663">
        <v>1</v>
      </c>
      <c r="AH663">
        <v>0</v>
      </c>
      <c r="AI663">
        <v>0</v>
      </c>
      <c r="AJ663">
        <v>0</v>
      </c>
      <c r="AK663">
        <v>2</v>
      </c>
      <c r="AL663" t="s">
        <v>441</v>
      </c>
      <c r="AM663" t="s">
        <v>442</v>
      </c>
      <c r="AN663" t="s">
        <v>443</v>
      </c>
      <c r="AO663" t="s">
        <v>12408</v>
      </c>
      <c r="AP663" t="s">
        <v>12409</v>
      </c>
      <c r="AQ663" t="s">
        <v>74</v>
      </c>
      <c r="AR663" t="s">
        <v>12410</v>
      </c>
      <c r="AS663" t="s">
        <v>12411</v>
      </c>
      <c r="AT663" t="s">
        <v>11820</v>
      </c>
      <c r="AU663">
        <v>2013</v>
      </c>
      <c r="AV663">
        <v>118</v>
      </c>
      <c r="AW663">
        <v>2</v>
      </c>
      <c r="AX663" t="s">
        <v>74</v>
      </c>
      <c r="AY663" t="s">
        <v>74</v>
      </c>
      <c r="AZ663" t="s">
        <v>74</v>
      </c>
      <c r="BA663" t="s">
        <v>74</v>
      </c>
      <c r="BB663">
        <v>574</v>
      </c>
      <c r="BC663">
        <v>575</v>
      </c>
      <c r="BD663" t="s">
        <v>74</v>
      </c>
      <c r="BE663" t="s">
        <v>12412</v>
      </c>
      <c r="BF663" t="str">
        <f>HYPERLINK("http://dx.doi.org/10.1093/ahr/118.2.574","http://dx.doi.org/10.1093/ahr/118.2.574")</f>
        <v>http://dx.doi.org/10.1093/ahr/118.2.574</v>
      </c>
      <c r="BG663" t="s">
        <v>74</v>
      </c>
      <c r="BH663" t="s">
        <v>74</v>
      </c>
      <c r="BI663">
        <v>2</v>
      </c>
      <c r="BJ663" t="s">
        <v>7717</v>
      </c>
      <c r="BK663" t="s">
        <v>12111</v>
      </c>
      <c r="BL663" t="s">
        <v>7717</v>
      </c>
      <c r="BM663" t="s">
        <v>12413</v>
      </c>
      <c r="BN663" t="s">
        <v>74</v>
      </c>
      <c r="BO663" t="s">
        <v>74</v>
      </c>
      <c r="BP663" t="s">
        <v>74</v>
      </c>
      <c r="BQ663" t="s">
        <v>74</v>
      </c>
      <c r="BR663" t="s">
        <v>105</v>
      </c>
      <c r="BS663" t="s">
        <v>12414</v>
      </c>
      <c r="BT663" t="str">
        <f>HYPERLINK("https%3A%2F%2Fwww.webofscience.com%2Fwos%2Fwoscc%2Ffull-record%2FWOS:000317798500118","View Full Record in Web of Science")</f>
        <v>View Full Record in Web of Science</v>
      </c>
    </row>
    <row r="664" spans="1:72" x14ac:dyDescent="0.15">
      <c r="A664" t="s">
        <v>72</v>
      </c>
      <c r="B664" t="s">
        <v>12415</v>
      </c>
      <c r="C664" t="s">
        <v>74</v>
      </c>
      <c r="D664" t="s">
        <v>74</v>
      </c>
      <c r="E664" t="s">
        <v>74</v>
      </c>
      <c r="F664" t="s">
        <v>12416</v>
      </c>
      <c r="G664" t="s">
        <v>74</v>
      </c>
      <c r="H664" t="s">
        <v>74</v>
      </c>
      <c r="I664" t="s">
        <v>12417</v>
      </c>
      <c r="J664" t="s">
        <v>268</v>
      </c>
      <c r="K664" t="s">
        <v>74</v>
      </c>
      <c r="L664" t="s">
        <v>74</v>
      </c>
      <c r="M664" t="s">
        <v>78</v>
      </c>
      <c r="N664" t="s">
        <v>79</v>
      </c>
      <c r="O664" t="s">
        <v>74</v>
      </c>
      <c r="P664" t="s">
        <v>74</v>
      </c>
      <c r="Q664" t="s">
        <v>74</v>
      </c>
      <c r="R664" t="s">
        <v>74</v>
      </c>
      <c r="S664" t="s">
        <v>74</v>
      </c>
      <c r="T664" t="s">
        <v>74</v>
      </c>
      <c r="U664" t="s">
        <v>12418</v>
      </c>
      <c r="V664" t="s">
        <v>12419</v>
      </c>
      <c r="W664" t="s">
        <v>12420</v>
      </c>
      <c r="X664" t="s">
        <v>12421</v>
      </c>
      <c r="Y664" t="s">
        <v>12422</v>
      </c>
      <c r="Z664" t="s">
        <v>12423</v>
      </c>
      <c r="AA664" t="s">
        <v>12424</v>
      </c>
      <c r="AB664" t="s">
        <v>12425</v>
      </c>
      <c r="AC664" t="s">
        <v>12426</v>
      </c>
      <c r="AD664" t="s">
        <v>12427</v>
      </c>
      <c r="AE664" t="s">
        <v>12428</v>
      </c>
      <c r="AF664" t="s">
        <v>74</v>
      </c>
      <c r="AG664">
        <v>22</v>
      </c>
      <c r="AH664">
        <v>28</v>
      </c>
      <c r="AI664">
        <v>29</v>
      </c>
      <c r="AJ664">
        <v>0</v>
      </c>
      <c r="AK664">
        <v>25</v>
      </c>
      <c r="AL664" t="s">
        <v>279</v>
      </c>
      <c r="AM664" t="s">
        <v>280</v>
      </c>
      <c r="AN664" t="s">
        <v>281</v>
      </c>
      <c r="AO664" t="s">
        <v>282</v>
      </c>
      <c r="AP664" t="s">
        <v>74</v>
      </c>
      <c r="AQ664" t="s">
        <v>74</v>
      </c>
      <c r="AR664" t="s">
        <v>268</v>
      </c>
      <c r="AS664" t="s">
        <v>219</v>
      </c>
      <c r="AT664" t="s">
        <v>11820</v>
      </c>
      <c r="AU664">
        <v>2013</v>
      </c>
      <c r="AV664">
        <v>41</v>
      </c>
      <c r="AW664">
        <v>4</v>
      </c>
      <c r="AX664" t="s">
        <v>74</v>
      </c>
      <c r="AY664" t="s">
        <v>74</v>
      </c>
      <c r="AZ664" t="s">
        <v>74</v>
      </c>
      <c r="BA664" t="s">
        <v>74</v>
      </c>
      <c r="BB664">
        <v>403</v>
      </c>
      <c r="BC664">
        <v>406</v>
      </c>
      <c r="BD664" t="s">
        <v>74</v>
      </c>
      <c r="BE664" t="s">
        <v>12429</v>
      </c>
      <c r="BF664" t="str">
        <f>HYPERLINK("http://dx.doi.org/10.1130/G33631.1","http://dx.doi.org/10.1130/G33631.1")</f>
        <v>http://dx.doi.org/10.1130/G33631.1</v>
      </c>
      <c r="BG664" t="s">
        <v>74</v>
      </c>
      <c r="BH664" t="s">
        <v>74</v>
      </c>
      <c r="BI664">
        <v>4</v>
      </c>
      <c r="BJ664" t="s">
        <v>219</v>
      </c>
      <c r="BK664" t="s">
        <v>102</v>
      </c>
      <c r="BL664" t="s">
        <v>219</v>
      </c>
      <c r="BM664" t="s">
        <v>12430</v>
      </c>
      <c r="BN664" t="s">
        <v>74</v>
      </c>
      <c r="BO664" t="s">
        <v>74</v>
      </c>
      <c r="BP664" t="s">
        <v>74</v>
      </c>
      <c r="BQ664" t="s">
        <v>74</v>
      </c>
      <c r="BR664" t="s">
        <v>105</v>
      </c>
      <c r="BS664" t="s">
        <v>12431</v>
      </c>
      <c r="BT664" t="str">
        <f>HYPERLINK("https%3A%2F%2Fwww.webofscience.com%2Fwos%2Fwoscc%2Ffull-record%2FWOS:000317910000005","View Full Record in Web of Science")</f>
        <v>View Full Record in Web of Science</v>
      </c>
    </row>
    <row r="665" spans="1:72" x14ac:dyDescent="0.15">
      <c r="A665" t="s">
        <v>72</v>
      </c>
      <c r="B665" t="s">
        <v>12432</v>
      </c>
      <c r="C665" t="s">
        <v>74</v>
      </c>
      <c r="D665" t="s">
        <v>74</v>
      </c>
      <c r="E665" t="s">
        <v>74</v>
      </c>
      <c r="F665" t="s">
        <v>12433</v>
      </c>
      <c r="G665" t="s">
        <v>74</v>
      </c>
      <c r="H665" t="s">
        <v>74</v>
      </c>
      <c r="I665" t="s">
        <v>12434</v>
      </c>
      <c r="J665" t="s">
        <v>12435</v>
      </c>
      <c r="K665" t="s">
        <v>74</v>
      </c>
      <c r="L665" t="s">
        <v>74</v>
      </c>
      <c r="M665" t="s">
        <v>78</v>
      </c>
      <c r="N665" t="s">
        <v>79</v>
      </c>
      <c r="O665" t="s">
        <v>74</v>
      </c>
      <c r="P665" t="s">
        <v>74</v>
      </c>
      <c r="Q665" t="s">
        <v>74</v>
      </c>
      <c r="R665" t="s">
        <v>74</v>
      </c>
      <c r="S665" t="s">
        <v>74</v>
      </c>
      <c r="T665" t="s">
        <v>12436</v>
      </c>
      <c r="U665" t="s">
        <v>12437</v>
      </c>
      <c r="V665" t="s">
        <v>12438</v>
      </c>
      <c r="W665" t="s">
        <v>12439</v>
      </c>
      <c r="X665" t="s">
        <v>147</v>
      </c>
      <c r="Y665" t="s">
        <v>12440</v>
      </c>
      <c r="Z665" t="s">
        <v>12441</v>
      </c>
      <c r="AA665" t="s">
        <v>12442</v>
      </c>
      <c r="AB665" t="s">
        <v>12443</v>
      </c>
      <c r="AC665" t="s">
        <v>12444</v>
      </c>
      <c r="AD665" t="s">
        <v>12444</v>
      </c>
      <c r="AE665" t="s">
        <v>12445</v>
      </c>
      <c r="AF665" t="s">
        <v>74</v>
      </c>
      <c r="AG665">
        <v>41</v>
      </c>
      <c r="AH665">
        <v>5</v>
      </c>
      <c r="AI665">
        <v>6</v>
      </c>
      <c r="AJ665">
        <v>0</v>
      </c>
      <c r="AK665">
        <v>28</v>
      </c>
      <c r="AL665" t="s">
        <v>368</v>
      </c>
      <c r="AM665" t="s">
        <v>369</v>
      </c>
      <c r="AN665" t="s">
        <v>370</v>
      </c>
      <c r="AO665" t="s">
        <v>12446</v>
      </c>
      <c r="AP665" t="s">
        <v>12447</v>
      </c>
      <c r="AQ665" t="s">
        <v>74</v>
      </c>
      <c r="AR665" t="s">
        <v>12448</v>
      </c>
      <c r="AS665" t="s">
        <v>12449</v>
      </c>
      <c r="AT665" t="s">
        <v>11820</v>
      </c>
      <c r="AU665">
        <v>2013</v>
      </c>
      <c r="AV665">
        <v>57</v>
      </c>
      <c r="AW665">
        <v>2</v>
      </c>
      <c r="AX665" t="s">
        <v>74</v>
      </c>
      <c r="AY665" t="s">
        <v>74</v>
      </c>
      <c r="AZ665" t="s">
        <v>74</v>
      </c>
      <c r="BA665" t="s">
        <v>74</v>
      </c>
      <c r="BB665">
        <v>193</v>
      </c>
      <c r="BC665">
        <v>213</v>
      </c>
      <c r="BD665" t="s">
        <v>74</v>
      </c>
      <c r="BE665" t="s">
        <v>12450</v>
      </c>
      <c r="BF665" t="str">
        <f>HYPERLINK("http://dx.doi.org/10.1111/j.1467-8489.2012.00614.x","http://dx.doi.org/10.1111/j.1467-8489.2012.00614.x")</f>
        <v>http://dx.doi.org/10.1111/j.1467-8489.2012.00614.x</v>
      </c>
      <c r="BG665" t="s">
        <v>74</v>
      </c>
      <c r="BH665" t="s">
        <v>74</v>
      </c>
      <c r="BI665">
        <v>21</v>
      </c>
      <c r="BJ665" t="s">
        <v>12451</v>
      </c>
      <c r="BK665" t="s">
        <v>3246</v>
      </c>
      <c r="BL665" t="s">
        <v>12452</v>
      </c>
      <c r="BM665" t="s">
        <v>12453</v>
      </c>
      <c r="BN665" t="s">
        <v>74</v>
      </c>
      <c r="BO665" t="s">
        <v>577</v>
      </c>
      <c r="BP665" t="s">
        <v>74</v>
      </c>
      <c r="BQ665" t="s">
        <v>74</v>
      </c>
      <c r="BR665" t="s">
        <v>105</v>
      </c>
      <c r="BS665" t="s">
        <v>12454</v>
      </c>
      <c r="BT665" t="str">
        <f>HYPERLINK("https%3A%2F%2Fwww.webofscience.com%2Fwos%2Fwoscc%2Ffull-record%2FWOS:000317365400003","View Full Record in Web of Science")</f>
        <v>View Full Record in Web of Science</v>
      </c>
    </row>
    <row r="666" spans="1:72" x14ac:dyDescent="0.15">
      <c r="A666" t="s">
        <v>72</v>
      </c>
      <c r="B666" t="s">
        <v>12455</v>
      </c>
      <c r="C666" t="s">
        <v>74</v>
      </c>
      <c r="D666" t="s">
        <v>74</v>
      </c>
      <c r="E666" t="s">
        <v>74</v>
      </c>
      <c r="F666" t="s">
        <v>12456</v>
      </c>
      <c r="G666" t="s">
        <v>74</v>
      </c>
      <c r="H666" t="s">
        <v>74</v>
      </c>
      <c r="I666" t="s">
        <v>12457</v>
      </c>
      <c r="J666" t="s">
        <v>919</v>
      </c>
      <c r="K666" t="s">
        <v>74</v>
      </c>
      <c r="L666" t="s">
        <v>74</v>
      </c>
      <c r="M666" t="s">
        <v>78</v>
      </c>
      <c r="N666" t="s">
        <v>79</v>
      </c>
      <c r="O666" t="s">
        <v>74</v>
      </c>
      <c r="P666" t="s">
        <v>74</v>
      </c>
      <c r="Q666" t="s">
        <v>74</v>
      </c>
      <c r="R666" t="s">
        <v>74</v>
      </c>
      <c r="S666" t="s">
        <v>74</v>
      </c>
      <c r="T666" t="s">
        <v>12458</v>
      </c>
      <c r="U666" t="s">
        <v>12459</v>
      </c>
      <c r="V666" t="s">
        <v>12460</v>
      </c>
      <c r="W666" t="s">
        <v>12461</v>
      </c>
      <c r="X666" t="s">
        <v>12462</v>
      </c>
      <c r="Y666" t="s">
        <v>12463</v>
      </c>
      <c r="Z666" t="s">
        <v>12464</v>
      </c>
      <c r="AA666" t="s">
        <v>12465</v>
      </c>
      <c r="AB666" t="s">
        <v>12466</v>
      </c>
      <c r="AC666" t="s">
        <v>12467</v>
      </c>
      <c r="AD666" t="s">
        <v>12468</v>
      </c>
      <c r="AE666" t="s">
        <v>12469</v>
      </c>
      <c r="AF666" t="s">
        <v>74</v>
      </c>
      <c r="AG666">
        <v>77</v>
      </c>
      <c r="AH666">
        <v>43</v>
      </c>
      <c r="AI666">
        <v>48</v>
      </c>
      <c r="AJ666">
        <v>0</v>
      </c>
      <c r="AK666">
        <v>85</v>
      </c>
      <c r="AL666" t="s">
        <v>506</v>
      </c>
      <c r="AM666" t="s">
        <v>442</v>
      </c>
      <c r="AN666" t="s">
        <v>507</v>
      </c>
      <c r="AO666" t="s">
        <v>931</v>
      </c>
      <c r="AP666" t="s">
        <v>932</v>
      </c>
      <c r="AQ666" t="s">
        <v>74</v>
      </c>
      <c r="AR666" t="s">
        <v>933</v>
      </c>
      <c r="AS666" t="s">
        <v>934</v>
      </c>
      <c r="AT666" t="s">
        <v>12470</v>
      </c>
      <c r="AU666">
        <v>2013</v>
      </c>
      <c r="AV666" t="s">
        <v>12471</v>
      </c>
      <c r="AW666" t="s">
        <v>74</v>
      </c>
      <c r="AX666" t="s">
        <v>74</v>
      </c>
      <c r="AY666" t="s">
        <v>74</v>
      </c>
      <c r="AZ666" t="s">
        <v>935</v>
      </c>
      <c r="BA666" t="s">
        <v>74</v>
      </c>
      <c r="BB666">
        <v>23</v>
      </c>
      <c r="BC666">
        <v>33</v>
      </c>
      <c r="BD666" t="s">
        <v>74</v>
      </c>
      <c r="BE666" t="s">
        <v>12472</v>
      </c>
      <c r="BF666" t="str">
        <f>HYPERLINK("http://dx.doi.org/10.1016/j.dsr2.2012.08.025","http://dx.doi.org/10.1016/j.dsr2.2012.08.025")</f>
        <v>http://dx.doi.org/10.1016/j.dsr2.2012.08.025</v>
      </c>
      <c r="BG666" t="s">
        <v>74</v>
      </c>
      <c r="BH666" t="s">
        <v>74</v>
      </c>
      <c r="BI666">
        <v>11</v>
      </c>
      <c r="BJ666" t="s">
        <v>327</v>
      </c>
      <c r="BK666" t="s">
        <v>102</v>
      </c>
      <c r="BL666" t="s">
        <v>327</v>
      </c>
      <c r="BM666" t="s">
        <v>12473</v>
      </c>
      <c r="BN666" t="s">
        <v>74</v>
      </c>
      <c r="BO666" t="s">
        <v>74</v>
      </c>
      <c r="BP666" t="s">
        <v>74</v>
      </c>
      <c r="BQ666" t="s">
        <v>74</v>
      </c>
      <c r="BR666" t="s">
        <v>105</v>
      </c>
      <c r="BS666" t="s">
        <v>12474</v>
      </c>
      <c r="BT666" t="str">
        <f>HYPERLINK("https%3A%2F%2Fwww.webofscience.com%2Fwos%2Fwoscc%2Ffull-record%2FWOS:000317636400004","View Full Record in Web of Science")</f>
        <v>View Full Record in Web of Science</v>
      </c>
    </row>
    <row r="667" spans="1:72" x14ac:dyDescent="0.15">
      <c r="A667" t="s">
        <v>72</v>
      </c>
      <c r="B667" t="s">
        <v>12475</v>
      </c>
      <c r="C667" t="s">
        <v>74</v>
      </c>
      <c r="D667" t="s">
        <v>74</v>
      </c>
      <c r="E667" t="s">
        <v>74</v>
      </c>
      <c r="F667" t="s">
        <v>12476</v>
      </c>
      <c r="G667" t="s">
        <v>74</v>
      </c>
      <c r="H667" t="s">
        <v>74</v>
      </c>
      <c r="I667" t="s">
        <v>12477</v>
      </c>
      <c r="J667" t="s">
        <v>919</v>
      </c>
      <c r="K667" t="s">
        <v>74</v>
      </c>
      <c r="L667" t="s">
        <v>74</v>
      </c>
      <c r="M667" t="s">
        <v>78</v>
      </c>
      <c r="N667" t="s">
        <v>79</v>
      </c>
      <c r="O667" t="s">
        <v>74</v>
      </c>
      <c r="P667" t="s">
        <v>74</v>
      </c>
      <c r="Q667" t="s">
        <v>74</v>
      </c>
      <c r="R667" t="s">
        <v>74</v>
      </c>
      <c r="S667" t="s">
        <v>74</v>
      </c>
      <c r="T667" t="s">
        <v>12478</v>
      </c>
      <c r="U667" t="s">
        <v>12479</v>
      </c>
      <c r="V667" t="s">
        <v>12480</v>
      </c>
      <c r="W667" t="s">
        <v>12481</v>
      </c>
      <c r="X667" t="s">
        <v>12482</v>
      </c>
      <c r="Y667" t="s">
        <v>12483</v>
      </c>
      <c r="Z667" t="s">
        <v>12484</v>
      </c>
      <c r="AA667" t="s">
        <v>12485</v>
      </c>
      <c r="AB667" t="s">
        <v>12486</v>
      </c>
      <c r="AC667" t="s">
        <v>12487</v>
      </c>
      <c r="AD667" t="s">
        <v>12488</v>
      </c>
      <c r="AE667" t="s">
        <v>12489</v>
      </c>
      <c r="AF667" t="s">
        <v>74</v>
      </c>
      <c r="AG667">
        <v>100</v>
      </c>
      <c r="AH667">
        <v>24</v>
      </c>
      <c r="AI667">
        <v>28</v>
      </c>
      <c r="AJ667">
        <v>2</v>
      </c>
      <c r="AK667">
        <v>57</v>
      </c>
      <c r="AL667" t="s">
        <v>506</v>
      </c>
      <c r="AM667" t="s">
        <v>442</v>
      </c>
      <c r="AN667" t="s">
        <v>507</v>
      </c>
      <c r="AO667" t="s">
        <v>931</v>
      </c>
      <c r="AP667" t="s">
        <v>932</v>
      </c>
      <c r="AQ667" t="s">
        <v>74</v>
      </c>
      <c r="AR667" t="s">
        <v>933</v>
      </c>
      <c r="AS667" t="s">
        <v>934</v>
      </c>
      <c r="AT667" t="s">
        <v>12470</v>
      </c>
      <c r="AU667">
        <v>2013</v>
      </c>
      <c r="AV667" t="s">
        <v>12471</v>
      </c>
      <c r="AW667" t="s">
        <v>74</v>
      </c>
      <c r="AX667" t="s">
        <v>74</v>
      </c>
      <c r="AY667" t="s">
        <v>74</v>
      </c>
      <c r="AZ667" t="s">
        <v>935</v>
      </c>
      <c r="BA667" t="s">
        <v>74</v>
      </c>
      <c r="BB667">
        <v>47</v>
      </c>
      <c r="BC667">
        <v>60</v>
      </c>
      <c r="BD667" t="s">
        <v>74</v>
      </c>
      <c r="BE667" t="s">
        <v>12490</v>
      </c>
      <c r="BF667" t="str">
        <f>HYPERLINK("http://dx.doi.org/10.1016/j.dsr2.2012.07.009","http://dx.doi.org/10.1016/j.dsr2.2012.07.009")</f>
        <v>http://dx.doi.org/10.1016/j.dsr2.2012.07.009</v>
      </c>
      <c r="BG667" t="s">
        <v>74</v>
      </c>
      <c r="BH667" t="s">
        <v>74</v>
      </c>
      <c r="BI667">
        <v>14</v>
      </c>
      <c r="BJ667" t="s">
        <v>327</v>
      </c>
      <c r="BK667" t="s">
        <v>102</v>
      </c>
      <c r="BL667" t="s">
        <v>327</v>
      </c>
      <c r="BM667" t="s">
        <v>12473</v>
      </c>
      <c r="BN667" t="s">
        <v>74</v>
      </c>
      <c r="BO667" t="s">
        <v>426</v>
      </c>
      <c r="BP667" t="s">
        <v>74</v>
      </c>
      <c r="BQ667" t="s">
        <v>74</v>
      </c>
      <c r="BR667" t="s">
        <v>105</v>
      </c>
      <c r="BS667" t="s">
        <v>12491</v>
      </c>
      <c r="BT667" t="str">
        <f>HYPERLINK("https%3A%2F%2Fwww.webofscience.com%2Fwos%2Fwoscc%2Ffull-record%2FWOS:000317636400006","View Full Record in Web of Science")</f>
        <v>View Full Record in Web of Science</v>
      </c>
    </row>
    <row r="668" spans="1:72" x14ac:dyDescent="0.15">
      <c r="A668" t="s">
        <v>72</v>
      </c>
      <c r="B668" t="s">
        <v>12492</v>
      </c>
      <c r="C668" t="s">
        <v>74</v>
      </c>
      <c r="D668" t="s">
        <v>74</v>
      </c>
      <c r="E668" t="s">
        <v>74</v>
      </c>
      <c r="F668" t="s">
        <v>12493</v>
      </c>
      <c r="G668" t="s">
        <v>74</v>
      </c>
      <c r="H668" t="s">
        <v>74</v>
      </c>
      <c r="I668" t="s">
        <v>12494</v>
      </c>
      <c r="J668" t="s">
        <v>919</v>
      </c>
      <c r="K668" t="s">
        <v>74</v>
      </c>
      <c r="L668" t="s">
        <v>74</v>
      </c>
      <c r="M668" t="s">
        <v>78</v>
      </c>
      <c r="N668" t="s">
        <v>79</v>
      </c>
      <c r="O668" t="s">
        <v>74</v>
      </c>
      <c r="P668" t="s">
        <v>74</v>
      </c>
      <c r="Q668" t="s">
        <v>74</v>
      </c>
      <c r="R668" t="s">
        <v>74</v>
      </c>
      <c r="S668" t="s">
        <v>74</v>
      </c>
      <c r="T668" t="s">
        <v>12495</v>
      </c>
      <c r="U668" t="s">
        <v>12496</v>
      </c>
      <c r="V668" t="s">
        <v>12497</v>
      </c>
      <c r="W668" t="s">
        <v>12498</v>
      </c>
      <c r="X668" t="s">
        <v>12499</v>
      </c>
      <c r="Y668" t="s">
        <v>12500</v>
      </c>
      <c r="Z668" t="s">
        <v>12501</v>
      </c>
      <c r="AA668" t="s">
        <v>12502</v>
      </c>
      <c r="AB668" t="s">
        <v>12503</v>
      </c>
      <c r="AC668" t="s">
        <v>74</v>
      </c>
      <c r="AD668" t="s">
        <v>74</v>
      </c>
      <c r="AE668" t="s">
        <v>74</v>
      </c>
      <c r="AF668" t="s">
        <v>74</v>
      </c>
      <c r="AG668">
        <v>36</v>
      </c>
      <c r="AH668">
        <v>6</v>
      </c>
      <c r="AI668">
        <v>6</v>
      </c>
      <c r="AJ668">
        <v>1</v>
      </c>
      <c r="AK668">
        <v>46</v>
      </c>
      <c r="AL668" t="s">
        <v>506</v>
      </c>
      <c r="AM668" t="s">
        <v>442</v>
      </c>
      <c r="AN668" t="s">
        <v>507</v>
      </c>
      <c r="AO668" t="s">
        <v>931</v>
      </c>
      <c r="AP668" t="s">
        <v>74</v>
      </c>
      <c r="AQ668" t="s">
        <v>74</v>
      </c>
      <c r="AR668" t="s">
        <v>933</v>
      </c>
      <c r="AS668" t="s">
        <v>934</v>
      </c>
      <c r="AT668" t="s">
        <v>12470</v>
      </c>
      <c r="AU668">
        <v>2013</v>
      </c>
      <c r="AV668" t="s">
        <v>12471</v>
      </c>
      <c r="AW668" t="s">
        <v>74</v>
      </c>
      <c r="AX668" t="s">
        <v>74</v>
      </c>
      <c r="AY668" t="s">
        <v>74</v>
      </c>
      <c r="AZ668" t="s">
        <v>935</v>
      </c>
      <c r="BA668" t="s">
        <v>74</v>
      </c>
      <c r="BB668">
        <v>61</v>
      </c>
      <c r="BC668">
        <v>64</v>
      </c>
      <c r="BD668" t="s">
        <v>74</v>
      </c>
      <c r="BE668" t="s">
        <v>12504</v>
      </c>
      <c r="BF668" t="str">
        <f>HYPERLINK("http://dx.doi.org/10.1016/j.dsr2.2012.07.017","http://dx.doi.org/10.1016/j.dsr2.2012.07.017")</f>
        <v>http://dx.doi.org/10.1016/j.dsr2.2012.07.017</v>
      </c>
      <c r="BG668" t="s">
        <v>74</v>
      </c>
      <c r="BH668" t="s">
        <v>74</v>
      </c>
      <c r="BI668">
        <v>4</v>
      </c>
      <c r="BJ668" t="s">
        <v>327</v>
      </c>
      <c r="BK668" t="s">
        <v>102</v>
      </c>
      <c r="BL668" t="s">
        <v>327</v>
      </c>
      <c r="BM668" t="s">
        <v>12473</v>
      </c>
      <c r="BN668" t="s">
        <v>74</v>
      </c>
      <c r="BO668" t="s">
        <v>74</v>
      </c>
      <c r="BP668" t="s">
        <v>74</v>
      </c>
      <c r="BQ668" t="s">
        <v>74</v>
      </c>
      <c r="BR668" t="s">
        <v>105</v>
      </c>
      <c r="BS668" t="s">
        <v>12505</v>
      </c>
      <c r="BT668" t="str">
        <f>HYPERLINK("https%3A%2F%2Fwww.webofscience.com%2Fwos%2Fwoscc%2Ffull-record%2FWOS:000317636400007","View Full Record in Web of Science")</f>
        <v>View Full Record in Web of Science</v>
      </c>
    </row>
    <row r="669" spans="1:72" x14ac:dyDescent="0.15">
      <c r="A669" t="s">
        <v>72</v>
      </c>
      <c r="B669" t="s">
        <v>12506</v>
      </c>
      <c r="C669" t="s">
        <v>74</v>
      </c>
      <c r="D669" t="s">
        <v>74</v>
      </c>
      <c r="E669" t="s">
        <v>74</v>
      </c>
      <c r="F669" t="s">
        <v>12507</v>
      </c>
      <c r="G669" t="s">
        <v>74</v>
      </c>
      <c r="H669" t="s">
        <v>74</v>
      </c>
      <c r="I669" t="s">
        <v>12508</v>
      </c>
      <c r="J669" t="s">
        <v>919</v>
      </c>
      <c r="K669" t="s">
        <v>74</v>
      </c>
      <c r="L669" t="s">
        <v>74</v>
      </c>
      <c r="M669" t="s">
        <v>78</v>
      </c>
      <c r="N669" t="s">
        <v>79</v>
      </c>
      <c r="O669" t="s">
        <v>74</v>
      </c>
      <c r="P669" t="s">
        <v>74</v>
      </c>
      <c r="Q669" t="s">
        <v>74</v>
      </c>
      <c r="R669" t="s">
        <v>74</v>
      </c>
      <c r="S669" t="s">
        <v>74</v>
      </c>
      <c r="T669" t="s">
        <v>12509</v>
      </c>
      <c r="U669" t="s">
        <v>12510</v>
      </c>
      <c r="V669" t="s">
        <v>12511</v>
      </c>
      <c r="W669" t="s">
        <v>12512</v>
      </c>
      <c r="X669" t="s">
        <v>12513</v>
      </c>
      <c r="Y669" t="s">
        <v>12514</v>
      </c>
      <c r="Z669" t="s">
        <v>12515</v>
      </c>
      <c r="AA669" t="s">
        <v>12516</v>
      </c>
      <c r="AB669" t="s">
        <v>74</v>
      </c>
      <c r="AC669" t="s">
        <v>12517</v>
      </c>
      <c r="AD669" t="s">
        <v>12518</v>
      </c>
      <c r="AE669" t="s">
        <v>12519</v>
      </c>
      <c r="AF669" t="s">
        <v>74</v>
      </c>
      <c r="AG669">
        <v>29</v>
      </c>
      <c r="AH669">
        <v>27</v>
      </c>
      <c r="AI669">
        <v>34</v>
      </c>
      <c r="AJ669">
        <v>0</v>
      </c>
      <c r="AK669">
        <v>37</v>
      </c>
      <c r="AL669" t="s">
        <v>506</v>
      </c>
      <c r="AM669" t="s">
        <v>442</v>
      </c>
      <c r="AN669" t="s">
        <v>507</v>
      </c>
      <c r="AO669" t="s">
        <v>931</v>
      </c>
      <c r="AP669" t="s">
        <v>932</v>
      </c>
      <c r="AQ669" t="s">
        <v>74</v>
      </c>
      <c r="AR669" t="s">
        <v>933</v>
      </c>
      <c r="AS669" t="s">
        <v>934</v>
      </c>
      <c r="AT669" t="s">
        <v>12470</v>
      </c>
      <c r="AU669">
        <v>2013</v>
      </c>
      <c r="AV669" t="s">
        <v>12471</v>
      </c>
      <c r="AW669" t="s">
        <v>74</v>
      </c>
      <c r="AX669" t="s">
        <v>74</v>
      </c>
      <c r="AY669" t="s">
        <v>74</v>
      </c>
      <c r="AZ669" t="s">
        <v>935</v>
      </c>
      <c r="BA669" t="s">
        <v>74</v>
      </c>
      <c r="BB669">
        <v>65</v>
      </c>
      <c r="BC669">
        <v>77</v>
      </c>
      <c r="BD669" t="s">
        <v>74</v>
      </c>
      <c r="BE669" t="s">
        <v>12520</v>
      </c>
      <c r="BF669" t="str">
        <f>HYPERLINK("http://dx.doi.org/10.1016/j.dsr2.2012.07.006","http://dx.doi.org/10.1016/j.dsr2.2012.07.006")</f>
        <v>http://dx.doi.org/10.1016/j.dsr2.2012.07.006</v>
      </c>
      <c r="BG669" t="s">
        <v>74</v>
      </c>
      <c r="BH669" t="s">
        <v>74</v>
      </c>
      <c r="BI669">
        <v>13</v>
      </c>
      <c r="BJ669" t="s">
        <v>327</v>
      </c>
      <c r="BK669" t="s">
        <v>102</v>
      </c>
      <c r="BL669" t="s">
        <v>327</v>
      </c>
      <c r="BM669" t="s">
        <v>12473</v>
      </c>
      <c r="BN669" t="s">
        <v>74</v>
      </c>
      <c r="BO669" t="s">
        <v>74</v>
      </c>
      <c r="BP669" t="s">
        <v>74</v>
      </c>
      <c r="BQ669" t="s">
        <v>74</v>
      </c>
      <c r="BR669" t="s">
        <v>105</v>
      </c>
      <c r="BS669" t="s">
        <v>12521</v>
      </c>
      <c r="BT669" t="str">
        <f>HYPERLINK("https%3A%2F%2Fwww.webofscience.com%2Fwos%2Fwoscc%2Ffull-record%2FWOS:000317636400008","View Full Record in Web of Science")</f>
        <v>View Full Record in Web of Science</v>
      </c>
    </row>
    <row r="670" spans="1:72" x14ac:dyDescent="0.15">
      <c r="A670" t="s">
        <v>72</v>
      </c>
      <c r="B670" t="s">
        <v>12522</v>
      </c>
      <c r="C670" t="s">
        <v>74</v>
      </c>
      <c r="D670" t="s">
        <v>74</v>
      </c>
      <c r="E670" t="s">
        <v>74</v>
      </c>
      <c r="F670" t="s">
        <v>12523</v>
      </c>
      <c r="G670" t="s">
        <v>74</v>
      </c>
      <c r="H670" t="s">
        <v>74</v>
      </c>
      <c r="I670" t="s">
        <v>12524</v>
      </c>
      <c r="J670" t="s">
        <v>919</v>
      </c>
      <c r="K670" t="s">
        <v>74</v>
      </c>
      <c r="L670" t="s">
        <v>74</v>
      </c>
      <c r="M670" t="s">
        <v>78</v>
      </c>
      <c r="N670" t="s">
        <v>79</v>
      </c>
      <c r="O670" t="s">
        <v>74</v>
      </c>
      <c r="P670" t="s">
        <v>74</v>
      </c>
      <c r="Q670" t="s">
        <v>74</v>
      </c>
      <c r="R670" t="s">
        <v>74</v>
      </c>
      <c r="S670" t="s">
        <v>74</v>
      </c>
      <c r="T670" t="s">
        <v>12525</v>
      </c>
      <c r="U670" t="s">
        <v>12526</v>
      </c>
      <c r="V670" t="s">
        <v>12527</v>
      </c>
      <c r="W670" t="s">
        <v>12528</v>
      </c>
      <c r="X670" t="s">
        <v>12529</v>
      </c>
      <c r="Y670" t="s">
        <v>12530</v>
      </c>
      <c r="Z670" t="s">
        <v>12531</v>
      </c>
      <c r="AA670" t="s">
        <v>12532</v>
      </c>
      <c r="AB670" t="s">
        <v>12533</v>
      </c>
      <c r="AC670" t="s">
        <v>12534</v>
      </c>
      <c r="AD670" t="s">
        <v>12535</v>
      </c>
      <c r="AE670" t="s">
        <v>12536</v>
      </c>
      <c r="AF670" t="s">
        <v>74</v>
      </c>
      <c r="AG670">
        <v>120</v>
      </c>
      <c r="AH670">
        <v>57</v>
      </c>
      <c r="AI670">
        <v>62</v>
      </c>
      <c r="AJ670">
        <v>4</v>
      </c>
      <c r="AK670">
        <v>49</v>
      </c>
      <c r="AL670" t="s">
        <v>506</v>
      </c>
      <c r="AM670" t="s">
        <v>442</v>
      </c>
      <c r="AN670" t="s">
        <v>507</v>
      </c>
      <c r="AO670" t="s">
        <v>931</v>
      </c>
      <c r="AP670" t="s">
        <v>932</v>
      </c>
      <c r="AQ670" t="s">
        <v>74</v>
      </c>
      <c r="AR670" t="s">
        <v>933</v>
      </c>
      <c r="AS670" t="s">
        <v>934</v>
      </c>
      <c r="AT670" t="s">
        <v>12470</v>
      </c>
      <c r="AU670">
        <v>2013</v>
      </c>
      <c r="AV670" t="s">
        <v>12471</v>
      </c>
      <c r="AW670" t="s">
        <v>74</v>
      </c>
      <c r="AX670" t="s">
        <v>74</v>
      </c>
      <c r="AY670" t="s">
        <v>74</v>
      </c>
      <c r="AZ670" t="s">
        <v>935</v>
      </c>
      <c r="BA670" t="s">
        <v>74</v>
      </c>
      <c r="BB670">
        <v>106</v>
      </c>
      <c r="BC670">
        <v>119</v>
      </c>
      <c r="BD670" t="s">
        <v>74</v>
      </c>
      <c r="BE670" t="s">
        <v>12537</v>
      </c>
      <c r="BF670" t="str">
        <f>HYPERLINK("http://dx.doi.org/10.1016/j.dsr2.2012.09.005","http://dx.doi.org/10.1016/j.dsr2.2012.09.005")</f>
        <v>http://dx.doi.org/10.1016/j.dsr2.2012.09.005</v>
      </c>
      <c r="BG670" t="s">
        <v>74</v>
      </c>
      <c r="BH670" t="s">
        <v>74</v>
      </c>
      <c r="BI670">
        <v>14</v>
      </c>
      <c r="BJ670" t="s">
        <v>327</v>
      </c>
      <c r="BK670" t="s">
        <v>102</v>
      </c>
      <c r="BL670" t="s">
        <v>327</v>
      </c>
      <c r="BM670" t="s">
        <v>12473</v>
      </c>
      <c r="BN670" t="s">
        <v>74</v>
      </c>
      <c r="BO670" t="s">
        <v>74</v>
      </c>
      <c r="BP670" t="s">
        <v>74</v>
      </c>
      <c r="BQ670" t="s">
        <v>74</v>
      </c>
      <c r="BR670" t="s">
        <v>105</v>
      </c>
      <c r="BS670" t="s">
        <v>12538</v>
      </c>
      <c r="BT670" t="str">
        <f>HYPERLINK("https%3A%2F%2Fwww.webofscience.com%2Fwos%2Fwoscc%2Ffull-record%2FWOS:000317636400011","View Full Record in Web of Science")</f>
        <v>View Full Record in Web of Science</v>
      </c>
    </row>
    <row r="671" spans="1:72" x14ac:dyDescent="0.15">
      <c r="A671" t="s">
        <v>72</v>
      </c>
      <c r="B671" t="s">
        <v>12539</v>
      </c>
      <c r="C671" t="s">
        <v>74</v>
      </c>
      <c r="D671" t="s">
        <v>74</v>
      </c>
      <c r="E671" t="s">
        <v>74</v>
      </c>
      <c r="F671" t="s">
        <v>12540</v>
      </c>
      <c r="G671" t="s">
        <v>74</v>
      </c>
      <c r="H671" t="s">
        <v>74</v>
      </c>
      <c r="I671" t="s">
        <v>12541</v>
      </c>
      <c r="J671" t="s">
        <v>6175</v>
      </c>
      <c r="K671" t="s">
        <v>74</v>
      </c>
      <c r="L671" t="s">
        <v>74</v>
      </c>
      <c r="M671" t="s">
        <v>78</v>
      </c>
      <c r="N671" t="s">
        <v>79</v>
      </c>
      <c r="O671" t="s">
        <v>74</v>
      </c>
      <c r="P671" t="s">
        <v>74</v>
      </c>
      <c r="Q671" t="s">
        <v>74</v>
      </c>
      <c r="R671" t="s">
        <v>74</v>
      </c>
      <c r="S671" t="s">
        <v>74</v>
      </c>
      <c r="T671" t="s">
        <v>12542</v>
      </c>
      <c r="U671" t="s">
        <v>12543</v>
      </c>
      <c r="V671" t="s">
        <v>12544</v>
      </c>
      <c r="W671" t="s">
        <v>12545</v>
      </c>
      <c r="X671" t="s">
        <v>12546</v>
      </c>
      <c r="Y671" t="s">
        <v>12547</v>
      </c>
      <c r="Z671" t="s">
        <v>12548</v>
      </c>
      <c r="AA671" t="s">
        <v>74</v>
      </c>
      <c r="AB671" t="s">
        <v>74</v>
      </c>
      <c r="AC671" t="s">
        <v>74</v>
      </c>
      <c r="AD671" t="s">
        <v>74</v>
      </c>
      <c r="AE671" t="s">
        <v>74</v>
      </c>
      <c r="AF671" t="s">
        <v>74</v>
      </c>
      <c r="AG671">
        <v>27</v>
      </c>
      <c r="AH671">
        <v>33</v>
      </c>
      <c r="AI671">
        <v>36</v>
      </c>
      <c r="AJ671">
        <v>3</v>
      </c>
      <c r="AK671">
        <v>47</v>
      </c>
      <c r="AL671" t="s">
        <v>368</v>
      </c>
      <c r="AM671" t="s">
        <v>369</v>
      </c>
      <c r="AN671" t="s">
        <v>370</v>
      </c>
      <c r="AO671" t="s">
        <v>6188</v>
      </c>
      <c r="AP671" t="s">
        <v>6513</v>
      </c>
      <c r="AQ671" t="s">
        <v>74</v>
      </c>
      <c r="AR671" t="s">
        <v>6189</v>
      </c>
      <c r="AS671" t="s">
        <v>6190</v>
      </c>
      <c r="AT671" t="s">
        <v>11820</v>
      </c>
      <c r="AU671">
        <v>2013</v>
      </c>
      <c r="AV671">
        <v>33</v>
      </c>
      <c r="AW671">
        <v>5</v>
      </c>
      <c r="AX671" t="s">
        <v>74</v>
      </c>
      <c r="AY671" t="s">
        <v>74</v>
      </c>
      <c r="AZ671" t="s">
        <v>74</v>
      </c>
      <c r="BA671" t="s">
        <v>74</v>
      </c>
      <c r="BB671">
        <v>1079</v>
      </c>
      <c r="BC671">
        <v>1086</v>
      </c>
      <c r="BD671" t="s">
        <v>74</v>
      </c>
      <c r="BE671" t="s">
        <v>12549</v>
      </c>
      <c r="BF671" t="str">
        <f>HYPERLINK("http://dx.doi.org/10.1002/joc.3491","http://dx.doi.org/10.1002/joc.3491")</f>
        <v>http://dx.doi.org/10.1002/joc.3491</v>
      </c>
      <c r="BG671" t="s">
        <v>74</v>
      </c>
      <c r="BH671" t="s">
        <v>74</v>
      </c>
      <c r="BI671">
        <v>8</v>
      </c>
      <c r="BJ671" t="s">
        <v>305</v>
      </c>
      <c r="BK671" t="s">
        <v>102</v>
      </c>
      <c r="BL671" t="s">
        <v>305</v>
      </c>
      <c r="BM671" t="s">
        <v>12550</v>
      </c>
      <c r="BN671" t="s">
        <v>74</v>
      </c>
      <c r="BO671" t="s">
        <v>426</v>
      </c>
      <c r="BP671" t="s">
        <v>74</v>
      </c>
      <c r="BQ671" t="s">
        <v>74</v>
      </c>
      <c r="BR671" t="s">
        <v>105</v>
      </c>
      <c r="BS671" t="s">
        <v>12551</v>
      </c>
      <c r="BT671" t="str">
        <f>HYPERLINK("https%3A%2F%2Fwww.webofscience.com%2Fwos%2Fwoscc%2Ffull-record%2FWOS:000317423800003","View Full Record in Web of Science")</f>
        <v>View Full Record in Web of Science</v>
      </c>
    </row>
    <row r="672" spans="1:72" x14ac:dyDescent="0.15">
      <c r="A672" t="s">
        <v>72</v>
      </c>
      <c r="B672" t="s">
        <v>12552</v>
      </c>
      <c r="C672" t="s">
        <v>74</v>
      </c>
      <c r="D672" t="s">
        <v>74</v>
      </c>
      <c r="E672" t="s">
        <v>74</v>
      </c>
      <c r="F672" t="s">
        <v>12553</v>
      </c>
      <c r="G672" t="s">
        <v>74</v>
      </c>
      <c r="H672" t="s">
        <v>74</v>
      </c>
      <c r="I672" t="s">
        <v>12554</v>
      </c>
      <c r="J672" t="s">
        <v>12555</v>
      </c>
      <c r="K672" t="s">
        <v>74</v>
      </c>
      <c r="L672" t="s">
        <v>74</v>
      </c>
      <c r="M672" t="s">
        <v>78</v>
      </c>
      <c r="N672" t="s">
        <v>79</v>
      </c>
      <c r="O672" t="s">
        <v>74</v>
      </c>
      <c r="P672" t="s">
        <v>74</v>
      </c>
      <c r="Q672" t="s">
        <v>74</v>
      </c>
      <c r="R672" t="s">
        <v>74</v>
      </c>
      <c r="S672" t="s">
        <v>74</v>
      </c>
      <c r="T672" t="s">
        <v>12556</v>
      </c>
      <c r="U672" t="s">
        <v>12557</v>
      </c>
      <c r="V672" t="s">
        <v>12558</v>
      </c>
      <c r="W672" t="s">
        <v>12559</v>
      </c>
      <c r="X672" t="s">
        <v>12560</v>
      </c>
      <c r="Y672" t="s">
        <v>12561</v>
      </c>
      <c r="Z672" t="s">
        <v>12562</v>
      </c>
      <c r="AA672" t="s">
        <v>12563</v>
      </c>
      <c r="AB672" t="s">
        <v>12564</v>
      </c>
      <c r="AC672" t="s">
        <v>74</v>
      </c>
      <c r="AD672" t="s">
        <v>74</v>
      </c>
      <c r="AE672" t="s">
        <v>74</v>
      </c>
      <c r="AF672" t="s">
        <v>74</v>
      </c>
      <c r="AG672">
        <v>109</v>
      </c>
      <c r="AH672">
        <v>19</v>
      </c>
      <c r="AI672">
        <v>20</v>
      </c>
      <c r="AJ672">
        <v>0</v>
      </c>
      <c r="AK672">
        <v>23</v>
      </c>
      <c r="AL672" t="s">
        <v>506</v>
      </c>
      <c r="AM672" t="s">
        <v>442</v>
      </c>
      <c r="AN672" t="s">
        <v>507</v>
      </c>
      <c r="AO672" t="s">
        <v>12565</v>
      </c>
      <c r="AP672" t="s">
        <v>74</v>
      </c>
      <c r="AQ672" t="s">
        <v>74</v>
      </c>
      <c r="AR672" t="s">
        <v>12566</v>
      </c>
      <c r="AS672" t="s">
        <v>12567</v>
      </c>
      <c r="AT672" t="s">
        <v>11820</v>
      </c>
      <c r="AU672">
        <v>2013</v>
      </c>
      <c r="AV672">
        <v>43</v>
      </c>
      <c r="AW672" t="s">
        <v>74</v>
      </c>
      <c r="AX672" t="s">
        <v>74</v>
      </c>
      <c r="AY672" t="s">
        <v>74</v>
      </c>
      <c r="AZ672" t="s">
        <v>74</v>
      </c>
      <c r="BA672" t="s">
        <v>74</v>
      </c>
      <c r="BB672">
        <v>101</v>
      </c>
      <c r="BC672">
        <v>111</v>
      </c>
      <c r="BD672" t="s">
        <v>74</v>
      </c>
      <c r="BE672" t="s">
        <v>12568</v>
      </c>
      <c r="BF672" t="str">
        <f>HYPERLINK("http://dx.doi.org/10.1016/j.jsames.2013.01.006","http://dx.doi.org/10.1016/j.jsames.2013.01.006")</f>
        <v>http://dx.doi.org/10.1016/j.jsames.2013.01.006</v>
      </c>
      <c r="BG672" t="s">
        <v>74</v>
      </c>
      <c r="BH672" t="s">
        <v>74</v>
      </c>
      <c r="BI672">
        <v>11</v>
      </c>
      <c r="BJ672" t="s">
        <v>1426</v>
      </c>
      <c r="BK672" t="s">
        <v>102</v>
      </c>
      <c r="BL672" t="s">
        <v>219</v>
      </c>
      <c r="BM672" t="s">
        <v>12569</v>
      </c>
      <c r="BN672" t="s">
        <v>74</v>
      </c>
      <c r="BO672" t="s">
        <v>426</v>
      </c>
      <c r="BP672" t="s">
        <v>74</v>
      </c>
      <c r="BQ672" t="s">
        <v>74</v>
      </c>
      <c r="BR672" t="s">
        <v>105</v>
      </c>
      <c r="BS672" t="s">
        <v>12570</v>
      </c>
      <c r="BT672" t="str">
        <f>HYPERLINK("https%3A%2F%2Fwww.webofscience.com%2Fwos%2Fwoscc%2Ffull-record%2FWOS:000317153000010","View Full Record in Web of Science")</f>
        <v>View Full Record in Web of Science</v>
      </c>
    </row>
    <row r="673" spans="1:72" x14ac:dyDescent="0.15">
      <c r="A673" t="s">
        <v>72</v>
      </c>
      <c r="B673" t="s">
        <v>12571</v>
      </c>
      <c r="C673" t="s">
        <v>74</v>
      </c>
      <c r="D673" t="s">
        <v>74</v>
      </c>
      <c r="E673" t="s">
        <v>74</v>
      </c>
      <c r="F673" t="s">
        <v>12572</v>
      </c>
      <c r="G673" t="s">
        <v>74</v>
      </c>
      <c r="H673" t="s">
        <v>74</v>
      </c>
      <c r="I673" t="s">
        <v>12573</v>
      </c>
      <c r="J673" t="s">
        <v>966</v>
      </c>
      <c r="K673" t="s">
        <v>74</v>
      </c>
      <c r="L673" t="s">
        <v>74</v>
      </c>
      <c r="M673" t="s">
        <v>78</v>
      </c>
      <c r="N673" t="s">
        <v>79</v>
      </c>
      <c r="O673" t="s">
        <v>74</v>
      </c>
      <c r="P673" t="s">
        <v>74</v>
      </c>
      <c r="Q673" t="s">
        <v>74</v>
      </c>
      <c r="R673" t="s">
        <v>74</v>
      </c>
      <c r="S673" t="s">
        <v>74</v>
      </c>
      <c r="T673" t="s">
        <v>12574</v>
      </c>
      <c r="U673" t="s">
        <v>12575</v>
      </c>
      <c r="V673" t="s">
        <v>12576</v>
      </c>
      <c r="W673" t="s">
        <v>12577</v>
      </c>
      <c r="X673" t="s">
        <v>12578</v>
      </c>
      <c r="Y673" t="s">
        <v>12579</v>
      </c>
      <c r="Z673" t="s">
        <v>12580</v>
      </c>
      <c r="AA673" t="s">
        <v>12581</v>
      </c>
      <c r="AB673" t="s">
        <v>12582</v>
      </c>
      <c r="AC673" t="s">
        <v>12583</v>
      </c>
      <c r="AD673" t="s">
        <v>12584</v>
      </c>
      <c r="AE673" t="s">
        <v>12585</v>
      </c>
      <c r="AF673" t="s">
        <v>74</v>
      </c>
      <c r="AG673">
        <v>73</v>
      </c>
      <c r="AH673">
        <v>9</v>
      </c>
      <c r="AI673">
        <v>9</v>
      </c>
      <c r="AJ673">
        <v>0</v>
      </c>
      <c r="AK673">
        <v>40</v>
      </c>
      <c r="AL673" t="s">
        <v>195</v>
      </c>
      <c r="AM673" t="s">
        <v>155</v>
      </c>
      <c r="AN673" t="s">
        <v>196</v>
      </c>
      <c r="AO673" t="s">
        <v>979</v>
      </c>
      <c r="AP673" t="s">
        <v>980</v>
      </c>
      <c r="AQ673" t="s">
        <v>74</v>
      </c>
      <c r="AR673" t="s">
        <v>981</v>
      </c>
      <c r="AS673" t="s">
        <v>982</v>
      </c>
      <c r="AT673" t="s">
        <v>12586</v>
      </c>
      <c r="AU673">
        <v>2013</v>
      </c>
      <c r="AV673">
        <v>375</v>
      </c>
      <c r="AW673" t="s">
        <v>74</v>
      </c>
      <c r="AX673" t="s">
        <v>74</v>
      </c>
      <c r="AY673" t="s">
        <v>74</v>
      </c>
      <c r="AZ673" t="s">
        <v>74</v>
      </c>
      <c r="BA673" t="s">
        <v>74</v>
      </c>
      <c r="BB673">
        <v>125</v>
      </c>
      <c r="BC673">
        <v>135</v>
      </c>
      <c r="BD673" t="s">
        <v>74</v>
      </c>
      <c r="BE673" t="s">
        <v>12587</v>
      </c>
      <c r="BF673" t="str">
        <f>HYPERLINK("http://dx.doi.org/10.1016/j.palaeo.2013.02.022","http://dx.doi.org/10.1016/j.palaeo.2013.02.022")</f>
        <v>http://dx.doi.org/10.1016/j.palaeo.2013.02.022</v>
      </c>
      <c r="BG673" t="s">
        <v>74</v>
      </c>
      <c r="BH673" t="s">
        <v>74</v>
      </c>
      <c r="BI673">
        <v>11</v>
      </c>
      <c r="BJ673" t="s">
        <v>984</v>
      </c>
      <c r="BK673" t="s">
        <v>102</v>
      </c>
      <c r="BL673" t="s">
        <v>985</v>
      </c>
      <c r="BM673" t="s">
        <v>12588</v>
      </c>
      <c r="BN673" t="s">
        <v>74</v>
      </c>
      <c r="BO673" t="s">
        <v>426</v>
      </c>
      <c r="BP673" t="s">
        <v>74</v>
      </c>
      <c r="BQ673" t="s">
        <v>74</v>
      </c>
      <c r="BR673" t="s">
        <v>105</v>
      </c>
      <c r="BS673" t="s">
        <v>12589</v>
      </c>
      <c r="BT673" t="str">
        <f>HYPERLINK("https%3A%2F%2Fwww.webofscience.com%2Fwos%2Fwoscc%2Ffull-record%2FWOS:000317704000010","View Full Record in Web of Science")</f>
        <v>View Full Record in Web of Science</v>
      </c>
    </row>
    <row r="674" spans="1:72" x14ac:dyDescent="0.15">
      <c r="A674" t="s">
        <v>72</v>
      </c>
      <c r="B674" t="s">
        <v>12590</v>
      </c>
      <c r="C674" t="s">
        <v>74</v>
      </c>
      <c r="D674" t="s">
        <v>74</v>
      </c>
      <c r="E674" t="s">
        <v>74</v>
      </c>
      <c r="F674" t="s">
        <v>12591</v>
      </c>
      <c r="G674" t="s">
        <v>74</v>
      </c>
      <c r="H674" t="s">
        <v>74</v>
      </c>
      <c r="I674" t="s">
        <v>12592</v>
      </c>
      <c r="J674" t="s">
        <v>942</v>
      </c>
      <c r="K674" t="s">
        <v>74</v>
      </c>
      <c r="L674" t="s">
        <v>74</v>
      </c>
      <c r="M674" t="s">
        <v>78</v>
      </c>
      <c r="N674" t="s">
        <v>79</v>
      </c>
      <c r="O674" t="s">
        <v>74</v>
      </c>
      <c r="P674" t="s">
        <v>74</v>
      </c>
      <c r="Q674" t="s">
        <v>74</v>
      </c>
      <c r="R674" t="s">
        <v>74</v>
      </c>
      <c r="S674" t="s">
        <v>74</v>
      </c>
      <c r="T674" t="s">
        <v>12593</v>
      </c>
      <c r="U674" t="s">
        <v>12594</v>
      </c>
      <c r="V674" t="s">
        <v>12595</v>
      </c>
      <c r="W674" t="s">
        <v>12596</v>
      </c>
      <c r="X674" t="s">
        <v>12597</v>
      </c>
      <c r="Y674" t="s">
        <v>3541</v>
      </c>
      <c r="Z674" t="s">
        <v>12598</v>
      </c>
      <c r="AA674" t="s">
        <v>12599</v>
      </c>
      <c r="AB674" t="s">
        <v>12600</v>
      </c>
      <c r="AC674" t="s">
        <v>12601</v>
      </c>
      <c r="AD674" t="s">
        <v>12602</v>
      </c>
      <c r="AE674" t="s">
        <v>12603</v>
      </c>
      <c r="AF674" t="s">
        <v>74</v>
      </c>
      <c r="AG674">
        <v>148</v>
      </c>
      <c r="AH674">
        <v>49</v>
      </c>
      <c r="AI674">
        <v>54</v>
      </c>
      <c r="AJ674">
        <v>0</v>
      </c>
      <c r="AK674">
        <v>17</v>
      </c>
      <c r="AL674" t="s">
        <v>954</v>
      </c>
      <c r="AM674" t="s">
        <v>955</v>
      </c>
      <c r="AN674" t="s">
        <v>956</v>
      </c>
      <c r="AO674" t="s">
        <v>957</v>
      </c>
      <c r="AP674" t="s">
        <v>958</v>
      </c>
      <c r="AQ674" t="s">
        <v>74</v>
      </c>
      <c r="AR674" t="s">
        <v>942</v>
      </c>
      <c r="AS674" t="s">
        <v>959</v>
      </c>
      <c r="AT674" t="s">
        <v>11820</v>
      </c>
      <c r="AU674">
        <v>2013</v>
      </c>
      <c r="AV674">
        <v>223</v>
      </c>
      <c r="AW674">
        <v>2</v>
      </c>
      <c r="AX674" t="s">
        <v>74</v>
      </c>
      <c r="AY674" t="s">
        <v>74</v>
      </c>
      <c r="AZ674" t="s">
        <v>74</v>
      </c>
      <c r="BA674" t="s">
        <v>74</v>
      </c>
      <c r="BB674">
        <v>850</v>
      </c>
      <c r="BC674">
        <v>877</v>
      </c>
      <c r="BD674" t="s">
        <v>74</v>
      </c>
      <c r="BE674" t="s">
        <v>12604</v>
      </c>
      <c r="BF674" t="str">
        <f>HYPERLINK("http://dx.doi.org/10.1016/j.icarus.2013.02.003","http://dx.doi.org/10.1016/j.icarus.2013.02.003")</f>
        <v>http://dx.doi.org/10.1016/j.icarus.2013.02.003</v>
      </c>
      <c r="BG674" t="s">
        <v>74</v>
      </c>
      <c r="BH674" t="s">
        <v>74</v>
      </c>
      <c r="BI674">
        <v>28</v>
      </c>
      <c r="BJ674" t="s">
        <v>101</v>
      </c>
      <c r="BK674" t="s">
        <v>102</v>
      </c>
      <c r="BL674" t="s">
        <v>101</v>
      </c>
      <c r="BM674" t="s">
        <v>12605</v>
      </c>
      <c r="BN674" t="s">
        <v>74</v>
      </c>
      <c r="BO674" t="s">
        <v>74</v>
      </c>
      <c r="BP674" t="s">
        <v>74</v>
      </c>
      <c r="BQ674" t="s">
        <v>74</v>
      </c>
      <c r="BR674" t="s">
        <v>105</v>
      </c>
      <c r="BS674" t="s">
        <v>12606</v>
      </c>
      <c r="BT674" t="str">
        <f>HYPERLINK("https%3A%2F%2Fwww.webofscience.com%2Fwos%2Fwoscc%2Ffull-record%2FWOS:000316923200019","View Full Record in Web of Science")</f>
        <v>View Full Record in Web of Science</v>
      </c>
    </row>
    <row r="675" spans="1:72" x14ac:dyDescent="0.15">
      <c r="A675" t="s">
        <v>72</v>
      </c>
      <c r="B675" t="s">
        <v>12607</v>
      </c>
      <c r="C675" t="s">
        <v>74</v>
      </c>
      <c r="D675" t="s">
        <v>74</v>
      </c>
      <c r="E675" t="s">
        <v>74</v>
      </c>
      <c r="F675" t="s">
        <v>12608</v>
      </c>
      <c r="G675" t="s">
        <v>74</v>
      </c>
      <c r="H675" t="s">
        <v>74</v>
      </c>
      <c r="I675" t="s">
        <v>12609</v>
      </c>
      <c r="J675" t="s">
        <v>6820</v>
      </c>
      <c r="K675" t="s">
        <v>74</v>
      </c>
      <c r="L675" t="s">
        <v>74</v>
      </c>
      <c r="M675" t="s">
        <v>78</v>
      </c>
      <c r="N675" t="s">
        <v>79</v>
      </c>
      <c r="O675" t="s">
        <v>74</v>
      </c>
      <c r="P675" t="s">
        <v>74</v>
      </c>
      <c r="Q675" t="s">
        <v>74</v>
      </c>
      <c r="R675" t="s">
        <v>74</v>
      </c>
      <c r="S675" t="s">
        <v>74</v>
      </c>
      <c r="T675" t="s">
        <v>12610</v>
      </c>
      <c r="U675" t="s">
        <v>12611</v>
      </c>
      <c r="V675" t="s">
        <v>12612</v>
      </c>
      <c r="W675" t="s">
        <v>12613</v>
      </c>
      <c r="X675" t="s">
        <v>12614</v>
      </c>
      <c r="Y675" t="s">
        <v>12615</v>
      </c>
      <c r="Z675" t="s">
        <v>12616</v>
      </c>
      <c r="AA675" t="s">
        <v>12617</v>
      </c>
      <c r="AB675" t="s">
        <v>12618</v>
      </c>
      <c r="AC675" t="s">
        <v>12619</v>
      </c>
      <c r="AD675" t="s">
        <v>12620</v>
      </c>
      <c r="AE675" t="s">
        <v>12621</v>
      </c>
      <c r="AF675" t="s">
        <v>74</v>
      </c>
      <c r="AG675">
        <v>66</v>
      </c>
      <c r="AH675">
        <v>17</v>
      </c>
      <c r="AI675">
        <v>17</v>
      </c>
      <c r="AJ675">
        <v>0</v>
      </c>
      <c r="AK675">
        <v>51</v>
      </c>
      <c r="AL675" t="s">
        <v>529</v>
      </c>
      <c r="AM675" t="s">
        <v>391</v>
      </c>
      <c r="AN675" t="s">
        <v>530</v>
      </c>
      <c r="AO675" t="s">
        <v>6833</v>
      </c>
      <c r="AP675" t="s">
        <v>8125</v>
      </c>
      <c r="AQ675" t="s">
        <v>74</v>
      </c>
      <c r="AR675" t="s">
        <v>6820</v>
      </c>
      <c r="AS675" t="s">
        <v>6834</v>
      </c>
      <c r="AT675" t="s">
        <v>11820</v>
      </c>
      <c r="AU675">
        <v>2013</v>
      </c>
      <c r="AV675">
        <v>171</v>
      </c>
      <c r="AW675">
        <v>4</v>
      </c>
      <c r="AX675" t="s">
        <v>74</v>
      </c>
      <c r="AY675" t="s">
        <v>74</v>
      </c>
      <c r="AZ675" t="s">
        <v>74</v>
      </c>
      <c r="BA675" t="s">
        <v>74</v>
      </c>
      <c r="BB675">
        <v>893</v>
      </c>
      <c r="BC675">
        <v>903</v>
      </c>
      <c r="BD675" t="s">
        <v>74</v>
      </c>
      <c r="BE675" t="s">
        <v>12622</v>
      </c>
      <c r="BF675" t="str">
        <f>HYPERLINK("http://dx.doi.org/10.1007/s00442-012-2469-7","http://dx.doi.org/10.1007/s00442-012-2469-7")</f>
        <v>http://dx.doi.org/10.1007/s00442-012-2469-7</v>
      </c>
      <c r="BG675" t="s">
        <v>74</v>
      </c>
      <c r="BH675" t="s">
        <v>74</v>
      </c>
      <c r="BI675">
        <v>11</v>
      </c>
      <c r="BJ675" t="s">
        <v>5449</v>
      </c>
      <c r="BK675" t="s">
        <v>102</v>
      </c>
      <c r="BL675" t="s">
        <v>262</v>
      </c>
      <c r="BM675" t="s">
        <v>12623</v>
      </c>
      <c r="BN675">
        <v>23053230</v>
      </c>
      <c r="BO675" t="s">
        <v>74</v>
      </c>
      <c r="BP675" t="s">
        <v>74</v>
      </c>
      <c r="BQ675" t="s">
        <v>74</v>
      </c>
      <c r="BR675" t="s">
        <v>105</v>
      </c>
      <c r="BS675" t="s">
        <v>12624</v>
      </c>
      <c r="BT675" t="str">
        <f>HYPERLINK("https%3A%2F%2Fwww.webofscience.com%2Fwos%2Fwoscc%2Ffull-record%2FWOS:000316906400013","View Full Record in Web of Science")</f>
        <v>View Full Record in Web of Science</v>
      </c>
    </row>
    <row r="676" spans="1:72" x14ac:dyDescent="0.15">
      <c r="A676" t="s">
        <v>72</v>
      </c>
      <c r="B676" t="s">
        <v>12625</v>
      </c>
      <c r="C676" t="s">
        <v>74</v>
      </c>
      <c r="D676" t="s">
        <v>74</v>
      </c>
      <c r="E676" t="s">
        <v>74</v>
      </c>
      <c r="F676" t="s">
        <v>12626</v>
      </c>
      <c r="G676" t="s">
        <v>74</v>
      </c>
      <c r="H676" t="s">
        <v>74</v>
      </c>
      <c r="I676" t="s">
        <v>12627</v>
      </c>
      <c r="J676" t="s">
        <v>431</v>
      </c>
      <c r="K676" t="s">
        <v>74</v>
      </c>
      <c r="L676" t="s">
        <v>74</v>
      </c>
      <c r="M676" t="s">
        <v>78</v>
      </c>
      <c r="N676" t="s">
        <v>79</v>
      </c>
      <c r="O676" t="s">
        <v>74</v>
      </c>
      <c r="P676" t="s">
        <v>74</v>
      </c>
      <c r="Q676" t="s">
        <v>74</v>
      </c>
      <c r="R676" t="s">
        <v>74</v>
      </c>
      <c r="S676" t="s">
        <v>74</v>
      </c>
      <c r="T676" t="s">
        <v>74</v>
      </c>
      <c r="U676" t="s">
        <v>74</v>
      </c>
      <c r="V676" t="s">
        <v>74</v>
      </c>
      <c r="W676" t="s">
        <v>12628</v>
      </c>
      <c r="X676" t="s">
        <v>12629</v>
      </c>
      <c r="Y676" t="s">
        <v>12630</v>
      </c>
      <c r="Z676" t="s">
        <v>12631</v>
      </c>
      <c r="AA676" t="s">
        <v>74</v>
      </c>
      <c r="AB676" t="s">
        <v>74</v>
      </c>
      <c r="AC676" t="s">
        <v>12632</v>
      </c>
      <c r="AD676" t="s">
        <v>12632</v>
      </c>
      <c r="AE676" t="s">
        <v>12633</v>
      </c>
      <c r="AF676" t="s">
        <v>74</v>
      </c>
      <c r="AG676">
        <v>11</v>
      </c>
      <c r="AH676">
        <v>0</v>
      </c>
      <c r="AI676">
        <v>0</v>
      </c>
      <c r="AJ676">
        <v>0</v>
      </c>
      <c r="AK676">
        <v>2</v>
      </c>
      <c r="AL676" t="s">
        <v>441</v>
      </c>
      <c r="AM676" t="s">
        <v>442</v>
      </c>
      <c r="AN676" t="s">
        <v>443</v>
      </c>
      <c r="AO676" t="s">
        <v>444</v>
      </c>
      <c r="AP676" t="s">
        <v>74</v>
      </c>
      <c r="AQ676" t="s">
        <v>74</v>
      </c>
      <c r="AR676" t="s">
        <v>446</v>
      </c>
      <c r="AS676" t="s">
        <v>447</v>
      </c>
      <c r="AT676" t="s">
        <v>11820</v>
      </c>
      <c r="AU676">
        <v>2013</v>
      </c>
      <c r="AV676">
        <v>54</v>
      </c>
      <c r="AW676">
        <v>2</v>
      </c>
      <c r="AX676" t="s">
        <v>74</v>
      </c>
      <c r="AY676" t="s">
        <v>74</v>
      </c>
      <c r="AZ676" t="s">
        <v>74</v>
      </c>
      <c r="BA676" t="s">
        <v>74</v>
      </c>
      <c r="BB676">
        <v>21</v>
      </c>
      <c r="BC676">
        <v>24</v>
      </c>
      <c r="BD676" t="s">
        <v>74</v>
      </c>
      <c r="BE676" t="s">
        <v>74</v>
      </c>
      <c r="BF676" t="s">
        <v>74</v>
      </c>
      <c r="BG676" t="s">
        <v>74</v>
      </c>
      <c r="BH676" t="s">
        <v>74</v>
      </c>
      <c r="BI676">
        <v>4</v>
      </c>
      <c r="BJ676" t="s">
        <v>448</v>
      </c>
      <c r="BK676" t="s">
        <v>102</v>
      </c>
      <c r="BL676" t="s">
        <v>448</v>
      </c>
      <c r="BM676" t="s">
        <v>12634</v>
      </c>
      <c r="BN676" t="s">
        <v>74</v>
      </c>
      <c r="BO676" t="s">
        <v>74</v>
      </c>
      <c r="BP676" t="s">
        <v>74</v>
      </c>
      <c r="BQ676" t="s">
        <v>74</v>
      </c>
      <c r="BR676" t="s">
        <v>105</v>
      </c>
      <c r="BS676" t="s">
        <v>12635</v>
      </c>
      <c r="BT676" t="str">
        <f>HYPERLINK("https%3A%2F%2Fwww.webofscience.com%2Fwos%2Fwoscc%2Ffull-record%2FWOS:000316653000022","View Full Record in Web of Science")</f>
        <v>View Full Record in Web of Science</v>
      </c>
    </row>
    <row r="677" spans="1:72" x14ac:dyDescent="0.15">
      <c r="A677" t="s">
        <v>72</v>
      </c>
      <c r="B677" t="s">
        <v>12636</v>
      </c>
      <c r="C677" t="s">
        <v>74</v>
      </c>
      <c r="D677" t="s">
        <v>74</v>
      </c>
      <c r="E677" t="s">
        <v>74</v>
      </c>
      <c r="F677" t="s">
        <v>12637</v>
      </c>
      <c r="G677" t="s">
        <v>74</v>
      </c>
      <c r="H677" t="s">
        <v>74</v>
      </c>
      <c r="I677" t="s">
        <v>12638</v>
      </c>
      <c r="J677" t="s">
        <v>12200</v>
      </c>
      <c r="K677" t="s">
        <v>74</v>
      </c>
      <c r="L677" t="s">
        <v>74</v>
      </c>
      <c r="M677" t="s">
        <v>78</v>
      </c>
      <c r="N677" t="s">
        <v>1459</v>
      </c>
      <c r="O677" t="s">
        <v>74</v>
      </c>
      <c r="P677" t="s">
        <v>74</v>
      </c>
      <c r="Q677" t="s">
        <v>74</v>
      </c>
      <c r="R677" t="s">
        <v>74</v>
      </c>
      <c r="S677" t="s">
        <v>74</v>
      </c>
      <c r="T677" t="s">
        <v>12639</v>
      </c>
      <c r="U677" t="s">
        <v>12640</v>
      </c>
      <c r="V677" t="s">
        <v>12641</v>
      </c>
      <c r="W677" t="s">
        <v>12642</v>
      </c>
      <c r="X677" t="s">
        <v>12643</v>
      </c>
      <c r="Y677" t="s">
        <v>12644</v>
      </c>
      <c r="Z677" t="s">
        <v>12645</v>
      </c>
      <c r="AA677" t="s">
        <v>12646</v>
      </c>
      <c r="AB677" t="s">
        <v>12647</v>
      </c>
      <c r="AC677" t="s">
        <v>12648</v>
      </c>
      <c r="AD677" t="s">
        <v>12649</v>
      </c>
      <c r="AE677" t="s">
        <v>12650</v>
      </c>
      <c r="AF677" t="s">
        <v>74</v>
      </c>
      <c r="AG677">
        <v>109</v>
      </c>
      <c r="AH677">
        <v>4</v>
      </c>
      <c r="AI677">
        <v>7</v>
      </c>
      <c r="AJ677">
        <v>1</v>
      </c>
      <c r="AK677">
        <v>48</v>
      </c>
      <c r="AL677" t="s">
        <v>212</v>
      </c>
      <c r="AM677" t="s">
        <v>213</v>
      </c>
      <c r="AN677" t="s">
        <v>214</v>
      </c>
      <c r="AO677" t="s">
        <v>12211</v>
      </c>
      <c r="AP677" t="s">
        <v>12651</v>
      </c>
      <c r="AQ677" t="s">
        <v>74</v>
      </c>
      <c r="AR677" t="s">
        <v>12212</v>
      </c>
      <c r="AS677" t="s">
        <v>12213</v>
      </c>
      <c r="AT677" t="s">
        <v>11820</v>
      </c>
      <c r="AU677">
        <v>2013</v>
      </c>
      <c r="AV677">
        <v>58</v>
      </c>
      <c r="AW677">
        <v>10</v>
      </c>
      <c r="AX677" t="s">
        <v>74</v>
      </c>
      <c r="AY677" t="s">
        <v>74</v>
      </c>
      <c r="AZ677" t="s">
        <v>74</v>
      </c>
      <c r="BA677" t="s">
        <v>74</v>
      </c>
      <c r="BB677">
        <v>1095</v>
      </c>
      <c r="BC677">
        <v>1106</v>
      </c>
      <c r="BD677" t="s">
        <v>74</v>
      </c>
      <c r="BE677" t="s">
        <v>12652</v>
      </c>
      <c r="BF677" t="str">
        <f>HYPERLINK("http://dx.doi.org/10.1007/s11434-012-5543-y","http://dx.doi.org/10.1007/s11434-012-5543-y")</f>
        <v>http://dx.doi.org/10.1007/s11434-012-5543-y</v>
      </c>
      <c r="BG677" t="s">
        <v>74</v>
      </c>
      <c r="BH677" t="s">
        <v>74</v>
      </c>
      <c r="BI677">
        <v>12</v>
      </c>
      <c r="BJ677" t="s">
        <v>1880</v>
      </c>
      <c r="BK677" t="s">
        <v>102</v>
      </c>
      <c r="BL677" t="s">
        <v>1881</v>
      </c>
      <c r="BM677" t="s">
        <v>12653</v>
      </c>
      <c r="BN677" t="s">
        <v>74</v>
      </c>
      <c r="BO677" t="s">
        <v>104</v>
      </c>
      <c r="BP677" t="s">
        <v>74</v>
      </c>
      <c r="BQ677" t="s">
        <v>74</v>
      </c>
      <c r="BR677" t="s">
        <v>105</v>
      </c>
      <c r="BS677" t="s">
        <v>12654</v>
      </c>
      <c r="BT677" t="str">
        <f>HYPERLINK("https%3A%2F%2Fwww.webofscience.com%2Fwos%2Fwoscc%2Ffull-record%2FWOS:000316954900002","View Full Record in Web of Science")</f>
        <v>View Full Record in Web of Science</v>
      </c>
    </row>
    <row r="678" spans="1:72" x14ac:dyDescent="0.15">
      <c r="A678" t="s">
        <v>72</v>
      </c>
      <c r="B678" t="s">
        <v>12655</v>
      </c>
      <c r="C678" t="s">
        <v>74</v>
      </c>
      <c r="D678" t="s">
        <v>74</v>
      </c>
      <c r="E678" t="s">
        <v>74</v>
      </c>
      <c r="F678" t="s">
        <v>12656</v>
      </c>
      <c r="G678" t="s">
        <v>74</v>
      </c>
      <c r="H678" t="s">
        <v>74</v>
      </c>
      <c r="I678" t="s">
        <v>12657</v>
      </c>
      <c r="J678" t="s">
        <v>1207</v>
      </c>
      <c r="K678" t="s">
        <v>74</v>
      </c>
      <c r="L678" t="s">
        <v>74</v>
      </c>
      <c r="M678" t="s">
        <v>78</v>
      </c>
      <c r="N678" t="s">
        <v>79</v>
      </c>
      <c r="O678" t="s">
        <v>74</v>
      </c>
      <c r="P678" t="s">
        <v>74</v>
      </c>
      <c r="Q678" t="s">
        <v>74</v>
      </c>
      <c r="R678" t="s">
        <v>74</v>
      </c>
      <c r="S678" t="s">
        <v>74</v>
      </c>
      <c r="T678" t="s">
        <v>12658</v>
      </c>
      <c r="U678" t="s">
        <v>12659</v>
      </c>
      <c r="V678" t="s">
        <v>12660</v>
      </c>
      <c r="W678" t="s">
        <v>12661</v>
      </c>
      <c r="X678" t="s">
        <v>12662</v>
      </c>
      <c r="Y678" t="s">
        <v>12663</v>
      </c>
      <c r="Z678" t="s">
        <v>12664</v>
      </c>
      <c r="AA678" t="s">
        <v>12665</v>
      </c>
      <c r="AB678" t="s">
        <v>12666</v>
      </c>
      <c r="AC678" t="s">
        <v>12667</v>
      </c>
      <c r="AD678" t="s">
        <v>12668</v>
      </c>
      <c r="AE678" t="s">
        <v>12669</v>
      </c>
      <c r="AF678" t="s">
        <v>74</v>
      </c>
      <c r="AG678">
        <v>53</v>
      </c>
      <c r="AH678">
        <v>19</v>
      </c>
      <c r="AI678">
        <v>19</v>
      </c>
      <c r="AJ678">
        <v>0</v>
      </c>
      <c r="AK678">
        <v>23</v>
      </c>
      <c r="AL678" t="s">
        <v>529</v>
      </c>
      <c r="AM678" t="s">
        <v>391</v>
      </c>
      <c r="AN678" t="s">
        <v>1220</v>
      </c>
      <c r="AO678" t="s">
        <v>1221</v>
      </c>
      <c r="AP678" t="s">
        <v>1222</v>
      </c>
      <c r="AQ678" t="s">
        <v>74</v>
      </c>
      <c r="AR678" t="s">
        <v>1223</v>
      </c>
      <c r="AS678" t="s">
        <v>1224</v>
      </c>
      <c r="AT678" t="s">
        <v>11820</v>
      </c>
      <c r="AU678">
        <v>2013</v>
      </c>
      <c r="AV678">
        <v>40</v>
      </c>
      <c r="AW678" t="s">
        <v>3058</v>
      </c>
      <c r="AX678" t="s">
        <v>74</v>
      </c>
      <c r="AY678" t="s">
        <v>74</v>
      </c>
      <c r="AZ678" t="s">
        <v>74</v>
      </c>
      <c r="BA678" t="s">
        <v>74</v>
      </c>
      <c r="BB678">
        <v>2035</v>
      </c>
      <c r="BC678">
        <v>2048</v>
      </c>
      <c r="BD678" t="s">
        <v>74</v>
      </c>
      <c r="BE678" t="s">
        <v>12670</v>
      </c>
      <c r="BF678" t="str">
        <f>HYPERLINK("http://dx.doi.org/10.1007/s00382-012-1405-1","http://dx.doi.org/10.1007/s00382-012-1405-1")</f>
        <v>http://dx.doi.org/10.1007/s00382-012-1405-1</v>
      </c>
      <c r="BG678" t="s">
        <v>74</v>
      </c>
      <c r="BH678" t="s">
        <v>74</v>
      </c>
      <c r="BI678">
        <v>14</v>
      </c>
      <c r="BJ678" t="s">
        <v>305</v>
      </c>
      <c r="BK678" t="s">
        <v>102</v>
      </c>
      <c r="BL678" t="s">
        <v>305</v>
      </c>
      <c r="BM678" t="s">
        <v>12671</v>
      </c>
      <c r="BN678" t="s">
        <v>74</v>
      </c>
      <c r="BO678" t="s">
        <v>74</v>
      </c>
      <c r="BP678" t="s">
        <v>74</v>
      </c>
      <c r="BQ678" t="s">
        <v>74</v>
      </c>
      <c r="BR678" t="s">
        <v>105</v>
      </c>
      <c r="BS678" t="s">
        <v>12672</v>
      </c>
      <c r="BT678" t="str">
        <f>HYPERLINK("https%3A%2F%2Fwww.webofscience.com%2Fwos%2Fwoscc%2Ffull-record%2FWOS:000317075700029","View Full Record in Web of Science")</f>
        <v>View Full Record in Web of Science</v>
      </c>
    </row>
    <row r="679" spans="1:72" x14ac:dyDescent="0.15">
      <c r="A679" t="s">
        <v>72</v>
      </c>
      <c r="B679" t="s">
        <v>12673</v>
      </c>
      <c r="C679" t="s">
        <v>74</v>
      </c>
      <c r="D679" t="s">
        <v>74</v>
      </c>
      <c r="E679" t="s">
        <v>74</v>
      </c>
      <c r="F679" t="s">
        <v>12674</v>
      </c>
      <c r="G679" t="s">
        <v>74</v>
      </c>
      <c r="H679" t="s">
        <v>74</v>
      </c>
      <c r="I679" t="s">
        <v>12675</v>
      </c>
      <c r="J679" t="s">
        <v>6720</v>
      </c>
      <c r="K679" t="s">
        <v>74</v>
      </c>
      <c r="L679" t="s">
        <v>74</v>
      </c>
      <c r="M679" t="s">
        <v>78</v>
      </c>
      <c r="N679" t="s">
        <v>79</v>
      </c>
      <c r="O679" t="s">
        <v>74</v>
      </c>
      <c r="P679" t="s">
        <v>74</v>
      </c>
      <c r="Q679" t="s">
        <v>74</v>
      </c>
      <c r="R679" t="s">
        <v>74</v>
      </c>
      <c r="S679" t="s">
        <v>74</v>
      </c>
      <c r="T679" t="s">
        <v>12676</v>
      </c>
      <c r="U679" t="s">
        <v>12677</v>
      </c>
      <c r="V679" t="s">
        <v>12678</v>
      </c>
      <c r="W679" t="s">
        <v>12679</v>
      </c>
      <c r="X679" t="s">
        <v>9615</v>
      </c>
      <c r="Y679" t="s">
        <v>12680</v>
      </c>
      <c r="Z679" t="s">
        <v>12681</v>
      </c>
      <c r="AA679" t="s">
        <v>74</v>
      </c>
      <c r="AB679" t="s">
        <v>12682</v>
      </c>
      <c r="AC679" t="s">
        <v>12683</v>
      </c>
      <c r="AD679" t="s">
        <v>12684</v>
      </c>
      <c r="AE679" t="s">
        <v>12685</v>
      </c>
      <c r="AF679" t="s">
        <v>74</v>
      </c>
      <c r="AG679">
        <v>47</v>
      </c>
      <c r="AH679">
        <v>11</v>
      </c>
      <c r="AI679">
        <v>12</v>
      </c>
      <c r="AJ679">
        <v>1</v>
      </c>
      <c r="AK679">
        <v>18</v>
      </c>
      <c r="AL679" t="s">
        <v>1244</v>
      </c>
      <c r="AM679" t="s">
        <v>391</v>
      </c>
      <c r="AN679" t="s">
        <v>8959</v>
      </c>
      <c r="AO679" t="s">
        <v>6732</v>
      </c>
      <c r="AP679" t="s">
        <v>6733</v>
      </c>
      <c r="AQ679" t="s">
        <v>74</v>
      </c>
      <c r="AR679" t="s">
        <v>6734</v>
      </c>
      <c r="AS679" t="s">
        <v>6735</v>
      </c>
      <c r="AT679" t="s">
        <v>11820</v>
      </c>
      <c r="AU679">
        <v>2013</v>
      </c>
      <c r="AV679">
        <v>164</v>
      </c>
      <c r="AW679">
        <v>4</v>
      </c>
      <c r="AX679" t="s">
        <v>74</v>
      </c>
      <c r="AY679" t="s">
        <v>74</v>
      </c>
      <c r="AZ679" t="s">
        <v>74</v>
      </c>
      <c r="BA679" t="s">
        <v>74</v>
      </c>
      <c r="BB679">
        <v>605</v>
      </c>
      <c r="BC679">
        <v>611</v>
      </c>
      <c r="BD679" t="s">
        <v>74</v>
      </c>
      <c r="BE679" t="s">
        <v>12686</v>
      </c>
      <c r="BF679" t="str">
        <f>HYPERLINK("http://dx.doi.org/10.1016/j.cbpa.2013.01.013","http://dx.doi.org/10.1016/j.cbpa.2013.01.013")</f>
        <v>http://dx.doi.org/10.1016/j.cbpa.2013.01.013</v>
      </c>
      <c r="BG679" t="s">
        <v>74</v>
      </c>
      <c r="BH679" t="s">
        <v>74</v>
      </c>
      <c r="BI679">
        <v>7</v>
      </c>
      <c r="BJ679" t="s">
        <v>6737</v>
      </c>
      <c r="BK679" t="s">
        <v>102</v>
      </c>
      <c r="BL679" t="s">
        <v>6737</v>
      </c>
      <c r="BM679" t="s">
        <v>12687</v>
      </c>
      <c r="BN679">
        <v>23376123</v>
      </c>
      <c r="BO679" t="s">
        <v>426</v>
      </c>
      <c r="BP679" t="s">
        <v>74</v>
      </c>
      <c r="BQ679" t="s">
        <v>74</v>
      </c>
      <c r="BR679" t="s">
        <v>105</v>
      </c>
      <c r="BS679" t="s">
        <v>12688</v>
      </c>
      <c r="BT679" t="str">
        <f>HYPERLINK("https%3A%2F%2Fwww.webofscience.com%2Fwos%2Fwoscc%2Ffull-record%2FWOS:000316829200009","View Full Record in Web of Science")</f>
        <v>View Full Record in Web of Science</v>
      </c>
    </row>
    <row r="680" spans="1:72" x14ac:dyDescent="0.15">
      <c r="A680" t="s">
        <v>72</v>
      </c>
      <c r="B680" t="s">
        <v>12689</v>
      </c>
      <c r="C680" t="s">
        <v>74</v>
      </c>
      <c r="D680" t="s">
        <v>74</v>
      </c>
      <c r="E680" t="s">
        <v>74</v>
      </c>
      <c r="F680" t="s">
        <v>12690</v>
      </c>
      <c r="G680" t="s">
        <v>74</v>
      </c>
      <c r="H680" t="s">
        <v>74</v>
      </c>
      <c r="I680" t="s">
        <v>12691</v>
      </c>
      <c r="J680" t="s">
        <v>12692</v>
      </c>
      <c r="K680" t="s">
        <v>74</v>
      </c>
      <c r="L680" t="s">
        <v>74</v>
      </c>
      <c r="M680" t="s">
        <v>78</v>
      </c>
      <c r="N680" t="s">
        <v>79</v>
      </c>
      <c r="O680" t="s">
        <v>74</v>
      </c>
      <c r="P680" t="s">
        <v>74</v>
      </c>
      <c r="Q680" t="s">
        <v>74</v>
      </c>
      <c r="R680" t="s">
        <v>74</v>
      </c>
      <c r="S680" t="s">
        <v>74</v>
      </c>
      <c r="T680" t="s">
        <v>12693</v>
      </c>
      <c r="U680" t="s">
        <v>12694</v>
      </c>
      <c r="V680" t="s">
        <v>12695</v>
      </c>
      <c r="W680" t="s">
        <v>12696</v>
      </c>
      <c r="X680" t="s">
        <v>12697</v>
      </c>
      <c r="Y680" t="s">
        <v>12698</v>
      </c>
      <c r="Z680" t="s">
        <v>12699</v>
      </c>
      <c r="AA680" t="s">
        <v>12700</v>
      </c>
      <c r="AB680" t="s">
        <v>12701</v>
      </c>
      <c r="AC680" t="s">
        <v>12702</v>
      </c>
      <c r="AD680" t="s">
        <v>12703</v>
      </c>
      <c r="AE680" t="s">
        <v>12704</v>
      </c>
      <c r="AF680" t="s">
        <v>74</v>
      </c>
      <c r="AG680">
        <v>58</v>
      </c>
      <c r="AH680">
        <v>8</v>
      </c>
      <c r="AI680">
        <v>9</v>
      </c>
      <c r="AJ680">
        <v>3</v>
      </c>
      <c r="AK680">
        <v>50</v>
      </c>
      <c r="AL680" t="s">
        <v>1515</v>
      </c>
      <c r="AM680" t="s">
        <v>442</v>
      </c>
      <c r="AN680" t="s">
        <v>1516</v>
      </c>
      <c r="AO680" t="s">
        <v>12705</v>
      </c>
      <c r="AP680" t="s">
        <v>12706</v>
      </c>
      <c r="AQ680" t="s">
        <v>74</v>
      </c>
      <c r="AR680" t="s">
        <v>12707</v>
      </c>
      <c r="AS680" t="s">
        <v>12708</v>
      </c>
      <c r="AT680" t="s">
        <v>11820</v>
      </c>
      <c r="AU680">
        <v>2013</v>
      </c>
      <c r="AV680">
        <v>175</v>
      </c>
      <c r="AW680" t="s">
        <v>74</v>
      </c>
      <c r="AX680" t="s">
        <v>74</v>
      </c>
      <c r="AY680" t="s">
        <v>74</v>
      </c>
      <c r="AZ680" t="s">
        <v>74</v>
      </c>
      <c r="BA680" t="s">
        <v>74</v>
      </c>
      <c r="BB680">
        <v>92</v>
      </c>
      <c r="BC680">
        <v>99</v>
      </c>
      <c r="BD680" t="s">
        <v>74</v>
      </c>
      <c r="BE680" t="s">
        <v>12709</v>
      </c>
      <c r="BF680" t="str">
        <f>HYPERLINK("http://dx.doi.org/10.1016/j.envpol.2012.12.026","http://dx.doi.org/10.1016/j.envpol.2012.12.026")</f>
        <v>http://dx.doi.org/10.1016/j.envpol.2012.12.026</v>
      </c>
      <c r="BG680" t="s">
        <v>74</v>
      </c>
      <c r="BH680" t="s">
        <v>74</v>
      </c>
      <c r="BI680">
        <v>8</v>
      </c>
      <c r="BJ680" t="s">
        <v>512</v>
      </c>
      <c r="BK680" t="s">
        <v>102</v>
      </c>
      <c r="BL680" t="s">
        <v>262</v>
      </c>
      <c r="BM680" t="s">
        <v>12710</v>
      </c>
      <c r="BN680">
        <v>23354157</v>
      </c>
      <c r="BO680" t="s">
        <v>74</v>
      </c>
      <c r="BP680" t="s">
        <v>74</v>
      </c>
      <c r="BQ680" t="s">
        <v>74</v>
      </c>
      <c r="BR680" t="s">
        <v>105</v>
      </c>
      <c r="BS680" t="s">
        <v>12711</v>
      </c>
      <c r="BT680" t="str">
        <f>HYPERLINK("https%3A%2F%2Fwww.webofscience.com%2Fwos%2Fwoscc%2Ffull-record%2FWOS:000316517200013","View Full Record in Web of Science")</f>
        <v>View Full Record in Web of Science</v>
      </c>
    </row>
    <row r="681" spans="1:72" x14ac:dyDescent="0.15">
      <c r="A681" t="s">
        <v>72</v>
      </c>
      <c r="B681" t="s">
        <v>12712</v>
      </c>
      <c r="C681" t="s">
        <v>74</v>
      </c>
      <c r="D681" t="s">
        <v>74</v>
      </c>
      <c r="E681" t="s">
        <v>74</v>
      </c>
      <c r="F681" t="s">
        <v>12713</v>
      </c>
      <c r="G681" t="s">
        <v>74</v>
      </c>
      <c r="H681" t="s">
        <v>74</v>
      </c>
      <c r="I681" t="s">
        <v>12714</v>
      </c>
      <c r="J681" t="s">
        <v>12715</v>
      </c>
      <c r="K681" t="s">
        <v>74</v>
      </c>
      <c r="L681" t="s">
        <v>74</v>
      </c>
      <c r="M681" t="s">
        <v>12716</v>
      </c>
      <c r="N681" t="s">
        <v>7183</v>
      </c>
      <c r="O681" t="s">
        <v>74</v>
      </c>
      <c r="P681" t="s">
        <v>74</v>
      </c>
      <c r="Q681" t="s">
        <v>74</v>
      </c>
      <c r="R681" t="s">
        <v>74</v>
      </c>
      <c r="S681" t="s">
        <v>74</v>
      </c>
      <c r="T681" t="s">
        <v>74</v>
      </c>
      <c r="U681" t="s">
        <v>74</v>
      </c>
      <c r="V681" t="s">
        <v>74</v>
      </c>
      <c r="W681" t="s">
        <v>74</v>
      </c>
      <c r="X681" t="s">
        <v>74</v>
      </c>
      <c r="Y681" t="s">
        <v>74</v>
      </c>
      <c r="Z681" t="s">
        <v>74</v>
      </c>
      <c r="AA681" t="s">
        <v>74</v>
      </c>
      <c r="AB681" t="s">
        <v>74</v>
      </c>
      <c r="AC681" t="s">
        <v>74</v>
      </c>
      <c r="AD681" t="s">
        <v>74</v>
      </c>
      <c r="AE681" t="s">
        <v>74</v>
      </c>
      <c r="AF681" t="s">
        <v>74</v>
      </c>
      <c r="AG681">
        <v>1</v>
      </c>
      <c r="AH681">
        <v>0</v>
      </c>
      <c r="AI681">
        <v>0</v>
      </c>
      <c r="AJ681">
        <v>0</v>
      </c>
      <c r="AK681">
        <v>0</v>
      </c>
      <c r="AL681" t="s">
        <v>12717</v>
      </c>
      <c r="AM681" t="s">
        <v>12718</v>
      </c>
      <c r="AN681" t="s">
        <v>12719</v>
      </c>
      <c r="AO681" t="s">
        <v>12720</v>
      </c>
      <c r="AP681" t="s">
        <v>74</v>
      </c>
      <c r="AQ681" t="s">
        <v>74</v>
      </c>
      <c r="AR681" t="s">
        <v>12715</v>
      </c>
      <c r="AS681" t="s">
        <v>12721</v>
      </c>
      <c r="AT681" t="s">
        <v>11820</v>
      </c>
      <c r="AU681">
        <v>2013</v>
      </c>
      <c r="AV681" t="s">
        <v>74</v>
      </c>
      <c r="AW681">
        <v>796</v>
      </c>
      <c r="AX681" t="s">
        <v>74</v>
      </c>
      <c r="AY681" t="s">
        <v>74</v>
      </c>
      <c r="AZ681" t="s">
        <v>74</v>
      </c>
      <c r="BA681" t="s">
        <v>74</v>
      </c>
      <c r="BB681">
        <v>87</v>
      </c>
      <c r="BC681">
        <v>87</v>
      </c>
      <c r="BD681" t="s">
        <v>74</v>
      </c>
      <c r="BE681" t="s">
        <v>74</v>
      </c>
      <c r="BF681" t="s">
        <v>74</v>
      </c>
      <c r="BG681" t="s">
        <v>74</v>
      </c>
      <c r="BH681" t="s">
        <v>74</v>
      </c>
      <c r="BI681">
        <v>1</v>
      </c>
      <c r="BJ681" t="s">
        <v>7717</v>
      </c>
      <c r="BK681" t="s">
        <v>399</v>
      </c>
      <c r="BL681" t="s">
        <v>7717</v>
      </c>
      <c r="BM681" t="s">
        <v>12722</v>
      </c>
      <c r="BN681" t="s">
        <v>74</v>
      </c>
      <c r="BO681" t="s">
        <v>74</v>
      </c>
      <c r="BP681" t="s">
        <v>74</v>
      </c>
      <c r="BQ681" t="s">
        <v>74</v>
      </c>
      <c r="BR681" t="s">
        <v>105</v>
      </c>
      <c r="BS681" t="s">
        <v>12723</v>
      </c>
      <c r="BT681" t="str">
        <f>HYPERLINK("https%3A%2F%2Fwww.webofscience.com%2Fwos%2Fwoscc%2Ffull-record%2FWOS:000317030700038","View Full Record in Web of Science")</f>
        <v>View Full Record in Web of Science</v>
      </c>
    </row>
    <row r="682" spans="1:72" x14ac:dyDescent="0.15">
      <c r="A682" t="s">
        <v>72</v>
      </c>
      <c r="B682" t="s">
        <v>12724</v>
      </c>
      <c r="C682" t="s">
        <v>74</v>
      </c>
      <c r="D682" t="s">
        <v>74</v>
      </c>
      <c r="E682" t="s">
        <v>74</v>
      </c>
      <c r="F682" t="s">
        <v>12725</v>
      </c>
      <c r="G682" t="s">
        <v>74</v>
      </c>
      <c r="H682" t="s">
        <v>74</v>
      </c>
      <c r="I682" t="s">
        <v>12726</v>
      </c>
      <c r="J682" t="s">
        <v>12727</v>
      </c>
      <c r="K682" t="s">
        <v>74</v>
      </c>
      <c r="L682" t="s">
        <v>74</v>
      </c>
      <c r="M682" t="s">
        <v>78</v>
      </c>
      <c r="N682" t="s">
        <v>52</v>
      </c>
      <c r="O682" t="s">
        <v>12728</v>
      </c>
      <c r="P682" t="s">
        <v>12729</v>
      </c>
      <c r="Q682" t="s">
        <v>12730</v>
      </c>
      <c r="R682" t="s">
        <v>74</v>
      </c>
      <c r="S682" t="s">
        <v>74</v>
      </c>
      <c r="T682" t="s">
        <v>74</v>
      </c>
      <c r="U682" t="s">
        <v>74</v>
      </c>
      <c r="V682" t="s">
        <v>74</v>
      </c>
      <c r="W682" t="s">
        <v>12731</v>
      </c>
      <c r="X682" t="s">
        <v>12732</v>
      </c>
      <c r="Y682" t="s">
        <v>74</v>
      </c>
      <c r="Z682" t="s">
        <v>12733</v>
      </c>
      <c r="AA682" t="s">
        <v>74</v>
      </c>
      <c r="AB682" t="s">
        <v>74</v>
      </c>
      <c r="AC682" t="s">
        <v>74</v>
      </c>
      <c r="AD682" t="s">
        <v>74</v>
      </c>
      <c r="AE682" t="s">
        <v>74</v>
      </c>
      <c r="AF682" t="s">
        <v>74</v>
      </c>
      <c r="AG682">
        <v>0</v>
      </c>
      <c r="AH682">
        <v>0</v>
      </c>
      <c r="AI682">
        <v>0</v>
      </c>
      <c r="AJ682">
        <v>0</v>
      </c>
      <c r="AK682">
        <v>0</v>
      </c>
      <c r="AL682" t="s">
        <v>10251</v>
      </c>
      <c r="AM682" t="s">
        <v>10252</v>
      </c>
      <c r="AN682" t="s">
        <v>10253</v>
      </c>
      <c r="AO682" t="s">
        <v>12734</v>
      </c>
      <c r="AP682" t="s">
        <v>74</v>
      </c>
      <c r="AQ682" t="s">
        <v>74</v>
      </c>
      <c r="AR682" t="s">
        <v>12735</v>
      </c>
      <c r="AS682" t="s">
        <v>12736</v>
      </c>
      <c r="AT682" t="s">
        <v>11820</v>
      </c>
      <c r="AU682">
        <v>2013</v>
      </c>
      <c r="AV682">
        <v>53</v>
      </c>
      <c r="AW682" t="s">
        <v>74</v>
      </c>
      <c r="AX682" t="s">
        <v>74</v>
      </c>
      <c r="AY682">
        <v>1</v>
      </c>
      <c r="AZ682" t="s">
        <v>74</v>
      </c>
      <c r="BA682" t="s">
        <v>74</v>
      </c>
      <c r="BB682" t="s">
        <v>12737</v>
      </c>
      <c r="BC682" t="s">
        <v>12737</v>
      </c>
      <c r="BD682" t="s">
        <v>74</v>
      </c>
      <c r="BE682" t="s">
        <v>74</v>
      </c>
      <c r="BF682" t="s">
        <v>74</v>
      </c>
      <c r="BG682" t="s">
        <v>74</v>
      </c>
      <c r="BH682" t="s">
        <v>74</v>
      </c>
      <c r="BI682">
        <v>1</v>
      </c>
      <c r="BJ682" t="s">
        <v>2120</v>
      </c>
      <c r="BK682" t="s">
        <v>2934</v>
      </c>
      <c r="BL682" t="s">
        <v>2120</v>
      </c>
      <c r="BM682" t="s">
        <v>12738</v>
      </c>
      <c r="BN682" t="s">
        <v>74</v>
      </c>
      <c r="BO682" t="s">
        <v>74</v>
      </c>
      <c r="BP682" t="s">
        <v>74</v>
      </c>
      <c r="BQ682" t="s">
        <v>74</v>
      </c>
      <c r="BR682" t="s">
        <v>105</v>
      </c>
      <c r="BS682" t="s">
        <v>12739</v>
      </c>
      <c r="BT682" t="str">
        <f>HYPERLINK("https%3A%2F%2Fwww.webofscience.com%2Fwos%2Fwoscc%2Ffull-record%2FWOS:000316991400050","View Full Record in Web of Science")</f>
        <v>View Full Record in Web of Science</v>
      </c>
    </row>
    <row r="683" spans="1:72" x14ac:dyDescent="0.15">
      <c r="A683" t="s">
        <v>72</v>
      </c>
      <c r="B683" t="s">
        <v>12740</v>
      </c>
      <c r="C683" t="s">
        <v>74</v>
      </c>
      <c r="D683" t="s">
        <v>74</v>
      </c>
      <c r="E683" t="s">
        <v>74</v>
      </c>
      <c r="F683" t="s">
        <v>12741</v>
      </c>
      <c r="G683" t="s">
        <v>74</v>
      </c>
      <c r="H683" t="s">
        <v>74</v>
      </c>
      <c r="I683" t="s">
        <v>12742</v>
      </c>
      <c r="J683" t="s">
        <v>12727</v>
      </c>
      <c r="K683" t="s">
        <v>74</v>
      </c>
      <c r="L683" t="s">
        <v>74</v>
      </c>
      <c r="M683" t="s">
        <v>78</v>
      </c>
      <c r="N683" t="s">
        <v>52</v>
      </c>
      <c r="O683" t="s">
        <v>12728</v>
      </c>
      <c r="P683" t="s">
        <v>12729</v>
      </c>
      <c r="Q683" t="s">
        <v>12730</v>
      </c>
      <c r="R683" t="s">
        <v>74</v>
      </c>
      <c r="S683" t="s">
        <v>74</v>
      </c>
      <c r="T683" t="s">
        <v>74</v>
      </c>
      <c r="U683" t="s">
        <v>74</v>
      </c>
      <c r="V683" t="s">
        <v>74</v>
      </c>
      <c r="W683" t="s">
        <v>12743</v>
      </c>
      <c r="X683" t="s">
        <v>12744</v>
      </c>
      <c r="Y683" t="s">
        <v>74</v>
      </c>
      <c r="Z683" t="s">
        <v>12745</v>
      </c>
      <c r="AA683" t="s">
        <v>12746</v>
      </c>
      <c r="AB683" t="s">
        <v>74</v>
      </c>
      <c r="AC683" t="s">
        <v>12747</v>
      </c>
      <c r="AD683" t="s">
        <v>12748</v>
      </c>
      <c r="AE683" t="s">
        <v>74</v>
      </c>
      <c r="AF683" t="s">
        <v>74</v>
      </c>
      <c r="AG683">
        <v>0</v>
      </c>
      <c r="AH683">
        <v>0</v>
      </c>
      <c r="AI683">
        <v>0</v>
      </c>
      <c r="AJ683">
        <v>0</v>
      </c>
      <c r="AK683">
        <v>8</v>
      </c>
      <c r="AL683" t="s">
        <v>10251</v>
      </c>
      <c r="AM683" t="s">
        <v>10252</v>
      </c>
      <c r="AN683" t="s">
        <v>10253</v>
      </c>
      <c r="AO683" t="s">
        <v>12734</v>
      </c>
      <c r="AP683" t="s">
        <v>74</v>
      </c>
      <c r="AQ683" t="s">
        <v>74</v>
      </c>
      <c r="AR683" t="s">
        <v>12735</v>
      </c>
      <c r="AS683" t="s">
        <v>12736</v>
      </c>
      <c r="AT683" t="s">
        <v>11820</v>
      </c>
      <c r="AU683">
        <v>2013</v>
      </c>
      <c r="AV683">
        <v>53</v>
      </c>
      <c r="AW683" t="s">
        <v>74</v>
      </c>
      <c r="AX683" t="s">
        <v>74</v>
      </c>
      <c r="AY683">
        <v>1</v>
      </c>
      <c r="AZ683" t="s">
        <v>74</v>
      </c>
      <c r="BA683" t="s">
        <v>74</v>
      </c>
      <c r="BB683" t="s">
        <v>12749</v>
      </c>
      <c r="BC683" t="s">
        <v>12749</v>
      </c>
      <c r="BD683" t="s">
        <v>74</v>
      </c>
      <c r="BE683" t="s">
        <v>74</v>
      </c>
      <c r="BF683" t="s">
        <v>74</v>
      </c>
      <c r="BG683" t="s">
        <v>74</v>
      </c>
      <c r="BH683" t="s">
        <v>74</v>
      </c>
      <c r="BI683">
        <v>1</v>
      </c>
      <c r="BJ683" t="s">
        <v>2120</v>
      </c>
      <c r="BK683" t="s">
        <v>2934</v>
      </c>
      <c r="BL683" t="s">
        <v>2120</v>
      </c>
      <c r="BM683" t="s">
        <v>12738</v>
      </c>
      <c r="BN683" t="s">
        <v>74</v>
      </c>
      <c r="BO683" t="s">
        <v>74</v>
      </c>
      <c r="BP683" t="s">
        <v>74</v>
      </c>
      <c r="BQ683" t="s">
        <v>74</v>
      </c>
      <c r="BR683" t="s">
        <v>105</v>
      </c>
      <c r="BS683" t="s">
        <v>12750</v>
      </c>
      <c r="BT683" t="str">
        <f>HYPERLINK("https%3A%2F%2Fwww.webofscience.com%2Fwos%2Fwoscc%2Ffull-record%2FWOS:000316991400177","View Full Record in Web of Science")</f>
        <v>View Full Record in Web of Science</v>
      </c>
    </row>
    <row r="684" spans="1:72" x14ac:dyDescent="0.15">
      <c r="A684" t="s">
        <v>72</v>
      </c>
      <c r="B684" t="s">
        <v>12751</v>
      </c>
      <c r="C684" t="s">
        <v>74</v>
      </c>
      <c r="D684" t="s">
        <v>74</v>
      </c>
      <c r="E684" t="s">
        <v>74</v>
      </c>
      <c r="F684" t="s">
        <v>12752</v>
      </c>
      <c r="G684" t="s">
        <v>74</v>
      </c>
      <c r="H684" t="s">
        <v>74</v>
      </c>
      <c r="I684" t="s">
        <v>12753</v>
      </c>
      <c r="J684" t="s">
        <v>12727</v>
      </c>
      <c r="K684" t="s">
        <v>74</v>
      </c>
      <c r="L684" t="s">
        <v>74</v>
      </c>
      <c r="M684" t="s">
        <v>78</v>
      </c>
      <c r="N684" t="s">
        <v>52</v>
      </c>
      <c r="O684" t="s">
        <v>12728</v>
      </c>
      <c r="P684" t="s">
        <v>12729</v>
      </c>
      <c r="Q684" t="s">
        <v>12730</v>
      </c>
      <c r="R684" t="s">
        <v>74</v>
      </c>
      <c r="S684" t="s">
        <v>74</v>
      </c>
      <c r="T684" t="s">
        <v>74</v>
      </c>
      <c r="U684" t="s">
        <v>74</v>
      </c>
      <c r="V684" t="s">
        <v>74</v>
      </c>
      <c r="W684" t="s">
        <v>12754</v>
      </c>
      <c r="X684" t="s">
        <v>12755</v>
      </c>
      <c r="Y684" t="s">
        <v>74</v>
      </c>
      <c r="Z684" t="s">
        <v>12756</v>
      </c>
      <c r="AA684" t="s">
        <v>74</v>
      </c>
      <c r="AB684" t="s">
        <v>74</v>
      </c>
      <c r="AC684" t="s">
        <v>74</v>
      </c>
      <c r="AD684" t="s">
        <v>74</v>
      </c>
      <c r="AE684" t="s">
        <v>74</v>
      </c>
      <c r="AF684" t="s">
        <v>74</v>
      </c>
      <c r="AG684">
        <v>0</v>
      </c>
      <c r="AH684">
        <v>0</v>
      </c>
      <c r="AI684">
        <v>0</v>
      </c>
      <c r="AJ684">
        <v>0</v>
      </c>
      <c r="AK684">
        <v>2</v>
      </c>
      <c r="AL684" t="s">
        <v>10251</v>
      </c>
      <c r="AM684" t="s">
        <v>10252</v>
      </c>
      <c r="AN684" t="s">
        <v>10253</v>
      </c>
      <c r="AO684" t="s">
        <v>12734</v>
      </c>
      <c r="AP684" t="s">
        <v>74</v>
      </c>
      <c r="AQ684" t="s">
        <v>74</v>
      </c>
      <c r="AR684" t="s">
        <v>12735</v>
      </c>
      <c r="AS684" t="s">
        <v>12736</v>
      </c>
      <c r="AT684" t="s">
        <v>11820</v>
      </c>
      <c r="AU684">
        <v>2013</v>
      </c>
      <c r="AV684">
        <v>53</v>
      </c>
      <c r="AW684" t="s">
        <v>74</v>
      </c>
      <c r="AX684" t="s">
        <v>74</v>
      </c>
      <c r="AY684">
        <v>1</v>
      </c>
      <c r="AZ684" t="s">
        <v>74</v>
      </c>
      <c r="BA684" t="s">
        <v>74</v>
      </c>
      <c r="BB684" t="s">
        <v>12757</v>
      </c>
      <c r="BC684" t="s">
        <v>12757</v>
      </c>
      <c r="BD684" t="s">
        <v>74</v>
      </c>
      <c r="BE684" t="s">
        <v>74</v>
      </c>
      <c r="BF684" t="s">
        <v>74</v>
      </c>
      <c r="BG684" t="s">
        <v>74</v>
      </c>
      <c r="BH684" t="s">
        <v>74</v>
      </c>
      <c r="BI684">
        <v>1</v>
      </c>
      <c r="BJ684" t="s">
        <v>2120</v>
      </c>
      <c r="BK684" t="s">
        <v>2934</v>
      </c>
      <c r="BL684" t="s">
        <v>2120</v>
      </c>
      <c r="BM684" t="s">
        <v>12738</v>
      </c>
      <c r="BN684" t="s">
        <v>74</v>
      </c>
      <c r="BO684" t="s">
        <v>74</v>
      </c>
      <c r="BP684" t="s">
        <v>74</v>
      </c>
      <c r="BQ684" t="s">
        <v>74</v>
      </c>
      <c r="BR684" t="s">
        <v>105</v>
      </c>
      <c r="BS684" t="s">
        <v>12758</v>
      </c>
      <c r="BT684" t="str">
        <f>HYPERLINK("https%3A%2F%2Fwww.webofscience.com%2Fwos%2Fwoscc%2Ffull-record%2FWOS:000316991402167","View Full Record in Web of Science")</f>
        <v>View Full Record in Web of Science</v>
      </c>
    </row>
    <row r="685" spans="1:72" x14ac:dyDescent="0.15">
      <c r="A685" t="s">
        <v>72</v>
      </c>
      <c r="B685" t="s">
        <v>12759</v>
      </c>
      <c r="C685" t="s">
        <v>74</v>
      </c>
      <c r="D685" t="s">
        <v>74</v>
      </c>
      <c r="E685" t="s">
        <v>74</v>
      </c>
      <c r="F685" t="s">
        <v>12760</v>
      </c>
      <c r="G685" t="s">
        <v>74</v>
      </c>
      <c r="H685" t="s">
        <v>74</v>
      </c>
      <c r="I685" t="s">
        <v>12761</v>
      </c>
      <c r="J685" t="s">
        <v>12727</v>
      </c>
      <c r="K685" t="s">
        <v>74</v>
      </c>
      <c r="L685" t="s">
        <v>74</v>
      </c>
      <c r="M685" t="s">
        <v>78</v>
      </c>
      <c r="N685" t="s">
        <v>52</v>
      </c>
      <c r="O685" t="s">
        <v>12728</v>
      </c>
      <c r="P685" t="s">
        <v>12729</v>
      </c>
      <c r="Q685" t="s">
        <v>12730</v>
      </c>
      <c r="R685" t="s">
        <v>74</v>
      </c>
      <c r="S685" t="s">
        <v>74</v>
      </c>
      <c r="T685" t="s">
        <v>74</v>
      </c>
      <c r="U685" t="s">
        <v>74</v>
      </c>
      <c r="V685" t="s">
        <v>74</v>
      </c>
      <c r="W685" t="s">
        <v>12762</v>
      </c>
      <c r="X685" t="s">
        <v>8104</v>
      </c>
      <c r="Y685" t="s">
        <v>74</v>
      </c>
      <c r="Z685" t="s">
        <v>12763</v>
      </c>
      <c r="AA685" t="s">
        <v>74</v>
      </c>
      <c r="AB685" t="s">
        <v>74</v>
      </c>
      <c r="AC685" t="s">
        <v>74</v>
      </c>
      <c r="AD685" t="s">
        <v>74</v>
      </c>
      <c r="AE685" t="s">
        <v>74</v>
      </c>
      <c r="AF685" t="s">
        <v>74</v>
      </c>
      <c r="AG685">
        <v>0</v>
      </c>
      <c r="AH685">
        <v>0</v>
      </c>
      <c r="AI685">
        <v>0</v>
      </c>
      <c r="AJ685">
        <v>0</v>
      </c>
      <c r="AK685">
        <v>4</v>
      </c>
      <c r="AL685" t="s">
        <v>10251</v>
      </c>
      <c r="AM685" t="s">
        <v>10252</v>
      </c>
      <c r="AN685" t="s">
        <v>10253</v>
      </c>
      <c r="AO685" t="s">
        <v>12734</v>
      </c>
      <c r="AP685" t="s">
        <v>74</v>
      </c>
      <c r="AQ685" t="s">
        <v>74</v>
      </c>
      <c r="AR685" t="s">
        <v>12735</v>
      </c>
      <c r="AS685" t="s">
        <v>12736</v>
      </c>
      <c r="AT685" t="s">
        <v>11820</v>
      </c>
      <c r="AU685">
        <v>2013</v>
      </c>
      <c r="AV685">
        <v>53</v>
      </c>
      <c r="AW685" t="s">
        <v>74</v>
      </c>
      <c r="AX685" t="s">
        <v>74</v>
      </c>
      <c r="AY685">
        <v>1</v>
      </c>
      <c r="AZ685" t="s">
        <v>74</v>
      </c>
      <c r="BA685" t="s">
        <v>74</v>
      </c>
      <c r="BB685" t="s">
        <v>12764</v>
      </c>
      <c r="BC685" t="s">
        <v>12764</v>
      </c>
      <c r="BD685" t="s">
        <v>74</v>
      </c>
      <c r="BE685" t="s">
        <v>74</v>
      </c>
      <c r="BF685" t="s">
        <v>74</v>
      </c>
      <c r="BG685" t="s">
        <v>74</v>
      </c>
      <c r="BH685" t="s">
        <v>74</v>
      </c>
      <c r="BI685">
        <v>1</v>
      </c>
      <c r="BJ685" t="s">
        <v>2120</v>
      </c>
      <c r="BK685" t="s">
        <v>2934</v>
      </c>
      <c r="BL685" t="s">
        <v>2120</v>
      </c>
      <c r="BM685" t="s">
        <v>12738</v>
      </c>
      <c r="BN685" t="s">
        <v>74</v>
      </c>
      <c r="BO685" t="s">
        <v>74</v>
      </c>
      <c r="BP685" t="s">
        <v>74</v>
      </c>
      <c r="BQ685" t="s">
        <v>74</v>
      </c>
      <c r="BR685" t="s">
        <v>105</v>
      </c>
      <c r="BS685" t="s">
        <v>12765</v>
      </c>
      <c r="BT685" t="str">
        <f>HYPERLINK("https%3A%2F%2Fwww.webofscience.com%2Fwos%2Fwoscc%2Ffull-record%2FWOS:000316991402172","View Full Record in Web of Science")</f>
        <v>View Full Record in Web of Science</v>
      </c>
    </row>
    <row r="686" spans="1:72" x14ac:dyDescent="0.15">
      <c r="A686" t="s">
        <v>72</v>
      </c>
      <c r="B686" t="s">
        <v>12766</v>
      </c>
      <c r="C686" t="s">
        <v>74</v>
      </c>
      <c r="D686" t="s">
        <v>74</v>
      </c>
      <c r="E686" t="s">
        <v>74</v>
      </c>
      <c r="F686" t="s">
        <v>12767</v>
      </c>
      <c r="G686" t="s">
        <v>74</v>
      </c>
      <c r="H686" t="s">
        <v>74</v>
      </c>
      <c r="I686" t="s">
        <v>12768</v>
      </c>
      <c r="J686" t="s">
        <v>12727</v>
      </c>
      <c r="K686" t="s">
        <v>74</v>
      </c>
      <c r="L686" t="s">
        <v>74</v>
      </c>
      <c r="M686" t="s">
        <v>78</v>
      </c>
      <c r="N686" t="s">
        <v>52</v>
      </c>
      <c r="O686" t="s">
        <v>12728</v>
      </c>
      <c r="P686" t="s">
        <v>12729</v>
      </c>
      <c r="Q686" t="s">
        <v>12730</v>
      </c>
      <c r="R686" t="s">
        <v>74</v>
      </c>
      <c r="S686" t="s">
        <v>74</v>
      </c>
      <c r="T686" t="s">
        <v>74</v>
      </c>
      <c r="U686" t="s">
        <v>74</v>
      </c>
      <c r="V686" t="s">
        <v>74</v>
      </c>
      <c r="W686" t="s">
        <v>12769</v>
      </c>
      <c r="X686" t="s">
        <v>12770</v>
      </c>
      <c r="Y686" t="s">
        <v>74</v>
      </c>
      <c r="Z686" t="s">
        <v>12771</v>
      </c>
      <c r="AA686" t="s">
        <v>74</v>
      </c>
      <c r="AB686" t="s">
        <v>74</v>
      </c>
      <c r="AC686" t="s">
        <v>74</v>
      </c>
      <c r="AD686" t="s">
        <v>74</v>
      </c>
      <c r="AE686" t="s">
        <v>74</v>
      </c>
      <c r="AF686" t="s">
        <v>74</v>
      </c>
      <c r="AG686">
        <v>0</v>
      </c>
      <c r="AH686">
        <v>0</v>
      </c>
      <c r="AI686">
        <v>0</v>
      </c>
      <c r="AJ686">
        <v>0</v>
      </c>
      <c r="AK686">
        <v>0</v>
      </c>
      <c r="AL686" t="s">
        <v>10251</v>
      </c>
      <c r="AM686" t="s">
        <v>10252</v>
      </c>
      <c r="AN686" t="s">
        <v>10253</v>
      </c>
      <c r="AO686" t="s">
        <v>12734</v>
      </c>
      <c r="AP686" t="s">
        <v>74</v>
      </c>
      <c r="AQ686" t="s">
        <v>74</v>
      </c>
      <c r="AR686" t="s">
        <v>12735</v>
      </c>
      <c r="AS686" t="s">
        <v>12736</v>
      </c>
      <c r="AT686" t="s">
        <v>11820</v>
      </c>
      <c r="AU686">
        <v>2013</v>
      </c>
      <c r="AV686">
        <v>53</v>
      </c>
      <c r="AW686" t="s">
        <v>74</v>
      </c>
      <c r="AX686" t="s">
        <v>74</v>
      </c>
      <c r="AY686">
        <v>1</v>
      </c>
      <c r="AZ686" t="s">
        <v>74</v>
      </c>
      <c r="BA686" t="s">
        <v>74</v>
      </c>
      <c r="BB686" t="s">
        <v>12772</v>
      </c>
      <c r="BC686" t="s">
        <v>12772</v>
      </c>
      <c r="BD686" t="s">
        <v>74</v>
      </c>
      <c r="BE686" t="s">
        <v>74</v>
      </c>
      <c r="BF686" t="s">
        <v>74</v>
      </c>
      <c r="BG686" t="s">
        <v>74</v>
      </c>
      <c r="BH686" t="s">
        <v>74</v>
      </c>
      <c r="BI686">
        <v>1</v>
      </c>
      <c r="BJ686" t="s">
        <v>2120</v>
      </c>
      <c r="BK686" t="s">
        <v>2934</v>
      </c>
      <c r="BL686" t="s">
        <v>2120</v>
      </c>
      <c r="BM686" t="s">
        <v>12738</v>
      </c>
      <c r="BN686" t="s">
        <v>74</v>
      </c>
      <c r="BO686" t="s">
        <v>74</v>
      </c>
      <c r="BP686" t="s">
        <v>74</v>
      </c>
      <c r="BQ686" t="s">
        <v>74</v>
      </c>
      <c r="BR686" t="s">
        <v>105</v>
      </c>
      <c r="BS686" t="s">
        <v>12773</v>
      </c>
      <c r="BT686" t="str">
        <f>HYPERLINK("https%3A%2F%2Fwww.webofscience.com%2Fwos%2Fwoscc%2Ffull-record%2FWOS:000316991400246","View Full Record in Web of Science")</f>
        <v>View Full Record in Web of Science</v>
      </c>
    </row>
    <row r="687" spans="1:72" x14ac:dyDescent="0.15">
      <c r="A687" t="s">
        <v>72</v>
      </c>
      <c r="B687" t="s">
        <v>12774</v>
      </c>
      <c r="C687" t="s">
        <v>74</v>
      </c>
      <c r="D687" t="s">
        <v>74</v>
      </c>
      <c r="E687" t="s">
        <v>74</v>
      </c>
      <c r="F687" t="s">
        <v>12775</v>
      </c>
      <c r="G687" t="s">
        <v>74</v>
      </c>
      <c r="H687" t="s">
        <v>74</v>
      </c>
      <c r="I687" t="s">
        <v>12776</v>
      </c>
      <c r="J687" t="s">
        <v>12727</v>
      </c>
      <c r="K687" t="s">
        <v>74</v>
      </c>
      <c r="L687" t="s">
        <v>74</v>
      </c>
      <c r="M687" t="s">
        <v>78</v>
      </c>
      <c r="N687" t="s">
        <v>52</v>
      </c>
      <c r="O687" t="s">
        <v>12728</v>
      </c>
      <c r="P687" t="s">
        <v>12729</v>
      </c>
      <c r="Q687" t="s">
        <v>12730</v>
      </c>
      <c r="R687" t="s">
        <v>74</v>
      </c>
      <c r="S687" t="s">
        <v>74</v>
      </c>
      <c r="T687" t="s">
        <v>74</v>
      </c>
      <c r="U687" t="s">
        <v>74</v>
      </c>
      <c r="V687" t="s">
        <v>74</v>
      </c>
      <c r="W687" t="s">
        <v>12777</v>
      </c>
      <c r="X687" t="s">
        <v>12778</v>
      </c>
      <c r="Y687" t="s">
        <v>74</v>
      </c>
      <c r="Z687" t="s">
        <v>12779</v>
      </c>
      <c r="AA687" t="s">
        <v>74</v>
      </c>
      <c r="AB687" t="s">
        <v>74</v>
      </c>
      <c r="AC687" t="s">
        <v>74</v>
      </c>
      <c r="AD687" t="s">
        <v>74</v>
      </c>
      <c r="AE687" t="s">
        <v>74</v>
      </c>
      <c r="AF687" t="s">
        <v>74</v>
      </c>
      <c r="AG687">
        <v>0</v>
      </c>
      <c r="AH687">
        <v>0</v>
      </c>
      <c r="AI687">
        <v>0</v>
      </c>
      <c r="AJ687">
        <v>1</v>
      </c>
      <c r="AK687">
        <v>7</v>
      </c>
      <c r="AL687" t="s">
        <v>10251</v>
      </c>
      <c r="AM687" t="s">
        <v>10252</v>
      </c>
      <c r="AN687" t="s">
        <v>10253</v>
      </c>
      <c r="AO687" t="s">
        <v>12734</v>
      </c>
      <c r="AP687" t="s">
        <v>74</v>
      </c>
      <c r="AQ687" t="s">
        <v>74</v>
      </c>
      <c r="AR687" t="s">
        <v>12735</v>
      </c>
      <c r="AS687" t="s">
        <v>12736</v>
      </c>
      <c r="AT687" t="s">
        <v>11820</v>
      </c>
      <c r="AU687">
        <v>2013</v>
      </c>
      <c r="AV687">
        <v>53</v>
      </c>
      <c r="AW687" t="s">
        <v>74</v>
      </c>
      <c r="AX687" t="s">
        <v>74</v>
      </c>
      <c r="AY687">
        <v>1</v>
      </c>
      <c r="AZ687" t="s">
        <v>74</v>
      </c>
      <c r="BA687" t="s">
        <v>74</v>
      </c>
      <c r="BB687" t="s">
        <v>12780</v>
      </c>
      <c r="BC687" t="s">
        <v>12780</v>
      </c>
      <c r="BD687" t="s">
        <v>74</v>
      </c>
      <c r="BE687" t="s">
        <v>74</v>
      </c>
      <c r="BF687" t="s">
        <v>74</v>
      </c>
      <c r="BG687" t="s">
        <v>74</v>
      </c>
      <c r="BH687" t="s">
        <v>74</v>
      </c>
      <c r="BI687">
        <v>1</v>
      </c>
      <c r="BJ687" t="s">
        <v>2120</v>
      </c>
      <c r="BK687" t="s">
        <v>2934</v>
      </c>
      <c r="BL687" t="s">
        <v>2120</v>
      </c>
      <c r="BM687" t="s">
        <v>12738</v>
      </c>
      <c r="BN687" t="s">
        <v>74</v>
      </c>
      <c r="BO687" t="s">
        <v>74</v>
      </c>
      <c r="BP687" t="s">
        <v>74</v>
      </c>
      <c r="BQ687" t="s">
        <v>74</v>
      </c>
      <c r="BR687" t="s">
        <v>105</v>
      </c>
      <c r="BS687" t="s">
        <v>12781</v>
      </c>
      <c r="BT687" t="str">
        <f>HYPERLINK("https%3A%2F%2Fwww.webofscience.com%2Fwos%2Fwoscc%2Ffull-record%2FWOS:000316991402375","View Full Record in Web of Science")</f>
        <v>View Full Record in Web of Science</v>
      </c>
    </row>
    <row r="688" spans="1:72" x14ac:dyDescent="0.15">
      <c r="A688" t="s">
        <v>72</v>
      </c>
      <c r="B688" t="s">
        <v>12782</v>
      </c>
      <c r="C688" t="s">
        <v>74</v>
      </c>
      <c r="D688" t="s">
        <v>74</v>
      </c>
      <c r="E688" t="s">
        <v>74</v>
      </c>
      <c r="F688" t="s">
        <v>12783</v>
      </c>
      <c r="G688" t="s">
        <v>74</v>
      </c>
      <c r="H688" t="s">
        <v>74</v>
      </c>
      <c r="I688" t="s">
        <v>12784</v>
      </c>
      <c r="J688" t="s">
        <v>12727</v>
      </c>
      <c r="K688" t="s">
        <v>74</v>
      </c>
      <c r="L688" t="s">
        <v>74</v>
      </c>
      <c r="M688" t="s">
        <v>78</v>
      </c>
      <c r="N688" t="s">
        <v>52</v>
      </c>
      <c r="O688" t="s">
        <v>12728</v>
      </c>
      <c r="P688" t="s">
        <v>12729</v>
      </c>
      <c r="Q688" t="s">
        <v>12730</v>
      </c>
      <c r="R688" t="s">
        <v>74</v>
      </c>
      <c r="S688" t="s">
        <v>74</v>
      </c>
      <c r="T688" t="s">
        <v>74</v>
      </c>
      <c r="U688" t="s">
        <v>74</v>
      </c>
      <c r="V688" t="s">
        <v>74</v>
      </c>
      <c r="W688" t="s">
        <v>12785</v>
      </c>
      <c r="X688" t="s">
        <v>12786</v>
      </c>
      <c r="Y688" t="s">
        <v>74</v>
      </c>
      <c r="Z688" t="s">
        <v>12787</v>
      </c>
      <c r="AA688" t="s">
        <v>74</v>
      </c>
      <c r="AB688" t="s">
        <v>74</v>
      </c>
      <c r="AC688" t="s">
        <v>74</v>
      </c>
      <c r="AD688" t="s">
        <v>74</v>
      </c>
      <c r="AE688" t="s">
        <v>74</v>
      </c>
      <c r="AF688" t="s">
        <v>74</v>
      </c>
      <c r="AG688">
        <v>0</v>
      </c>
      <c r="AH688">
        <v>0</v>
      </c>
      <c r="AI688">
        <v>0</v>
      </c>
      <c r="AJ688">
        <v>0</v>
      </c>
      <c r="AK688">
        <v>0</v>
      </c>
      <c r="AL688" t="s">
        <v>10251</v>
      </c>
      <c r="AM688" t="s">
        <v>10252</v>
      </c>
      <c r="AN688" t="s">
        <v>10253</v>
      </c>
      <c r="AO688" t="s">
        <v>12734</v>
      </c>
      <c r="AP688" t="s">
        <v>74</v>
      </c>
      <c r="AQ688" t="s">
        <v>74</v>
      </c>
      <c r="AR688" t="s">
        <v>12735</v>
      </c>
      <c r="AS688" t="s">
        <v>12736</v>
      </c>
      <c r="AT688" t="s">
        <v>11820</v>
      </c>
      <c r="AU688">
        <v>2013</v>
      </c>
      <c r="AV688">
        <v>53</v>
      </c>
      <c r="AW688" t="s">
        <v>74</v>
      </c>
      <c r="AX688" t="s">
        <v>74</v>
      </c>
      <c r="AY688">
        <v>1</v>
      </c>
      <c r="AZ688" t="s">
        <v>74</v>
      </c>
      <c r="BA688" t="s">
        <v>74</v>
      </c>
      <c r="BB688" t="s">
        <v>12788</v>
      </c>
      <c r="BC688" t="s">
        <v>12788</v>
      </c>
      <c r="BD688" t="s">
        <v>74</v>
      </c>
      <c r="BE688" t="s">
        <v>74</v>
      </c>
      <c r="BF688" t="s">
        <v>74</v>
      </c>
      <c r="BG688" t="s">
        <v>74</v>
      </c>
      <c r="BH688" t="s">
        <v>74</v>
      </c>
      <c r="BI688">
        <v>1</v>
      </c>
      <c r="BJ688" t="s">
        <v>2120</v>
      </c>
      <c r="BK688" t="s">
        <v>2934</v>
      </c>
      <c r="BL688" t="s">
        <v>2120</v>
      </c>
      <c r="BM688" t="s">
        <v>12738</v>
      </c>
      <c r="BN688" t="s">
        <v>74</v>
      </c>
      <c r="BO688" t="s">
        <v>74</v>
      </c>
      <c r="BP688" t="s">
        <v>74</v>
      </c>
      <c r="BQ688" t="s">
        <v>74</v>
      </c>
      <c r="BR688" t="s">
        <v>105</v>
      </c>
      <c r="BS688" t="s">
        <v>12789</v>
      </c>
      <c r="BT688" t="str">
        <f>HYPERLINK("https%3A%2F%2Fwww.webofscience.com%2Fwos%2Fwoscc%2Ffull-record%2FWOS:000316991401125","View Full Record in Web of Science")</f>
        <v>View Full Record in Web of Science</v>
      </c>
    </row>
    <row r="689" spans="1:72" x14ac:dyDescent="0.15">
      <c r="A689" t="s">
        <v>72</v>
      </c>
      <c r="B689" t="s">
        <v>12790</v>
      </c>
      <c r="C689" t="s">
        <v>74</v>
      </c>
      <c r="D689" t="s">
        <v>74</v>
      </c>
      <c r="E689" t="s">
        <v>74</v>
      </c>
      <c r="F689" t="s">
        <v>12791</v>
      </c>
      <c r="G689" t="s">
        <v>74</v>
      </c>
      <c r="H689" t="s">
        <v>74</v>
      </c>
      <c r="I689" t="s">
        <v>12792</v>
      </c>
      <c r="J689" t="s">
        <v>12727</v>
      </c>
      <c r="K689" t="s">
        <v>74</v>
      </c>
      <c r="L689" t="s">
        <v>74</v>
      </c>
      <c r="M689" t="s">
        <v>78</v>
      </c>
      <c r="N689" t="s">
        <v>52</v>
      </c>
      <c r="O689" t="s">
        <v>12728</v>
      </c>
      <c r="P689" t="s">
        <v>12729</v>
      </c>
      <c r="Q689" t="s">
        <v>12730</v>
      </c>
      <c r="R689" t="s">
        <v>74</v>
      </c>
      <c r="S689" t="s">
        <v>74</v>
      </c>
      <c r="T689" t="s">
        <v>74</v>
      </c>
      <c r="U689" t="s">
        <v>74</v>
      </c>
      <c r="V689" t="s">
        <v>74</v>
      </c>
      <c r="W689" t="s">
        <v>12793</v>
      </c>
      <c r="X689" t="s">
        <v>3027</v>
      </c>
      <c r="Y689" t="s">
        <v>74</v>
      </c>
      <c r="Z689" t="s">
        <v>12794</v>
      </c>
      <c r="AA689" t="s">
        <v>3029</v>
      </c>
      <c r="AB689" t="s">
        <v>74</v>
      </c>
      <c r="AC689" t="s">
        <v>74</v>
      </c>
      <c r="AD689" t="s">
        <v>74</v>
      </c>
      <c r="AE689" t="s">
        <v>74</v>
      </c>
      <c r="AF689" t="s">
        <v>74</v>
      </c>
      <c r="AG689">
        <v>0</v>
      </c>
      <c r="AH689">
        <v>0</v>
      </c>
      <c r="AI689">
        <v>0</v>
      </c>
      <c r="AJ689">
        <v>0</v>
      </c>
      <c r="AK689">
        <v>16</v>
      </c>
      <c r="AL689" t="s">
        <v>10251</v>
      </c>
      <c r="AM689" t="s">
        <v>10252</v>
      </c>
      <c r="AN689" t="s">
        <v>10253</v>
      </c>
      <c r="AO689" t="s">
        <v>12734</v>
      </c>
      <c r="AP689" t="s">
        <v>74</v>
      </c>
      <c r="AQ689" t="s">
        <v>74</v>
      </c>
      <c r="AR689" t="s">
        <v>12735</v>
      </c>
      <c r="AS689" t="s">
        <v>12736</v>
      </c>
      <c r="AT689" t="s">
        <v>11820</v>
      </c>
      <c r="AU689">
        <v>2013</v>
      </c>
      <c r="AV689">
        <v>53</v>
      </c>
      <c r="AW689" t="s">
        <v>74</v>
      </c>
      <c r="AX689" t="s">
        <v>74</v>
      </c>
      <c r="AY689">
        <v>1</v>
      </c>
      <c r="AZ689" t="s">
        <v>74</v>
      </c>
      <c r="BA689" t="s">
        <v>74</v>
      </c>
      <c r="BB689" t="s">
        <v>12795</v>
      </c>
      <c r="BC689" t="s">
        <v>12795</v>
      </c>
      <c r="BD689" t="s">
        <v>74</v>
      </c>
      <c r="BE689" t="s">
        <v>74</v>
      </c>
      <c r="BF689" t="s">
        <v>74</v>
      </c>
      <c r="BG689" t="s">
        <v>74</v>
      </c>
      <c r="BH689" t="s">
        <v>74</v>
      </c>
      <c r="BI689">
        <v>1</v>
      </c>
      <c r="BJ689" t="s">
        <v>2120</v>
      </c>
      <c r="BK689" t="s">
        <v>2934</v>
      </c>
      <c r="BL689" t="s">
        <v>2120</v>
      </c>
      <c r="BM689" t="s">
        <v>12738</v>
      </c>
      <c r="BN689" t="s">
        <v>74</v>
      </c>
      <c r="BO689" t="s">
        <v>74</v>
      </c>
      <c r="BP689" t="s">
        <v>74</v>
      </c>
      <c r="BQ689" t="s">
        <v>74</v>
      </c>
      <c r="BR689" t="s">
        <v>105</v>
      </c>
      <c r="BS689" t="s">
        <v>12796</v>
      </c>
      <c r="BT689" t="str">
        <f>HYPERLINK("https%3A%2F%2Fwww.webofscience.com%2Fwos%2Fwoscc%2Ffull-record%2FWOS:000316991402525","View Full Record in Web of Science")</f>
        <v>View Full Record in Web of Science</v>
      </c>
    </row>
    <row r="690" spans="1:72" x14ac:dyDescent="0.15">
      <c r="A690" t="s">
        <v>72</v>
      </c>
      <c r="B690" t="s">
        <v>12797</v>
      </c>
      <c r="C690" t="s">
        <v>74</v>
      </c>
      <c r="D690" t="s">
        <v>74</v>
      </c>
      <c r="E690" t="s">
        <v>74</v>
      </c>
      <c r="F690" t="s">
        <v>12798</v>
      </c>
      <c r="G690" t="s">
        <v>74</v>
      </c>
      <c r="H690" t="s">
        <v>74</v>
      </c>
      <c r="I690" t="s">
        <v>12799</v>
      </c>
      <c r="J690" t="s">
        <v>12727</v>
      </c>
      <c r="K690" t="s">
        <v>74</v>
      </c>
      <c r="L690" t="s">
        <v>74</v>
      </c>
      <c r="M690" t="s">
        <v>78</v>
      </c>
      <c r="N690" t="s">
        <v>52</v>
      </c>
      <c r="O690" t="s">
        <v>12728</v>
      </c>
      <c r="P690" t="s">
        <v>12729</v>
      </c>
      <c r="Q690" t="s">
        <v>12730</v>
      </c>
      <c r="R690" t="s">
        <v>74</v>
      </c>
      <c r="S690" t="s">
        <v>74</v>
      </c>
      <c r="T690" t="s">
        <v>74</v>
      </c>
      <c r="U690" t="s">
        <v>74</v>
      </c>
      <c r="V690" t="s">
        <v>74</v>
      </c>
      <c r="W690" t="s">
        <v>12800</v>
      </c>
      <c r="X690" t="s">
        <v>12801</v>
      </c>
      <c r="Y690" t="s">
        <v>74</v>
      </c>
      <c r="Z690" t="s">
        <v>12802</v>
      </c>
      <c r="AA690" t="s">
        <v>12803</v>
      </c>
      <c r="AB690" t="s">
        <v>12804</v>
      </c>
      <c r="AC690" t="s">
        <v>74</v>
      </c>
      <c r="AD690" t="s">
        <v>74</v>
      </c>
      <c r="AE690" t="s">
        <v>74</v>
      </c>
      <c r="AF690" t="s">
        <v>74</v>
      </c>
      <c r="AG690">
        <v>0</v>
      </c>
      <c r="AH690">
        <v>3</v>
      </c>
      <c r="AI690">
        <v>3</v>
      </c>
      <c r="AJ690">
        <v>0</v>
      </c>
      <c r="AK690">
        <v>39</v>
      </c>
      <c r="AL690" t="s">
        <v>10251</v>
      </c>
      <c r="AM690" t="s">
        <v>10252</v>
      </c>
      <c r="AN690" t="s">
        <v>10253</v>
      </c>
      <c r="AO690" t="s">
        <v>12734</v>
      </c>
      <c r="AP690" t="s">
        <v>74</v>
      </c>
      <c r="AQ690" t="s">
        <v>74</v>
      </c>
      <c r="AR690" t="s">
        <v>12735</v>
      </c>
      <c r="AS690" t="s">
        <v>12736</v>
      </c>
      <c r="AT690" t="s">
        <v>11820</v>
      </c>
      <c r="AU690">
        <v>2013</v>
      </c>
      <c r="AV690">
        <v>53</v>
      </c>
      <c r="AW690" t="s">
        <v>74</v>
      </c>
      <c r="AX690" t="s">
        <v>74</v>
      </c>
      <c r="AY690">
        <v>1</v>
      </c>
      <c r="AZ690" t="s">
        <v>74</v>
      </c>
      <c r="BA690" t="s">
        <v>74</v>
      </c>
      <c r="BB690" t="s">
        <v>12805</v>
      </c>
      <c r="BC690" t="s">
        <v>12805</v>
      </c>
      <c r="BD690" t="s">
        <v>74</v>
      </c>
      <c r="BE690" t="s">
        <v>74</v>
      </c>
      <c r="BF690" t="s">
        <v>74</v>
      </c>
      <c r="BG690" t="s">
        <v>74</v>
      </c>
      <c r="BH690" t="s">
        <v>74</v>
      </c>
      <c r="BI690">
        <v>1</v>
      </c>
      <c r="BJ690" t="s">
        <v>2120</v>
      </c>
      <c r="BK690" t="s">
        <v>2934</v>
      </c>
      <c r="BL690" t="s">
        <v>2120</v>
      </c>
      <c r="BM690" t="s">
        <v>12738</v>
      </c>
      <c r="BN690" t="s">
        <v>74</v>
      </c>
      <c r="BO690" t="s">
        <v>74</v>
      </c>
      <c r="BP690" t="s">
        <v>74</v>
      </c>
      <c r="BQ690" t="s">
        <v>74</v>
      </c>
      <c r="BR690" t="s">
        <v>105</v>
      </c>
      <c r="BS690" t="s">
        <v>12806</v>
      </c>
      <c r="BT690" t="str">
        <f>HYPERLINK("https%3A%2F%2Fwww.webofscience.com%2Fwos%2Fwoscc%2Ffull-record%2FWOS:000316991401375","View Full Record in Web of Science")</f>
        <v>View Full Record in Web of Science</v>
      </c>
    </row>
    <row r="691" spans="1:72" x14ac:dyDescent="0.15">
      <c r="A691" t="s">
        <v>72</v>
      </c>
      <c r="B691" t="s">
        <v>12807</v>
      </c>
      <c r="C691" t="s">
        <v>74</v>
      </c>
      <c r="D691" t="s">
        <v>74</v>
      </c>
      <c r="E691" t="s">
        <v>74</v>
      </c>
      <c r="F691" t="s">
        <v>12808</v>
      </c>
      <c r="G691" t="s">
        <v>74</v>
      </c>
      <c r="H691" t="s">
        <v>74</v>
      </c>
      <c r="I691" t="s">
        <v>12809</v>
      </c>
      <c r="J691" t="s">
        <v>3712</v>
      </c>
      <c r="K691" t="s">
        <v>74</v>
      </c>
      <c r="L691" t="s">
        <v>74</v>
      </c>
      <c r="M691" t="s">
        <v>78</v>
      </c>
      <c r="N691" t="s">
        <v>79</v>
      </c>
      <c r="O691" t="s">
        <v>74</v>
      </c>
      <c r="P691" t="s">
        <v>74</v>
      </c>
      <c r="Q691" t="s">
        <v>74</v>
      </c>
      <c r="R691" t="s">
        <v>74</v>
      </c>
      <c r="S691" t="s">
        <v>74</v>
      </c>
      <c r="T691" t="s">
        <v>74</v>
      </c>
      <c r="U691" t="s">
        <v>12810</v>
      </c>
      <c r="V691" t="s">
        <v>12811</v>
      </c>
      <c r="W691" t="s">
        <v>12812</v>
      </c>
      <c r="X691" t="s">
        <v>12813</v>
      </c>
      <c r="Y691" t="s">
        <v>12814</v>
      </c>
      <c r="Z691" t="s">
        <v>12815</v>
      </c>
      <c r="AA691" t="s">
        <v>12816</v>
      </c>
      <c r="AB691" t="s">
        <v>12817</v>
      </c>
      <c r="AC691" t="s">
        <v>12818</v>
      </c>
      <c r="AD691" t="s">
        <v>12819</v>
      </c>
      <c r="AE691" t="s">
        <v>12820</v>
      </c>
      <c r="AF691" t="s">
        <v>74</v>
      </c>
      <c r="AG691">
        <v>45</v>
      </c>
      <c r="AH691">
        <v>5</v>
      </c>
      <c r="AI691">
        <v>5</v>
      </c>
      <c r="AJ691">
        <v>0</v>
      </c>
      <c r="AK691">
        <v>20</v>
      </c>
      <c r="AL691" t="s">
        <v>3724</v>
      </c>
      <c r="AM691" t="s">
        <v>3725</v>
      </c>
      <c r="AN691" t="s">
        <v>3726</v>
      </c>
      <c r="AO691" t="s">
        <v>3727</v>
      </c>
      <c r="AP691" t="s">
        <v>3728</v>
      </c>
      <c r="AQ691" t="s">
        <v>74</v>
      </c>
      <c r="AR691" t="s">
        <v>3729</v>
      </c>
      <c r="AS691" t="s">
        <v>3730</v>
      </c>
      <c r="AT691" t="s">
        <v>11820</v>
      </c>
      <c r="AU691">
        <v>2013</v>
      </c>
      <c r="AV691">
        <v>160</v>
      </c>
      <c r="AW691">
        <v>4</v>
      </c>
      <c r="AX691" t="s">
        <v>74</v>
      </c>
      <c r="AY691" t="s">
        <v>74</v>
      </c>
      <c r="AZ691" t="s">
        <v>74</v>
      </c>
      <c r="BA691" t="s">
        <v>74</v>
      </c>
      <c r="BB691">
        <v>821</v>
      </c>
      <c r="BC691">
        <v>841</v>
      </c>
      <c r="BD691" t="s">
        <v>74</v>
      </c>
      <c r="BE691" t="s">
        <v>12821</v>
      </c>
      <c r="BF691" t="str">
        <f>HYPERLINK("http://dx.doi.org/10.1007/s00227-012-2136-x","http://dx.doi.org/10.1007/s00227-012-2136-x")</f>
        <v>http://dx.doi.org/10.1007/s00227-012-2136-x</v>
      </c>
      <c r="BG691" t="s">
        <v>74</v>
      </c>
      <c r="BH691" t="s">
        <v>74</v>
      </c>
      <c r="BI691">
        <v>21</v>
      </c>
      <c r="BJ691" t="s">
        <v>1809</v>
      </c>
      <c r="BK691" t="s">
        <v>102</v>
      </c>
      <c r="BL691" t="s">
        <v>1809</v>
      </c>
      <c r="BM691" t="s">
        <v>12822</v>
      </c>
      <c r="BN691" t="s">
        <v>74</v>
      </c>
      <c r="BO691" t="s">
        <v>74</v>
      </c>
      <c r="BP691" t="s">
        <v>74</v>
      </c>
      <c r="BQ691" t="s">
        <v>74</v>
      </c>
      <c r="BR691" t="s">
        <v>105</v>
      </c>
      <c r="BS691" t="s">
        <v>12823</v>
      </c>
      <c r="BT691" t="str">
        <f>HYPERLINK("https%3A%2F%2Fwww.webofscience.com%2Fwos%2Fwoscc%2Ffull-record%2FWOS:000316678700008","View Full Record in Web of Science")</f>
        <v>View Full Record in Web of Science</v>
      </c>
    </row>
    <row r="692" spans="1:72" x14ac:dyDescent="0.15">
      <c r="A692" t="s">
        <v>72</v>
      </c>
      <c r="B692" t="s">
        <v>12824</v>
      </c>
      <c r="C692" t="s">
        <v>74</v>
      </c>
      <c r="D692" t="s">
        <v>74</v>
      </c>
      <c r="E692" t="s">
        <v>74</v>
      </c>
      <c r="F692" t="s">
        <v>12825</v>
      </c>
      <c r="G692" t="s">
        <v>74</v>
      </c>
      <c r="H692" t="s">
        <v>74</v>
      </c>
      <c r="I692" t="s">
        <v>12826</v>
      </c>
      <c r="J692" t="s">
        <v>3712</v>
      </c>
      <c r="K692" t="s">
        <v>74</v>
      </c>
      <c r="L692" t="s">
        <v>74</v>
      </c>
      <c r="M692" t="s">
        <v>78</v>
      </c>
      <c r="N692" t="s">
        <v>79</v>
      </c>
      <c r="O692" t="s">
        <v>74</v>
      </c>
      <c r="P692" t="s">
        <v>74</v>
      </c>
      <c r="Q692" t="s">
        <v>74</v>
      </c>
      <c r="R692" t="s">
        <v>74</v>
      </c>
      <c r="S692" t="s">
        <v>74</v>
      </c>
      <c r="T692" t="s">
        <v>74</v>
      </c>
      <c r="U692" t="s">
        <v>12827</v>
      </c>
      <c r="V692" t="s">
        <v>12828</v>
      </c>
      <c r="W692" t="s">
        <v>12829</v>
      </c>
      <c r="X692" t="s">
        <v>12830</v>
      </c>
      <c r="Y692" t="s">
        <v>12831</v>
      </c>
      <c r="Z692" t="s">
        <v>12832</v>
      </c>
      <c r="AA692" t="s">
        <v>12833</v>
      </c>
      <c r="AB692" t="s">
        <v>12834</v>
      </c>
      <c r="AC692" t="s">
        <v>12835</v>
      </c>
      <c r="AD692" t="s">
        <v>12836</v>
      </c>
      <c r="AE692" t="s">
        <v>12837</v>
      </c>
      <c r="AF692" t="s">
        <v>74</v>
      </c>
      <c r="AG692">
        <v>37</v>
      </c>
      <c r="AH692">
        <v>11</v>
      </c>
      <c r="AI692">
        <v>11</v>
      </c>
      <c r="AJ692">
        <v>0</v>
      </c>
      <c r="AK692">
        <v>49</v>
      </c>
      <c r="AL692" t="s">
        <v>3724</v>
      </c>
      <c r="AM692" t="s">
        <v>3725</v>
      </c>
      <c r="AN692" t="s">
        <v>3726</v>
      </c>
      <c r="AO692" t="s">
        <v>3727</v>
      </c>
      <c r="AP692" t="s">
        <v>3728</v>
      </c>
      <c r="AQ692" t="s">
        <v>74</v>
      </c>
      <c r="AR692" t="s">
        <v>3729</v>
      </c>
      <c r="AS692" t="s">
        <v>3730</v>
      </c>
      <c r="AT692" t="s">
        <v>11820</v>
      </c>
      <c r="AU692">
        <v>2013</v>
      </c>
      <c r="AV692">
        <v>160</v>
      </c>
      <c r="AW692">
        <v>4</v>
      </c>
      <c r="AX692" t="s">
        <v>74</v>
      </c>
      <c r="AY692" t="s">
        <v>74</v>
      </c>
      <c r="AZ692" t="s">
        <v>74</v>
      </c>
      <c r="BA692" t="s">
        <v>74</v>
      </c>
      <c r="BB692">
        <v>877</v>
      </c>
      <c r="BC692">
        <v>887</v>
      </c>
      <c r="BD692" t="s">
        <v>74</v>
      </c>
      <c r="BE692" t="s">
        <v>12838</v>
      </c>
      <c r="BF692" t="str">
        <f>HYPERLINK("http://dx.doi.org/10.1007/s00227-012-2141-0","http://dx.doi.org/10.1007/s00227-012-2141-0")</f>
        <v>http://dx.doi.org/10.1007/s00227-012-2141-0</v>
      </c>
      <c r="BG692" t="s">
        <v>74</v>
      </c>
      <c r="BH692" t="s">
        <v>74</v>
      </c>
      <c r="BI692">
        <v>11</v>
      </c>
      <c r="BJ692" t="s">
        <v>1809</v>
      </c>
      <c r="BK692" t="s">
        <v>102</v>
      </c>
      <c r="BL692" t="s">
        <v>1809</v>
      </c>
      <c r="BM692" t="s">
        <v>12822</v>
      </c>
      <c r="BN692" t="s">
        <v>74</v>
      </c>
      <c r="BO692" t="s">
        <v>74</v>
      </c>
      <c r="BP692" t="s">
        <v>74</v>
      </c>
      <c r="BQ692" t="s">
        <v>74</v>
      </c>
      <c r="BR692" t="s">
        <v>105</v>
      </c>
      <c r="BS692" t="s">
        <v>12839</v>
      </c>
      <c r="BT692" t="str">
        <f>HYPERLINK("https%3A%2F%2Fwww.webofscience.com%2Fwos%2Fwoscc%2Ffull-record%2FWOS:000316678700012","View Full Record in Web of Science")</f>
        <v>View Full Record in Web of Science</v>
      </c>
    </row>
    <row r="693" spans="1:72" x14ac:dyDescent="0.15">
      <c r="A693" t="s">
        <v>72</v>
      </c>
      <c r="B693" t="s">
        <v>12840</v>
      </c>
      <c r="C693" t="s">
        <v>74</v>
      </c>
      <c r="D693" t="s">
        <v>74</v>
      </c>
      <c r="E693" t="s">
        <v>74</v>
      </c>
      <c r="F693" t="s">
        <v>12841</v>
      </c>
      <c r="G693" t="s">
        <v>74</v>
      </c>
      <c r="H693" t="s">
        <v>74</v>
      </c>
      <c r="I693" t="s">
        <v>12842</v>
      </c>
      <c r="J693" t="s">
        <v>3712</v>
      </c>
      <c r="K693" t="s">
        <v>74</v>
      </c>
      <c r="L693" t="s">
        <v>74</v>
      </c>
      <c r="M693" t="s">
        <v>78</v>
      </c>
      <c r="N693" t="s">
        <v>79</v>
      </c>
      <c r="O693" t="s">
        <v>74</v>
      </c>
      <c r="P693" t="s">
        <v>74</v>
      </c>
      <c r="Q693" t="s">
        <v>74</v>
      </c>
      <c r="R693" t="s">
        <v>74</v>
      </c>
      <c r="S693" t="s">
        <v>74</v>
      </c>
      <c r="T693" t="s">
        <v>74</v>
      </c>
      <c r="U693" t="s">
        <v>12843</v>
      </c>
      <c r="V693" t="s">
        <v>12844</v>
      </c>
      <c r="W693" t="s">
        <v>12845</v>
      </c>
      <c r="X693" t="s">
        <v>12846</v>
      </c>
      <c r="Y693" t="s">
        <v>12847</v>
      </c>
      <c r="Z693" t="s">
        <v>12848</v>
      </c>
      <c r="AA693" t="s">
        <v>12849</v>
      </c>
      <c r="AB693" t="s">
        <v>12850</v>
      </c>
      <c r="AC693" t="s">
        <v>12851</v>
      </c>
      <c r="AD693" t="s">
        <v>12852</v>
      </c>
      <c r="AE693" t="s">
        <v>12853</v>
      </c>
      <c r="AF693" t="s">
        <v>74</v>
      </c>
      <c r="AG693">
        <v>49</v>
      </c>
      <c r="AH693">
        <v>23</v>
      </c>
      <c r="AI693">
        <v>24</v>
      </c>
      <c r="AJ693">
        <v>0</v>
      </c>
      <c r="AK693">
        <v>45</v>
      </c>
      <c r="AL693" t="s">
        <v>3724</v>
      </c>
      <c r="AM693" t="s">
        <v>3725</v>
      </c>
      <c r="AN693" t="s">
        <v>3726</v>
      </c>
      <c r="AO693" t="s">
        <v>3727</v>
      </c>
      <c r="AP693" t="s">
        <v>3728</v>
      </c>
      <c r="AQ693" t="s">
        <v>74</v>
      </c>
      <c r="AR693" t="s">
        <v>3729</v>
      </c>
      <c r="AS693" t="s">
        <v>3730</v>
      </c>
      <c r="AT693" t="s">
        <v>11820</v>
      </c>
      <c r="AU693">
        <v>2013</v>
      </c>
      <c r="AV693">
        <v>160</v>
      </c>
      <c r="AW693">
        <v>4</v>
      </c>
      <c r="AX693" t="s">
        <v>74</v>
      </c>
      <c r="AY693" t="s">
        <v>74</v>
      </c>
      <c r="AZ693" t="s">
        <v>74</v>
      </c>
      <c r="BA693" t="s">
        <v>74</v>
      </c>
      <c r="BB693">
        <v>977</v>
      </c>
      <c r="BC693">
        <v>986</v>
      </c>
      <c r="BD693" t="s">
        <v>74</v>
      </c>
      <c r="BE693" t="s">
        <v>12854</v>
      </c>
      <c r="BF693" t="str">
        <f>HYPERLINK("http://dx.doi.org/10.1007/s00227-012-2149-5","http://dx.doi.org/10.1007/s00227-012-2149-5")</f>
        <v>http://dx.doi.org/10.1007/s00227-012-2149-5</v>
      </c>
      <c r="BG693" t="s">
        <v>74</v>
      </c>
      <c r="BH693" t="s">
        <v>74</v>
      </c>
      <c r="BI693">
        <v>10</v>
      </c>
      <c r="BJ693" t="s">
        <v>1809</v>
      </c>
      <c r="BK693" t="s">
        <v>102</v>
      </c>
      <c r="BL693" t="s">
        <v>1809</v>
      </c>
      <c r="BM693" t="s">
        <v>12822</v>
      </c>
      <c r="BN693" t="s">
        <v>74</v>
      </c>
      <c r="BO693" t="s">
        <v>74</v>
      </c>
      <c r="BP693" t="s">
        <v>74</v>
      </c>
      <c r="BQ693" t="s">
        <v>74</v>
      </c>
      <c r="BR693" t="s">
        <v>105</v>
      </c>
      <c r="BS693" t="s">
        <v>12855</v>
      </c>
      <c r="BT693" t="str">
        <f>HYPERLINK("https%3A%2F%2Fwww.webofscience.com%2Fwos%2Fwoscc%2Ffull-record%2FWOS:000316678700019","View Full Record in Web of Science")</f>
        <v>View Full Record in Web of Science</v>
      </c>
    </row>
    <row r="694" spans="1:72" x14ac:dyDescent="0.15">
      <c r="A694" t="s">
        <v>72</v>
      </c>
      <c r="B694" t="s">
        <v>12856</v>
      </c>
      <c r="C694" t="s">
        <v>74</v>
      </c>
      <c r="D694" t="s">
        <v>74</v>
      </c>
      <c r="E694" t="s">
        <v>74</v>
      </c>
      <c r="F694" t="s">
        <v>12857</v>
      </c>
      <c r="G694" t="s">
        <v>74</v>
      </c>
      <c r="H694" t="s">
        <v>74</v>
      </c>
      <c r="I694" t="s">
        <v>12858</v>
      </c>
      <c r="J694" t="s">
        <v>4690</v>
      </c>
      <c r="K694" t="s">
        <v>74</v>
      </c>
      <c r="L694" t="s">
        <v>74</v>
      </c>
      <c r="M694" t="s">
        <v>78</v>
      </c>
      <c r="N694" t="s">
        <v>79</v>
      </c>
      <c r="O694" t="s">
        <v>74</v>
      </c>
      <c r="P694" t="s">
        <v>74</v>
      </c>
      <c r="Q694" t="s">
        <v>74</v>
      </c>
      <c r="R694" t="s">
        <v>74</v>
      </c>
      <c r="S694" t="s">
        <v>74</v>
      </c>
      <c r="T694" t="s">
        <v>12859</v>
      </c>
      <c r="U694" t="s">
        <v>12860</v>
      </c>
      <c r="V694" t="s">
        <v>12861</v>
      </c>
      <c r="W694" t="s">
        <v>12862</v>
      </c>
      <c r="X694" t="s">
        <v>12863</v>
      </c>
      <c r="Y694" t="s">
        <v>12864</v>
      </c>
      <c r="Z694" t="s">
        <v>12865</v>
      </c>
      <c r="AA694" t="s">
        <v>74</v>
      </c>
      <c r="AB694" t="s">
        <v>12866</v>
      </c>
      <c r="AC694" t="s">
        <v>12867</v>
      </c>
      <c r="AD694" t="s">
        <v>12868</v>
      </c>
      <c r="AE694" t="s">
        <v>12869</v>
      </c>
      <c r="AF694" t="s">
        <v>74</v>
      </c>
      <c r="AG694">
        <v>49</v>
      </c>
      <c r="AH694">
        <v>20</v>
      </c>
      <c r="AI694">
        <v>24</v>
      </c>
      <c r="AJ694">
        <v>1</v>
      </c>
      <c r="AK694">
        <v>39</v>
      </c>
      <c r="AL694" t="s">
        <v>506</v>
      </c>
      <c r="AM694" t="s">
        <v>442</v>
      </c>
      <c r="AN694" t="s">
        <v>507</v>
      </c>
      <c r="AO694" t="s">
        <v>4703</v>
      </c>
      <c r="AP694" t="s">
        <v>8863</v>
      </c>
      <c r="AQ694" t="s">
        <v>74</v>
      </c>
      <c r="AR694" t="s">
        <v>4704</v>
      </c>
      <c r="AS694" t="s">
        <v>4705</v>
      </c>
      <c r="AT694" t="s">
        <v>12586</v>
      </c>
      <c r="AU694">
        <v>2013</v>
      </c>
      <c r="AV694">
        <v>65</v>
      </c>
      <c r="AW694" t="s">
        <v>74</v>
      </c>
      <c r="AX694" t="s">
        <v>74</v>
      </c>
      <c r="AY694" t="s">
        <v>74</v>
      </c>
      <c r="AZ694" t="s">
        <v>74</v>
      </c>
      <c r="BA694" t="s">
        <v>74</v>
      </c>
      <c r="BB694">
        <v>26</v>
      </c>
      <c r="BC694">
        <v>38</v>
      </c>
      <c r="BD694" t="s">
        <v>74</v>
      </c>
      <c r="BE694" t="s">
        <v>12870</v>
      </c>
      <c r="BF694" t="str">
        <f>HYPERLINK("http://dx.doi.org/10.1016/j.quascirev.2012.12.017","http://dx.doi.org/10.1016/j.quascirev.2012.12.017")</f>
        <v>http://dx.doi.org/10.1016/j.quascirev.2012.12.017</v>
      </c>
      <c r="BG694" t="s">
        <v>74</v>
      </c>
      <c r="BH694" t="s">
        <v>74</v>
      </c>
      <c r="BI694">
        <v>13</v>
      </c>
      <c r="BJ694" t="s">
        <v>650</v>
      </c>
      <c r="BK694" t="s">
        <v>102</v>
      </c>
      <c r="BL694" t="s">
        <v>651</v>
      </c>
      <c r="BM694" t="s">
        <v>12871</v>
      </c>
      <c r="BN694" t="s">
        <v>74</v>
      </c>
      <c r="BO694" t="s">
        <v>426</v>
      </c>
      <c r="BP694" t="s">
        <v>74</v>
      </c>
      <c r="BQ694" t="s">
        <v>74</v>
      </c>
      <c r="BR694" t="s">
        <v>105</v>
      </c>
      <c r="BS694" t="s">
        <v>12872</v>
      </c>
      <c r="BT694" t="str">
        <f>HYPERLINK("https%3A%2F%2Fwww.webofscience.com%2Fwos%2Fwoscc%2Ffull-record%2FWOS:000316531600003","View Full Record in Web of Science")</f>
        <v>View Full Record in Web of Science</v>
      </c>
    </row>
    <row r="695" spans="1:72" x14ac:dyDescent="0.15">
      <c r="A695" t="s">
        <v>72</v>
      </c>
      <c r="B695" t="s">
        <v>12873</v>
      </c>
      <c r="C695" t="s">
        <v>74</v>
      </c>
      <c r="D695" t="s">
        <v>74</v>
      </c>
      <c r="E695" t="s">
        <v>74</v>
      </c>
      <c r="F695" t="s">
        <v>12874</v>
      </c>
      <c r="G695" t="s">
        <v>74</v>
      </c>
      <c r="H695" t="s">
        <v>74</v>
      </c>
      <c r="I695" t="s">
        <v>12875</v>
      </c>
      <c r="J695" t="s">
        <v>797</v>
      </c>
      <c r="K695" t="s">
        <v>74</v>
      </c>
      <c r="L695" t="s">
        <v>74</v>
      </c>
      <c r="M695" t="s">
        <v>78</v>
      </c>
      <c r="N695" t="s">
        <v>79</v>
      </c>
      <c r="O695" t="s">
        <v>74</v>
      </c>
      <c r="P695" t="s">
        <v>74</v>
      </c>
      <c r="Q695" t="s">
        <v>74</v>
      </c>
      <c r="R695" t="s">
        <v>74</v>
      </c>
      <c r="S695" t="s">
        <v>74</v>
      </c>
      <c r="T695" t="s">
        <v>74</v>
      </c>
      <c r="U695" t="s">
        <v>12876</v>
      </c>
      <c r="V695" t="s">
        <v>74</v>
      </c>
      <c r="W695" t="s">
        <v>12877</v>
      </c>
      <c r="X695" t="s">
        <v>12878</v>
      </c>
      <c r="Y695" t="s">
        <v>12879</v>
      </c>
      <c r="Z695" t="s">
        <v>12880</v>
      </c>
      <c r="AA695" t="s">
        <v>12881</v>
      </c>
      <c r="AB695" t="s">
        <v>12882</v>
      </c>
      <c r="AC695" t="s">
        <v>12883</v>
      </c>
      <c r="AD695" t="s">
        <v>12884</v>
      </c>
      <c r="AE695" t="s">
        <v>12885</v>
      </c>
      <c r="AF695" t="s">
        <v>74</v>
      </c>
      <c r="AG695">
        <v>34</v>
      </c>
      <c r="AH695">
        <v>11</v>
      </c>
      <c r="AI695">
        <v>11</v>
      </c>
      <c r="AJ695">
        <v>0</v>
      </c>
      <c r="AK695">
        <v>9</v>
      </c>
      <c r="AL695" t="s">
        <v>390</v>
      </c>
      <c r="AM695" t="s">
        <v>391</v>
      </c>
      <c r="AN695" t="s">
        <v>392</v>
      </c>
      <c r="AO695" t="s">
        <v>806</v>
      </c>
      <c r="AP695" t="s">
        <v>74</v>
      </c>
      <c r="AQ695" t="s">
        <v>74</v>
      </c>
      <c r="AR695" t="s">
        <v>808</v>
      </c>
      <c r="AS695" t="s">
        <v>809</v>
      </c>
      <c r="AT695" t="s">
        <v>11820</v>
      </c>
      <c r="AU695">
        <v>2013</v>
      </c>
      <c r="AV695">
        <v>25</v>
      </c>
      <c r="AW695">
        <v>2</v>
      </c>
      <c r="AX695" t="s">
        <v>74</v>
      </c>
      <c r="AY695" t="s">
        <v>74</v>
      </c>
      <c r="AZ695" t="s">
        <v>935</v>
      </c>
      <c r="BA695" t="s">
        <v>74</v>
      </c>
      <c r="BB695">
        <v>123</v>
      </c>
      <c r="BC695">
        <v>127</v>
      </c>
      <c r="BD695" t="s">
        <v>74</v>
      </c>
      <c r="BE695" t="s">
        <v>12886</v>
      </c>
      <c r="BF695" t="str">
        <f>HYPERLINK("http://dx.doi.org/10.1017/S0954102013000023","http://dx.doi.org/10.1017/S0954102013000023")</f>
        <v>http://dx.doi.org/10.1017/S0954102013000023</v>
      </c>
      <c r="BG695" t="s">
        <v>74</v>
      </c>
      <c r="BH695" t="s">
        <v>74</v>
      </c>
      <c r="BI695">
        <v>5</v>
      </c>
      <c r="BJ695" t="s">
        <v>811</v>
      </c>
      <c r="BK695" t="s">
        <v>102</v>
      </c>
      <c r="BL695" t="s">
        <v>812</v>
      </c>
      <c r="BM695" t="s">
        <v>12887</v>
      </c>
      <c r="BN695" t="s">
        <v>74</v>
      </c>
      <c r="BO695" t="s">
        <v>74</v>
      </c>
      <c r="BP695" t="s">
        <v>74</v>
      </c>
      <c r="BQ695" t="s">
        <v>74</v>
      </c>
      <c r="BR695" t="s">
        <v>105</v>
      </c>
      <c r="BS695" t="s">
        <v>12888</v>
      </c>
      <c r="BT695" t="str">
        <f>HYPERLINK("https%3A%2F%2Fwww.webofscience.com%2Fwos%2Fwoscc%2Ffull-record%2FWOS:000316479700001","View Full Record in Web of Science")</f>
        <v>View Full Record in Web of Science</v>
      </c>
    </row>
    <row r="696" spans="1:72" x14ac:dyDescent="0.15">
      <c r="A696" t="s">
        <v>72</v>
      </c>
      <c r="B696" t="s">
        <v>12889</v>
      </c>
      <c r="C696" t="s">
        <v>74</v>
      </c>
      <c r="D696" t="s">
        <v>74</v>
      </c>
      <c r="E696" t="s">
        <v>74</v>
      </c>
      <c r="F696" t="s">
        <v>12890</v>
      </c>
      <c r="G696" t="s">
        <v>74</v>
      </c>
      <c r="H696" t="s">
        <v>74</v>
      </c>
      <c r="I696" t="s">
        <v>12891</v>
      </c>
      <c r="J696" t="s">
        <v>797</v>
      </c>
      <c r="K696" t="s">
        <v>74</v>
      </c>
      <c r="L696" t="s">
        <v>74</v>
      </c>
      <c r="M696" t="s">
        <v>78</v>
      </c>
      <c r="N696" t="s">
        <v>79</v>
      </c>
      <c r="O696" t="s">
        <v>74</v>
      </c>
      <c r="P696" t="s">
        <v>74</v>
      </c>
      <c r="Q696" t="s">
        <v>74</v>
      </c>
      <c r="R696" t="s">
        <v>74</v>
      </c>
      <c r="S696" t="s">
        <v>74</v>
      </c>
      <c r="T696" t="s">
        <v>12892</v>
      </c>
      <c r="U696" t="s">
        <v>74</v>
      </c>
      <c r="V696" t="s">
        <v>12893</v>
      </c>
      <c r="W696" t="s">
        <v>12894</v>
      </c>
      <c r="X696" t="s">
        <v>12895</v>
      </c>
      <c r="Y696" t="s">
        <v>74</v>
      </c>
      <c r="Z696" t="s">
        <v>12896</v>
      </c>
      <c r="AA696" t="s">
        <v>12897</v>
      </c>
      <c r="AB696" t="s">
        <v>12898</v>
      </c>
      <c r="AC696" t="s">
        <v>12899</v>
      </c>
      <c r="AD696" t="s">
        <v>12900</v>
      </c>
      <c r="AE696" t="s">
        <v>12901</v>
      </c>
      <c r="AF696" t="s">
        <v>74</v>
      </c>
      <c r="AG696">
        <v>24</v>
      </c>
      <c r="AH696">
        <v>76</v>
      </c>
      <c r="AI696">
        <v>78</v>
      </c>
      <c r="AJ696">
        <v>1</v>
      </c>
      <c r="AK696">
        <v>26</v>
      </c>
      <c r="AL696" t="s">
        <v>390</v>
      </c>
      <c r="AM696" t="s">
        <v>391</v>
      </c>
      <c r="AN696" t="s">
        <v>392</v>
      </c>
      <c r="AO696" t="s">
        <v>806</v>
      </c>
      <c r="AP696" t="s">
        <v>807</v>
      </c>
      <c r="AQ696" t="s">
        <v>74</v>
      </c>
      <c r="AR696" t="s">
        <v>808</v>
      </c>
      <c r="AS696" t="s">
        <v>809</v>
      </c>
      <c r="AT696" t="s">
        <v>11820</v>
      </c>
      <c r="AU696">
        <v>2013</v>
      </c>
      <c r="AV696">
        <v>25</v>
      </c>
      <c r="AW696">
        <v>2</v>
      </c>
      <c r="AX696" t="s">
        <v>74</v>
      </c>
      <c r="AY696" t="s">
        <v>74</v>
      </c>
      <c r="AZ696" t="s">
        <v>935</v>
      </c>
      <c r="BA696" t="s">
        <v>74</v>
      </c>
      <c r="BB696">
        <v>146</v>
      </c>
      <c r="BC696">
        <v>156</v>
      </c>
      <c r="BD696" t="s">
        <v>74</v>
      </c>
      <c r="BE696" t="s">
        <v>12902</v>
      </c>
      <c r="BF696" t="str">
        <f>HYPERLINK("http://dx.doi.org/10.1017/S0954102012001046","http://dx.doi.org/10.1017/S0954102012001046")</f>
        <v>http://dx.doi.org/10.1017/S0954102012001046</v>
      </c>
      <c r="BG696" t="s">
        <v>74</v>
      </c>
      <c r="BH696" t="s">
        <v>74</v>
      </c>
      <c r="BI696">
        <v>11</v>
      </c>
      <c r="BJ696" t="s">
        <v>811</v>
      </c>
      <c r="BK696" t="s">
        <v>102</v>
      </c>
      <c r="BL696" t="s">
        <v>812</v>
      </c>
      <c r="BM696" t="s">
        <v>12887</v>
      </c>
      <c r="BN696" t="s">
        <v>74</v>
      </c>
      <c r="BO696" t="s">
        <v>1014</v>
      </c>
      <c r="BP696" t="s">
        <v>74</v>
      </c>
      <c r="BQ696" t="s">
        <v>74</v>
      </c>
      <c r="BR696" t="s">
        <v>105</v>
      </c>
      <c r="BS696" t="s">
        <v>12903</v>
      </c>
      <c r="BT696" t="str">
        <f>HYPERLINK("https%3A%2F%2Fwww.webofscience.com%2Fwos%2Fwoscc%2Ffull-record%2FWOS:000316479700003","View Full Record in Web of Science")</f>
        <v>View Full Record in Web of Science</v>
      </c>
    </row>
    <row r="697" spans="1:72" x14ac:dyDescent="0.15">
      <c r="A697" t="s">
        <v>72</v>
      </c>
      <c r="B697" t="s">
        <v>12904</v>
      </c>
      <c r="C697" t="s">
        <v>74</v>
      </c>
      <c r="D697" t="s">
        <v>74</v>
      </c>
      <c r="E697" t="s">
        <v>74</v>
      </c>
      <c r="F697" t="s">
        <v>12905</v>
      </c>
      <c r="G697" t="s">
        <v>74</v>
      </c>
      <c r="H697" t="s">
        <v>74</v>
      </c>
      <c r="I697" t="s">
        <v>12906</v>
      </c>
      <c r="J697" t="s">
        <v>797</v>
      </c>
      <c r="K697" t="s">
        <v>74</v>
      </c>
      <c r="L697" t="s">
        <v>74</v>
      </c>
      <c r="M697" t="s">
        <v>78</v>
      </c>
      <c r="N697" t="s">
        <v>79</v>
      </c>
      <c r="O697" t="s">
        <v>74</v>
      </c>
      <c r="P697" t="s">
        <v>74</v>
      </c>
      <c r="Q697" t="s">
        <v>74</v>
      </c>
      <c r="R697" t="s">
        <v>74</v>
      </c>
      <c r="S697" t="s">
        <v>74</v>
      </c>
      <c r="T697" t="s">
        <v>12907</v>
      </c>
      <c r="U697" t="s">
        <v>12908</v>
      </c>
      <c r="V697" t="s">
        <v>12909</v>
      </c>
      <c r="W697" t="s">
        <v>12910</v>
      </c>
      <c r="X697" t="s">
        <v>12911</v>
      </c>
      <c r="Y697" t="s">
        <v>12912</v>
      </c>
      <c r="Z697" t="s">
        <v>12913</v>
      </c>
      <c r="AA697" t="s">
        <v>12914</v>
      </c>
      <c r="AB697" t="s">
        <v>12915</v>
      </c>
      <c r="AC697" t="s">
        <v>12916</v>
      </c>
      <c r="AD697" t="s">
        <v>12917</v>
      </c>
      <c r="AE697" t="s">
        <v>12918</v>
      </c>
      <c r="AF697" t="s">
        <v>74</v>
      </c>
      <c r="AG697">
        <v>42</v>
      </c>
      <c r="AH697">
        <v>14</v>
      </c>
      <c r="AI697">
        <v>15</v>
      </c>
      <c r="AJ697">
        <v>1</v>
      </c>
      <c r="AK697">
        <v>30</v>
      </c>
      <c r="AL697" t="s">
        <v>390</v>
      </c>
      <c r="AM697" t="s">
        <v>391</v>
      </c>
      <c r="AN697" t="s">
        <v>392</v>
      </c>
      <c r="AO697" t="s">
        <v>806</v>
      </c>
      <c r="AP697" t="s">
        <v>807</v>
      </c>
      <c r="AQ697" t="s">
        <v>74</v>
      </c>
      <c r="AR697" t="s">
        <v>808</v>
      </c>
      <c r="AS697" t="s">
        <v>809</v>
      </c>
      <c r="AT697" t="s">
        <v>11820</v>
      </c>
      <c r="AU697">
        <v>2013</v>
      </c>
      <c r="AV697">
        <v>25</v>
      </c>
      <c r="AW697">
        <v>2</v>
      </c>
      <c r="AX697" t="s">
        <v>74</v>
      </c>
      <c r="AY697" t="s">
        <v>74</v>
      </c>
      <c r="AZ697" t="s">
        <v>935</v>
      </c>
      <c r="BA697" t="s">
        <v>74</v>
      </c>
      <c r="BB697">
        <v>157</v>
      </c>
      <c r="BC697">
        <v>166</v>
      </c>
      <c r="BD697" t="s">
        <v>74</v>
      </c>
      <c r="BE697" t="s">
        <v>12919</v>
      </c>
      <c r="BF697" t="str">
        <f>HYPERLINK("http://dx.doi.org/10.1017/S0954102012001216","http://dx.doi.org/10.1017/S0954102012001216")</f>
        <v>http://dx.doi.org/10.1017/S0954102012001216</v>
      </c>
      <c r="BG697" t="s">
        <v>74</v>
      </c>
      <c r="BH697" t="s">
        <v>74</v>
      </c>
      <c r="BI697">
        <v>10</v>
      </c>
      <c r="BJ697" t="s">
        <v>811</v>
      </c>
      <c r="BK697" t="s">
        <v>102</v>
      </c>
      <c r="BL697" t="s">
        <v>812</v>
      </c>
      <c r="BM697" t="s">
        <v>12887</v>
      </c>
      <c r="BN697" t="s">
        <v>74</v>
      </c>
      <c r="BO697" t="s">
        <v>1014</v>
      </c>
      <c r="BP697" t="s">
        <v>74</v>
      </c>
      <c r="BQ697" t="s">
        <v>74</v>
      </c>
      <c r="BR697" t="s">
        <v>105</v>
      </c>
      <c r="BS697" t="s">
        <v>12920</v>
      </c>
      <c r="BT697" t="str">
        <f>HYPERLINK("https%3A%2F%2Fwww.webofscience.com%2Fwos%2Fwoscc%2Ffull-record%2FWOS:000316479700004","View Full Record in Web of Science")</f>
        <v>View Full Record in Web of Science</v>
      </c>
    </row>
    <row r="698" spans="1:72" x14ac:dyDescent="0.15">
      <c r="A698" t="s">
        <v>72</v>
      </c>
      <c r="B698" t="s">
        <v>12921</v>
      </c>
      <c r="C698" t="s">
        <v>74</v>
      </c>
      <c r="D698" t="s">
        <v>74</v>
      </c>
      <c r="E698" t="s">
        <v>74</v>
      </c>
      <c r="F698" t="s">
        <v>12922</v>
      </c>
      <c r="G698" t="s">
        <v>74</v>
      </c>
      <c r="H698" t="s">
        <v>74</v>
      </c>
      <c r="I698" t="s">
        <v>12923</v>
      </c>
      <c r="J698" t="s">
        <v>797</v>
      </c>
      <c r="K698" t="s">
        <v>74</v>
      </c>
      <c r="L698" t="s">
        <v>74</v>
      </c>
      <c r="M698" t="s">
        <v>78</v>
      </c>
      <c r="N698" t="s">
        <v>79</v>
      </c>
      <c r="O698" t="s">
        <v>74</v>
      </c>
      <c r="P698" t="s">
        <v>74</v>
      </c>
      <c r="Q698" t="s">
        <v>74</v>
      </c>
      <c r="R698" t="s">
        <v>74</v>
      </c>
      <c r="S698" t="s">
        <v>74</v>
      </c>
      <c r="T698" t="s">
        <v>12924</v>
      </c>
      <c r="U698" t="s">
        <v>12925</v>
      </c>
      <c r="V698" t="s">
        <v>12926</v>
      </c>
      <c r="W698" t="s">
        <v>12927</v>
      </c>
      <c r="X698" t="s">
        <v>12928</v>
      </c>
      <c r="Y698" t="s">
        <v>12929</v>
      </c>
      <c r="Z698" t="s">
        <v>12930</v>
      </c>
      <c r="AA698" t="s">
        <v>12931</v>
      </c>
      <c r="AB698" t="s">
        <v>7079</v>
      </c>
      <c r="AC698" t="s">
        <v>12932</v>
      </c>
      <c r="AD698" t="s">
        <v>12933</v>
      </c>
      <c r="AE698" t="s">
        <v>12934</v>
      </c>
      <c r="AF698" t="s">
        <v>74</v>
      </c>
      <c r="AG698">
        <v>31</v>
      </c>
      <c r="AH698">
        <v>24</v>
      </c>
      <c r="AI698">
        <v>25</v>
      </c>
      <c r="AJ698">
        <v>0</v>
      </c>
      <c r="AK698">
        <v>60</v>
      </c>
      <c r="AL698" t="s">
        <v>390</v>
      </c>
      <c r="AM698" t="s">
        <v>391</v>
      </c>
      <c r="AN698" t="s">
        <v>392</v>
      </c>
      <c r="AO698" t="s">
        <v>806</v>
      </c>
      <c r="AP698" t="s">
        <v>74</v>
      </c>
      <c r="AQ698" t="s">
        <v>74</v>
      </c>
      <c r="AR698" t="s">
        <v>808</v>
      </c>
      <c r="AS698" t="s">
        <v>809</v>
      </c>
      <c r="AT698" t="s">
        <v>11820</v>
      </c>
      <c r="AU698">
        <v>2013</v>
      </c>
      <c r="AV698">
        <v>25</v>
      </c>
      <c r="AW698">
        <v>2</v>
      </c>
      <c r="AX698" t="s">
        <v>74</v>
      </c>
      <c r="AY698" t="s">
        <v>74</v>
      </c>
      <c r="AZ698" t="s">
        <v>935</v>
      </c>
      <c r="BA698" t="s">
        <v>74</v>
      </c>
      <c r="BB698">
        <v>213</v>
      </c>
      <c r="BC698">
        <v>218</v>
      </c>
      <c r="BD698" t="s">
        <v>74</v>
      </c>
      <c r="BE698" t="s">
        <v>12935</v>
      </c>
      <c r="BF698" t="str">
        <f>HYPERLINK("http://dx.doi.org/10.1017/S0954102012000740","http://dx.doi.org/10.1017/S0954102012000740")</f>
        <v>http://dx.doi.org/10.1017/S0954102012000740</v>
      </c>
      <c r="BG698" t="s">
        <v>74</v>
      </c>
      <c r="BH698" t="s">
        <v>74</v>
      </c>
      <c r="BI698">
        <v>6</v>
      </c>
      <c r="BJ698" t="s">
        <v>811</v>
      </c>
      <c r="BK698" t="s">
        <v>102</v>
      </c>
      <c r="BL698" t="s">
        <v>812</v>
      </c>
      <c r="BM698" t="s">
        <v>12887</v>
      </c>
      <c r="BN698" t="s">
        <v>74</v>
      </c>
      <c r="BO698" t="s">
        <v>74</v>
      </c>
      <c r="BP698" t="s">
        <v>74</v>
      </c>
      <c r="BQ698" t="s">
        <v>74</v>
      </c>
      <c r="BR698" t="s">
        <v>105</v>
      </c>
      <c r="BS698" t="s">
        <v>12936</v>
      </c>
      <c r="BT698" t="str">
        <f>HYPERLINK("https%3A%2F%2Fwww.webofscience.com%2Fwos%2Fwoscc%2Ffull-record%2FWOS:000316479700009","View Full Record in Web of Science")</f>
        <v>View Full Record in Web of Science</v>
      </c>
    </row>
    <row r="699" spans="1:72" x14ac:dyDescent="0.15">
      <c r="A699" t="s">
        <v>72</v>
      </c>
      <c r="B699" t="s">
        <v>12937</v>
      </c>
      <c r="C699" t="s">
        <v>74</v>
      </c>
      <c r="D699" t="s">
        <v>74</v>
      </c>
      <c r="E699" t="s">
        <v>74</v>
      </c>
      <c r="F699" t="s">
        <v>12938</v>
      </c>
      <c r="G699" t="s">
        <v>74</v>
      </c>
      <c r="H699" t="s">
        <v>74</v>
      </c>
      <c r="I699" t="s">
        <v>12939</v>
      </c>
      <c r="J699" t="s">
        <v>797</v>
      </c>
      <c r="K699" t="s">
        <v>74</v>
      </c>
      <c r="L699" t="s">
        <v>74</v>
      </c>
      <c r="M699" t="s">
        <v>78</v>
      </c>
      <c r="N699" t="s">
        <v>79</v>
      </c>
      <c r="O699" t="s">
        <v>74</v>
      </c>
      <c r="P699" t="s">
        <v>74</v>
      </c>
      <c r="Q699" t="s">
        <v>74</v>
      </c>
      <c r="R699" t="s">
        <v>74</v>
      </c>
      <c r="S699" t="s">
        <v>74</v>
      </c>
      <c r="T699" t="s">
        <v>12940</v>
      </c>
      <c r="U699" t="s">
        <v>12941</v>
      </c>
      <c r="V699" t="s">
        <v>12942</v>
      </c>
      <c r="W699" t="s">
        <v>12943</v>
      </c>
      <c r="X699" t="s">
        <v>12944</v>
      </c>
      <c r="Y699" t="s">
        <v>12945</v>
      </c>
      <c r="Z699" t="s">
        <v>12946</v>
      </c>
      <c r="AA699" t="s">
        <v>12947</v>
      </c>
      <c r="AB699" t="s">
        <v>12948</v>
      </c>
      <c r="AC699" t="s">
        <v>12949</v>
      </c>
      <c r="AD699" t="s">
        <v>12950</v>
      </c>
      <c r="AE699" t="s">
        <v>12951</v>
      </c>
      <c r="AF699" t="s">
        <v>74</v>
      </c>
      <c r="AG699">
        <v>39</v>
      </c>
      <c r="AH699">
        <v>21</v>
      </c>
      <c r="AI699">
        <v>22</v>
      </c>
      <c r="AJ699">
        <v>2</v>
      </c>
      <c r="AK699">
        <v>28</v>
      </c>
      <c r="AL699" t="s">
        <v>390</v>
      </c>
      <c r="AM699" t="s">
        <v>391</v>
      </c>
      <c r="AN699" t="s">
        <v>392</v>
      </c>
      <c r="AO699" t="s">
        <v>806</v>
      </c>
      <c r="AP699" t="s">
        <v>807</v>
      </c>
      <c r="AQ699" t="s">
        <v>74</v>
      </c>
      <c r="AR699" t="s">
        <v>808</v>
      </c>
      <c r="AS699" t="s">
        <v>809</v>
      </c>
      <c r="AT699" t="s">
        <v>11820</v>
      </c>
      <c r="AU699">
        <v>2013</v>
      </c>
      <c r="AV699">
        <v>25</v>
      </c>
      <c r="AW699">
        <v>2</v>
      </c>
      <c r="AX699" t="s">
        <v>74</v>
      </c>
      <c r="AY699" t="s">
        <v>74</v>
      </c>
      <c r="AZ699" t="s">
        <v>935</v>
      </c>
      <c r="BA699" t="s">
        <v>74</v>
      </c>
      <c r="BB699">
        <v>219</v>
      </c>
      <c r="BC699">
        <v>228</v>
      </c>
      <c r="BD699" t="s">
        <v>74</v>
      </c>
      <c r="BE699" t="s">
        <v>12952</v>
      </c>
      <c r="BF699" t="str">
        <f>HYPERLINK("http://dx.doi.org/10.1017/S0954102012000831","http://dx.doi.org/10.1017/S0954102012000831")</f>
        <v>http://dx.doi.org/10.1017/S0954102012000831</v>
      </c>
      <c r="BG699" t="s">
        <v>74</v>
      </c>
      <c r="BH699" t="s">
        <v>74</v>
      </c>
      <c r="BI699">
        <v>10</v>
      </c>
      <c r="BJ699" t="s">
        <v>811</v>
      </c>
      <c r="BK699" t="s">
        <v>102</v>
      </c>
      <c r="BL699" t="s">
        <v>812</v>
      </c>
      <c r="BM699" t="s">
        <v>12887</v>
      </c>
      <c r="BN699" t="s">
        <v>74</v>
      </c>
      <c r="BO699" t="s">
        <v>74</v>
      </c>
      <c r="BP699" t="s">
        <v>74</v>
      </c>
      <c r="BQ699" t="s">
        <v>74</v>
      </c>
      <c r="BR699" t="s">
        <v>105</v>
      </c>
      <c r="BS699" t="s">
        <v>12953</v>
      </c>
      <c r="BT699" t="str">
        <f>HYPERLINK("https%3A%2F%2Fwww.webofscience.com%2Fwos%2Fwoscc%2Ffull-record%2FWOS:000316479700010","View Full Record in Web of Science")</f>
        <v>View Full Record in Web of Science</v>
      </c>
    </row>
    <row r="700" spans="1:72" x14ac:dyDescent="0.15">
      <c r="A700" t="s">
        <v>72</v>
      </c>
      <c r="B700" t="s">
        <v>12954</v>
      </c>
      <c r="C700" t="s">
        <v>74</v>
      </c>
      <c r="D700" t="s">
        <v>74</v>
      </c>
      <c r="E700" t="s">
        <v>74</v>
      </c>
      <c r="F700" t="s">
        <v>12955</v>
      </c>
      <c r="G700" t="s">
        <v>74</v>
      </c>
      <c r="H700" t="s">
        <v>74</v>
      </c>
      <c r="I700" t="s">
        <v>12956</v>
      </c>
      <c r="J700" t="s">
        <v>797</v>
      </c>
      <c r="K700" t="s">
        <v>74</v>
      </c>
      <c r="L700" t="s">
        <v>74</v>
      </c>
      <c r="M700" t="s">
        <v>78</v>
      </c>
      <c r="N700" t="s">
        <v>79</v>
      </c>
      <c r="O700" t="s">
        <v>74</v>
      </c>
      <c r="P700" t="s">
        <v>74</v>
      </c>
      <c r="Q700" t="s">
        <v>74</v>
      </c>
      <c r="R700" t="s">
        <v>74</v>
      </c>
      <c r="S700" t="s">
        <v>74</v>
      </c>
      <c r="T700" t="s">
        <v>12957</v>
      </c>
      <c r="U700" t="s">
        <v>12958</v>
      </c>
      <c r="V700" t="s">
        <v>12959</v>
      </c>
      <c r="W700" t="s">
        <v>12960</v>
      </c>
      <c r="X700" t="s">
        <v>12961</v>
      </c>
      <c r="Y700" t="s">
        <v>12962</v>
      </c>
      <c r="Z700" t="s">
        <v>12963</v>
      </c>
      <c r="AA700" t="s">
        <v>12964</v>
      </c>
      <c r="AB700" t="s">
        <v>12965</v>
      </c>
      <c r="AC700" t="s">
        <v>12966</v>
      </c>
      <c r="AD700" t="s">
        <v>12967</v>
      </c>
      <c r="AE700" t="s">
        <v>12968</v>
      </c>
      <c r="AF700" t="s">
        <v>74</v>
      </c>
      <c r="AG700">
        <v>34</v>
      </c>
      <c r="AH700">
        <v>14</v>
      </c>
      <c r="AI700">
        <v>14</v>
      </c>
      <c r="AJ700">
        <v>0</v>
      </c>
      <c r="AK700">
        <v>27</v>
      </c>
      <c r="AL700" t="s">
        <v>390</v>
      </c>
      <c r="AM700" t="s">
        <v>391</v>
      </c>
      <c r="AN700" t="s">
        <v>392</v>
      </c>
      <c r="AO700" t="s">
        <v>806</v>
      </c>
      <c r="AP700" t="s">
        <v>74</v>
      </c>
      <c r="AQ700" t="s">
        <v>74</v>
      </c>
      <c r="AR700" t="s">
        <v>808</v>
      </c>
      <c r="AS700" t="s">
        <v>809</v>
      </c>
      <c r="AT700" t="s">
        <v>11820</v>
      </c>
      <c r="AU700">
        <v>2013</v>
      </c>
      <c r="AV700">
        <v>25</v>
      </c>
      <c r="AW700">
        <v>2</v>
      </c>
      <c r="AX700" t="s">
        <v>74</v>
      </c>
      <c r="AY700" t="s">
        <v>74</v>
      </c>
      <c r="AZ700" t="s">
        <v>935</v>
      </c>
      <c r="BA700" t="s">
        <v>74</v>
      </c>
      <c r="BB700">
        <v>270</v>
      </c>
      <c r="BC700">
        <v>276</v>
      </c>
      <c r="BD700" t="s">
        <v>74</v>
      </c>
      <c r="BE700" t="s">
        <v>12969</v>
      </c>
      <c r="BF700" t="str">
        <f>HYPERLINK("http://dx.doi.org/10.1017/S0954102012000983","http://dx.doi.org/10.1017/S0954102012000983")</f>
        <v>http://dx.doi.org/10.1017/S0954102012000983</v>
      </c>
      <c r="BG700" t="s">
        <v>74</v>
      </c>
      <c r="BH700" t="s">
        <v>74</v>
      </c>
      <c r="BI700">
        <v>7</v>
      </c>
      <c r="BJ700" t="s">
        <v>811</v>
      </c>
      <c r="BK700" t="s">
        <v>102</v>
      </c>
      <c r="BL700" t="s">
        <v>812</v>
      </c>
      <c r="BM700" t="s">
        <v>12887</v>
      </c>
      <c r="BN700" t="s">
        <v>74</v>
      </c>
      <c r="BO700" t="s">
        <v>74</v>
      </c>
      <c r="BP700" t="s">
        <v>74</v>
      </c>
      <c r="BQ700" t="s">
        <v>74</v>
      </c>
      <c r="BR700" t="s">
        <v>105</v>
      </c>
      <c r="BS700" t="s">
        <v>12970</v>
      </c>
      <c r="BT700" t="str">
        <f>HYPERLINK("https%3A%2F%2Fwww.webofscience.com%2Fwos%2Fwoscc%2Ffull-record%2FWOS:000316479700014","View Full Record in Web of Science")</f>
        <v>View Full Record in Web of Science</v>
      </c>
    </row>
    <row r="701" spans="1:72" x14ac:dyDescent="0.15">
      <c r="A701" t="s">
        <v>72</v>
      </c>
      <c r="B701" t="s">
        <v>12971</v>
      </c>
      <c r="C701" t="s">
        <v>74</v>
      </c>
      <c r="D701" t="s">
        <v>74</v>
      </c>
      <c r="E701" t="s">
        <v>74</v>
      </c>
      <c r="F701" t="s">
        <v>12972</v>
      </c>
      <c r="G701" t="s">
        <v>74</v>
      </c>
      <c r="H701" t="s">
        <v>74</v>
      </c>
      <c r="I701" t="s">
        <v>12973</v>
      </c>
      <c r="J701" t="s">
        <v>797</v>
      </c>
      <c r="K701" t="s">
        <v>74</v>
      </c>
      <c r="L701" t="s">
        <v>74</v>
      </c>
      <c r="M701" t="s">
        <v>78</v>
      </c>
      <c r="N701" t="s">
        <v>79</v>
      </c>
      <c r="O701" t="s">
        <v>74</v>
      </c>
      <c r="P701" t="s">
        <v>74</v>
      </c>
      <c r="Q701" t="s">
        <v>74</v>
      </c>
      <c r="R701" t="s">
        <v>74</v>
      </c>
      <c r="S701" t="s">
        <v>74</v>
      </c>
      <c r="T701" t="s">
        <v>12974</v>
      </c>
      <c r="U701" t="s">
        <v>12975</v>
      </c>
      <c r="V701" t="s">
        <v>12976</v>
      </c>
      <c r="W701" t="s">
        <v>12977</v>
      </c>
      <c r="X701" t="s">
        <v>12978</v>
      </c>
      <c r="Y701" t="s">
        <v>12962</v>
      </c>
      <c r="Z701" t="s">
        <v>12963</v>
      </c>
      <c r="AA701" t="s">
        <v>12979</v>
      </c>
      <c r="AB701" t="s">
        <v>12980</v>
      </c>
      <c r="AC701" t="s">
        <v>12966</v>
      </c>
      <c r="AD701" t="s">
        <v>12967</v>
      </c>
      <c r="AE701" t="s">
        <v>12981</v>
      </c>
      <c r="AF701" t="s">
        <v>74</v>
      </c>
      <c r="AG701">
        <v>35</v>
      </c>
      <c r="AH701">
        <v>13</v>
      </c>
      <c r="AI701">
        <v>14</v>
      </c>
      <c r="AJ701">
        <v>0</v>
      </c>
      <c r="AK701">
        <v>38</v>
      </c>
      <c r="AL701" t="s">
        <v>390</v>
      </c>
      <c r="AM701" t="s">
        <v>391</v>
      </c>
      <c r="AN701" t="s">
        <v>392</v>
      </c>
      <c r="AO701" t="s">
        <v>806</v>
      </c>
      <c r="AP701" t="s">
        <v>807</v>
      </c>
      <c r="AQ701" t="s">
        <v>74</v>
      </c>
      <c r="AR701" t="s">
        <v>808</v>
      </c>
      <c r="AS701" t="s">
        <v>809</v>
      </c>
      <c r="AT701" t="s">
        <v>11820</v>
      </c>
      <c r="AU701">
        <v>2013</v>
      </c>
      <c r="AV701">
        <v>25</v>
      </c>
      <c r="AW701">
        <v>2</v>
      </c>
      <c r="AX701" t="s">
        <v>74</v>
      </c>
      <c r="AY701" t="s">
        <v>74</v>
      </c>
      <c r="AZ701" t="s">
        <v>935</v>
      </c>
      <c r="BA701" t="s">
        <v>74</v>
      </c>
      <c r="BB701">
        <v>277</v>
      </c>
      <c r="BC701">
        <v>287</v>
      </c>
      <c r="BD701" t="s">
        <v>74</v>
      </c>
      <c r="BE701" t="s">
        <v>12982</v>
      </c>
      <c r="BF701" t="str">
        <f>HYPERLINK("http://dx.doi.org/10.1017/S0954102012000971","http://dx.doi.org/10.1017/S0954102012000971")</f>
        <v>http://dx.doi.org/10.1017/S0954102012000971</v>
      </c>
      <c r="BG701" t="s">
        <v>74</v>
      </c>
      <c r="BH701" t="s">
        <v>74</v>
      </c>
      <c r="BI701">
        <v>11</v>
      </c>
      <c r="BJ701" t="s">
        <v>811</v>
      </c>
      <c r="BK701" t="s">
        <v>102</v>
      </c>
      <c r="BL701" t="s">
        <v>812</v>
      </c>
      <c r="BM701" t="s">
        <v>12887</v>
      </c>
      <c r="BN701" t="s">
        <v>74</v>
      </c>
      <c r="BO701" t="s">
        <v>74</v>
      </c>
      <c r="BP701" t="s">
        <v>74</v>
      </c>
      <c r="BQ701" t="s">
        <v>74</v>
      </c>
      <c r="BR701" t="s">
        <v>105</v>
      </c>
      <c r="BS701" t="s">
        <v>12983</v>
      </c>
      <c r="BT701" t="str">
        <f>HYPERLINK("https%3A%2F%2Fwww.webofscience.com%2Fwos%2Fwoscc%2Ffull-record%2FWOS:000316479700015","View Full Record in Web of Science")</f>
        <v>View Full Record in Web of Science</v>
      </c>
    </row>
    <row r="702" spans="1:72" x14ac:dyDescent="0.15">
      <c r="A702" t="s">
        <v>72</v>
      </c>
      <c r="B702" t="s">
        <v>12984</v>
      </c>
      <c r="C702" t="s">
        <v>74</v>
      </c>
      <c r="D702" t="s">
        <v>74</v>
      </c>
      <c r="E702" t="s">
        <v>74</v>
      </c>
      <c r="F702" t="s">
        <v>12985</v>
      </c>
      <c r="G702" t="s">
        <v>74</v>
      </c>
      <c r="H702" t="s">
        <v>74</v>
      </c>
      <c r="I702" t="s">
        <v>12986</v>
      </c>
      <c r="J702" t="s">
        <v>797</v>
      </c>
      <c r="K702" t="s">
        <v>74</v>
      </c>
      <c r="L702" t="s">
        <v>74</v>
      </c>
      <c r="M702" t="s">
        <v>78</v>
      </c>
      <c r="N702" t="s">
        <v>79</v>
      </c>
      <c r="O702" t="s">
        <v>74</v>
      </c>
      <c r="P702" t="s">
        <v>74</v>
      </c>
      <c r="Q702" t="s">
        <v>74</v>
      </c>
      <c r="R702" t="s">
        <v>74</v>
      </c>
      <c r="S702" t="s">
        <v>74</v>
      </c>
      <c r="T702" t="s">
        <v>12987</v>
      </c>
      <c r="U702" t="s">
        <v>12988</v>
      </c>
      <c r="V702" t="s">
        <v>12989</v>
      </c>
      <c r="W702" t="s">
        <v>12990</v>
      </c>
      <c r="X702" t="s">
        <v>12895</v>
      </c>
      <c r="Y702" t="s">
        <v>12991</v>
      </c>
      <c r="Z702" t="s">
        <v>12992</v>
      </c>
      <c r="AA702" t="s">
        <v>12993</v>
      </c>
      <c r="AB702" t="s">
        <v>12994</v>
      </c>
      <c r="AC702" t="s">
        <v>12995</v>
      </c>
      <c r="AD702" t="s">
        <v>12996</v>
      </c>
      <c r="AE702" t="s">
        <v>12997</v>
      </c>
      <c r="AF702" t="s">
        <v>74</v>
      </c>
      <c r="AG702">
        <v>6</v>
      </c>
      <c r="AH702">
        <v>8</v>
      </c>
      <c r="AI702">
        <v>10</v>
      </c>
      <c r="AJ702">
        <v>0</v>
      </c>
      <c r="AK702">
        <v>34</v>
      </c>
      <c r="AL702" t="s">
        <v>390</v>
      </c>
      <c r="AM702" t="s">
        <v>391</v>
      </c>
      <c r="AN702" t="s">
        <v>392</v>
      </c>
      <c r="AO702" t="s">
        <v>806</v>
      </c>
      <c r="AP702" t="s">
        <v>74</v>
      </c>
      <c r="AQ702" t="s">
        <v>74</v>
      </c>
      <c r="AR702" t="s">
        <v>808</v>
      </c>
      <c r="AS702" t="s">
        <v>809</v>
      </c>
      <c r="AT702" t="s">
        <v>11820</v>
      </c>
      <c r="AU702">
        <v>2013</v>
      </c>
      <c r="AV702">
        <v>25</v>
      </c>
      <c r="AW702">
        <v>2</v>
      </c>
      <c r="AX702" t="s">
        <v>74</v>
      </c>
      <c r="AY702" t="s">
        <v>74</v>
      </c>
      <c r="AZ702" t="s">
        <v>935</v>
      </c>
      <c r="BA702" t="s">
        <v>74</v>
      </c>
      <c r="BB702">
        <v>288</v>
      </c>
      <c r="BC702">
        <v>291</v>
      </c>
      <c r="BD702" t="s">
        <v>74</v>
      </c>
      <c r="BE702" t="s">
        <v>12998</v>
      </c>
      <c r="BF702" t="str">
        <f>HYPERLINK("http://dx.doi.org/10.1017/S095410201200096X","http://dx.doi.org/10.1017/S095410201200096X")</f>
        <v>http://dx.doi.org/10.1017/S095410201200096X</v>
      </c>
      <c r="BG702" t="s">
        <v>74</v>
      </c>
      <c r="BH702" t="s">
        <v>74</v>
      </c>
      <c r="BI702">
        <v>4</v>
      </c>
      <c r="BJ702" t="s">
        <v>811</v>
      </c>
      <c r="BK702" t="s">
        <v>102</v>
      </c>
      <c r="BL702" t="s">
        <v>812</v>
      </c>
      <c r="BM702" t="s">
        <v>12887</v>
      </c>
      <c r="BN702" t="s">
        <v>74</v>
      </c>
      <c r="BO702" t="s">
        <v>74</v>
      </c>
      <c r="BP702" t="s">
        <v>74</v>
      </c>
      <c r="BQ702" t="s">
        <v>74</v>
      </c>
      <c r="BR702" t="s">
        <v>105</v>
      </c>
      <c r="BS702" t="s">
        <v>12999</v>
      </c>
      <c r="BT702" t="str">
        <f>HYPERLINK("https%3A%2F%2Fwww.webofscience.com%2Fwos%2Fwoscc%2Ffull-record%2FWOS:000316479700016","View Full Record in Web of Science")</f>
        <v>View Full Record in Web of Science</v>
      </c>
    </row>
    <row r="703" spans="1:72" x14ac:dyDescent="0.15">
      <c r="A703" t="s">
        <v>72</v>
      </c>
      <c r="B703" t="s">
        <v>13000</v>
      </c>
      <c r="C703" t="s">
        <v>74</v>
      </c>
      <c r="D703" t="s">
        <v>74</v>
      </c>
      <c r="E703" t="s">
        <v>74</v>
      </c>
      <c r="F703" t="s">
        <v>13001</v>
      </c>
      <c r="G703" t="s">
        <v>74</v>
      </c>
      <c r="H703" t="s">
        <v>74</v>
      </c>
      <c r="I703" t="s">
        <v>13002</v>
      </c>
      <c r="J703" t="s">
        <v>797</v>
      </c>
      <c r="K703" t="s">
        <v>74</v>
      </c>
      <c r="L703" t="s">
        <v>74</v>
      </c>
      <c r="M703" t="s">
        <v>78</v>
      </c>
      <c r="N703" t="s">
        <v>79</v>
      </c>
      <c r="O703" t="s">
        <v>74</v>
      </c>
      <c r="P703" t="s">
        <v>74</v>
      </c>
      <c r="Q703" t="s">
        <v>74</v>
      </c>
      <c r="R703" t="s">
        <v>74</v>
      </c>
      <c r="S703" t="s">
        <v>74</v>
      </c>
      <c r="T703" t="s">
        <v>13003</v>
      </c>
      <c r="U703" t="s">
        <v>13004</v>
      </c>
      <c r="V703" t="s">
        <v>13005</v>
      </c>
      <c r="W703" t="s">
        <v>13006</v>
      </c>
      <c r="X703" t="s">
        <v>12895</v>
      </c>
      <c r="Y703" t="s">
        <v>13007</v>
      </c>
      <c r="Z703" t="s">
        <v>13008</v>
      </c>
      <c r="AA703" t="s">
        <v>13009</v>
      </c>
      <c r="AB703" t="s">
        <v>13010</v>
      </c>
      <c r="AC703" t="s">
        <v>13011</v>
      </c>
      <c r="AD703" t="s">
        <v>12884</v>
      </c>
      <c r="AE703" t="s">
        <v>13012</v>
      </c>
      <c r="AF703" t="s">
        <v>74</v>
      </c>
      <c r="AG703">
        <v>60</v>
      </c>
      <c r="AH703">
        <v>22</v>
      </c>
      <c r="AI703">
        <v>24</v>
      </c>
      <c r="AJ703">
        <v>0</v>
      </c>
      <c r="AK703">
        <v>33</v>
      </c>
      <c r="AL703" t="s">
        <v>390</v>
      </c>
      <c r="AM703" t="s">
        <v>391</v>
      </c>
      <c r="AN703" t="s">
        <v>392</v>
      </c>
      <c r="AO703" t="s">
        <v>806</v>
      </c>
      <c r="AP703" t="s">
        <v>807</v>
      </c>
      <c r="AQ703" t="s">
        <v>74</v>
      </c>
      <c r="AR703" t="s">
        <v>808</v>
      </c>
      <c r="AS703" t="s">
        <v>809</v>
      </c>
      <c r="AT703" t="s">
        <v>11820</v>
      </c>
      <c r="AU703">
        <v>2013</v>
      </c>
      <c r="AV703">
        <v>25</v>
      </c>
      <c r="AW703">
        <v>2</v>
      </c>
      <c r="AX703" t="s">
        <v>74</v>
      </c>
      <c r="AY703" t="s">
        <v>74</v>
      </c>
      <c r="AZ703" t="s">
        <v>935</v>
      </c>
      <c r="BA703" t="s">
        <v>74</v>
      </c>
      <c r="BB703">
        <v>318</v>
      </c>
      <c r="BC703">
        <v>328</v>
      </c>
      <c r="BD703" t="s">
        <v>74</v>
      </c>
      <c r="BE703" t="s">
        <v>13013</v>
      </c>
      <c r="BF703" t="str">
        <f>HYPERLINK("http://dx.doi.org/10.1017/S095410201200082X","http://dx.doi.org/10.1017/S095410201200082X")</f>
        <v>http://dx.doi.org/10.1017/S095410201200082X</v>
      </c>
      <c r="BG703" t="s">
        <v>74</v>
      </c>
      <c r="BH703" t="s">
        <v>74</v>
      </c>
      <c r="BI703">
        <v>11</v>
      </c>
      <c r="BJ703" t="s">
        <v>811</v>
      </c>
      <c r="BK703" t="s">
        <v>102</v>
      </c>
      <c r="BL703" t="s">
        <v>812</v>
      </c>
      <c r="BM703" t="s">
        <v>12887</v>
      </c>
      <c r="BN703" t="s">
        <v>74</v>
      </c>
      <c r="BO703" t="s">
        <v>74</v>
      </c>
      <c r="BP703" t="s">
        <v>74</v>
      </c>
      <c r="BQ703" t="s">
        <v>74</v>
      </c>
      <c r="BR703" t="s">
        <v>105</v>
      </c>
      <c r="BS703" t="s">
        <v>13014</v>
      </c>
      <c r="BT703" t="str">
        <f>HYPERLINK("https%3A%2F%2Fwww.webofscience.com%2Fwos%2Fwoscc%2Ffull-record%2FWOS:000316479700020","View Full Record in Web of Science")</f>
        <v>View Full Record in Web of Science</v>
      </c>
    </row>
    <row r="704" spans="1:72" x14ac:dyDescent="0.15">
      <c r="A704" t="s">
        <v>72</v>
      </c>
      <c r="B704" t="s">
        <v>13015</v>
      </c>
      <c r="C704" t="s">
        <v>74</v>
      </c>
      <c r="D704" t="s">
        <v>74</v>
      </c>
      <c r="E704" t="s">
        <v>74</v>
      </c>
      <c r="F704" t="s">
        <v>13016</v>
      </c>
      <c r="G704" t="s">
        <v>74</v>
      </c>
      <c r="H704" t="s">
        <v>74</v>
      </c>
      <c r="I704" t="s">
        <v>13017</v>
      </c>
      <c r="J704" t="s">
        <v>797</v>
      </c>
      <c r="K704" t="s">
        <v>74</v>
      </c>
      <c r="L704" t="s">
        <v>74</v>
      </c>
      <c r="M704" t="s">
        <v>78</v>
      </c>
      <c r="N704" t="s">
        <v>79</v>
      </c>
      <c r="O704" t="s">
        <v>74</v>
      </c>
      <c r="P704" t="s">
        <v>74</v>
      </c>
      <c r="Q704" t="s">
        <v>74</v>
      </c>
      <c r="R704" t="s">
        <v>74</v>
      </c>
      <c r="S704" t="s">
        <v>74</v>
      </c>
      <c r="T704" t="s">
        <v>13018</v>
      </c>
      <c r="U704" t="s">
        <v>13019</v>
      </c>
      <c r="V704" t="s">
        <v>13020</v>
      </c>
      <c r="W704" t="s">
        <v>13021</v>
      </c>
      <c r="X704" t="s">
        <v>13022</v>
      </c>
      <c r="Y704" t="s">
        <v>13023</v>
      </c>
      <c r="Z704" t="s">
        <v>11870</v>
      </c>
      <c r="AA704" t="s">
        <v>13024</v>
      </c>
      <c r="AB704" t="s">
        <v>13025</v>
      </c>
      <c r="AC704" t="s">
        <v>13026</v>
      </c>
      <c r="AD704" t="s">
        <v>13027</v>
      </c>
      <c r="AE704" t="s">
        <v>13028</v>
      </c>
      <c r="AF704" t="s">
        <v>74</v>
      </c>
      <c r="AG704">
        <v>62</v>
      </c>
      <c r="AH704">
        <v>45</v>
      </c>
      <c r="AI704">
        <v>49</v>
      </c>
      <c r="AJ704">
        <v>3</v>
      </c>
      <c r="AK704">
        <v>93</v>
      </c>
      <c r="AL704" t="s">
        <v>390</v>
      </c>
      <c r="AM704" t="s">
        <v>391</v>
      </c>
      <c r="AN704" t="s">
        <v>392</v>
      </c>
      <c r="AO704" t="s">
        <v>806</v>
      </c>
      <c r="AP704" t="s">
        <v>807</v>
      </c>
      <c r="AQ704" t="s">
        <v>74</v>
      </c>
      <c r="AR704" t="s">
        <v>808</v>
      </c>
      <c r="AS704" t="s">
        <v>809</v>
      </c>
      <c r="AT704" t="s">
        <v>11820</v>
      </c>
      <c r="AU704">
        <v>2013</v>
      </c>
      <c r="AV704">
        <v>25</v>
      </c>
      <c r="AW704">
        <v>2</v>
      </c>
      <c r="AX704" t="s">
        <v>74</v>
      </c>
      <c r="AY704" t="s">
        <v>74</v>
      </c>
      <c r="AZ704" t="s">
        <v>935</v>
      </c>
      <c r="BA704" t="s">
        <v>74</v>
      </c>
      <c r="BB704">
        <v>329</v>
      </c>
      <c r="BC704">
        <v>338</v>
      </c>
      <c r="BD704" t="s">
        <v>74</v>
      </c>
      <c r="BE704" t="s">
        <v>13029</v>
      </c>
      <c r="BF704" t="str">
        <f>HYPERLINK("http://dx.doi.org/10.1017/S0954102012000739","http://dx.doi.org/10.1017/S0954102012000739")</f>
        <v>http://dx.doi.org/10.1017/S0954102012000739</v>
      </c>
      <c r="BG704" t="s">
        <v>74</v>
      </c>
      <c r="BH704" t="s">
        <v>74</v>
      </c>
      <c r="BI704">
        <v>10</v>
      </c>
      <c r="BJ704" t="s">
        <v>811</v>
      </c>
      <c r="BK704" t="s">
        <v>102</v>
      </c>
      <c r="BL704" t="s">
        <v>812</v>
      </c>
      <c r="BM704" t="s">
        <v>12887</v>
      </c>
      <c r="BN704" t="s">
        <v>74</v>
      </c>
      <c r="BO704" t="s">
        <v>426</v>
      </c>
      <c r="BP704" t="s">
        <v>74</v>
      </c>
      <c r="BQ704" t="s">
        <v>74</v>
      </c>
      <c r="BR704" t="s">
        <v>105</v>
      </c>
      <c r="BS704" t="s">
        <v>13030</v>
      </c>
      <c r="BT704" t="str">
        <f>HYPERLINK("https%3A%2F%2Fwww.webofscience.com%2Fwos%2Fwoscc%2Ffull-record%2FWOS:000316479700021","View Full Record in Web of Science")</f>
        <v>View Full Record in Web of Science</v>
      </c>
    </row>
    <row r="705" spans="1:72" x14ac:dyDescent="0.15">
      <c r="A705" t="s">
        <v>72</v>
      </c>
      <c r="B705" t="s">
        <v>13031</v>
      </c>
      <c r="C705" t="s">
        <v>74</v>
      </c>
      <c r="D705" t="s">
        <v>74</v>
      </c>
      <c r="E705" t="s">
        <v>74</v>
      </c>
      <c r="F705" t="s">
        <v>13032</v>
      </c>
      <c r="G705" t="s">
        <v>74</v>
      </c>
      <c r="H705" t="s">
        <v>74</v>
      </c>
      <c r="I705" t="s">
        <v>13033</v>
      </c>
      <c r="J705" t="s">
        <v>797</v>
      </c>
      <c r="K705" t="s">
        <v>74</v>
      </c>
      <c r="L705" t="s">
        <v>74</v>
      </c>
      <c r="M705" t="s">
        <v>78</v>
      </c>
      <c r="N705" t="s">
        <v>79</v>
      </c>
      <c r="O705" t="s">
        <v>74</v>
      </c>
      <c r="P705" t="s">
        <v>74</v>
      </c>
      <c r="Q705" t="s">
        <v>74</v>
      </c>
      <c r="R705" t="s">
        <v>74</v>
      </c>
      <c r="S705" t="s">
        <v>74</v>
      </c>
      <c r="T705" t="s">
        <v>13034</v>
      </c>
      <c r="U705" t="s">
        <v>13035</v>
      </c>
      <c r="V705" t="s">
        <v>13036</v>
      </c>
      <c r="W705" t="s">
        <v>13037</v>
      </c>
      <c r="X705" t="s">
        <v>13038</v>
      </c>
      <c r="Y705" t="s">
        <v>13039</v>
      </c>
      <c r="Z705" t="s">
        <v>13040</v>
      </c>
      <c r="AA705" t="s">
        <v>13041</v>
      </c>
      <c r="AB705" t="s">
        <v>13042</v>
      </c>
      <c r="AC705" t="s">
        <v>13043</v>
      </c>
      <c r="AD705" t="s">
        <v>13044</v>
      </c>
      <c r="AE705" t="s">
        <v>13045</v>
      </c>
      <c r="AF705" t="s">
        <v>74</v>
      </c>
      <c r="AG705">
        <v>37</v>
      </c>
      <c r="AH705">
        <v>14</v>
      </c>
      <c r="AI705">
        <v>14</v>
      </c>
      <c r="AJ705">
        <v>0</v>
      </c>
      <c r="AK705">
        <v>52</v>
      </c>
      <c r="AL705" t="s">
        <v>390</v>
      </c>
      <c r="AM705" t="s">
        <v>391</v>
      </c>
      <c r="AN705" t="s">
        <v>392</v>
      </c>
      <c r="AO705" t="s">
        <v>806</v>
      </c>
      <c r="AP705" t="s">
        <v>74</v>
      </c>
      <c r="AQ705" t="s">
        <v>74</v>
      </c>
      <c r="AR705" t="s">
        <v>808</v>
      </c>
      <c r="AS705" t="s">
        <v>809</v>
      </c>
      <c r="AT705" t="s">
        <v>11820</v>
      </c>
      <c r="AU705">
        <v>2013</v>
      </c>
      <c r="AV705">
        <v>25</v>
      </c>
      <c r="AW705">
        <v>2</v>
      </c>
      <c r="AX705" t="s">
        <v>74</v>
      </c>
      <c r="AY705" t="s">
        <v>74</v>
      </c>
      <c r="AZ705" t="s">
        <v>935</v>
      </c>
      <c r="BA705" t="s">
        <v>74</v>
      </c>
      <c r="BB705">
        <v>339</v>
      </c>
      <c r="BC705">
        <v>344</v>
      </c>
      <c r="BD705" t="s">
        <v>74</v>
      </c>
      <c r="BE705" t="s">
        <v>13046</v>
      </c>
      <c r="BF705" t="str">
        <f>HYPERLINK("http://dx.doi.org/10.1017/S0954102012001228","http://dx.doi.org/10.1017/S0954102012001228")</f>
        <v>http://dx.doi.org/10.1017/S0954102012001228</v>
      </c>
      <c r="BG705" t="s">
        <v>74</v>
      </c>
      <c r="BH705" t="s">
        <v>74</v>
      </c>
      <c r="BI705">
        <v>6</v>
      </c>
      <c r="BJ705" t="s">
        <v>811</v>
      </c>
      <c r="BK705" t="s">
        <v>102</v>
      </c>
      <c r="BL705" t="s">
        <v>812</v>
      </c>
      <c r="BM705" t="s">
        <v>12887</v>
      </c>
      <c r="BN705" t="s">
        <v>74</v>
      </c>
      <c r="BO705" t="s">
        <v>426</v>
      </c>
      <c r="BP705" t="s">
        <v>74</v>
      </c>
      <c r="BQ705" t="s">
        <v>74</v>
      </c>
      <c r="BR705" t="s">
        <v>105</v>
      </c>
      <c r="BS705" t="s">
        <v>13047</v>
      </c>
      <c r="BT705" t="str">
        <f>HYPERLINK("https%3A%2F%2Fwww.webofscience.com%2Fwos%2Fwoscc%2Ffull-record%2FWOS:000316479700022","View Full Record in Web of Science")</f>
        <v>View Full Record in Web of Science</v>
      </c>
    </row>
    <row r="706" spans="1:72" x14ac:dyDescent="0.15">
      <c r="A706" t="s">
        <v>72</v>
      </c>
      <c r="B706" t="s">
        <v>13048</v>
      </c>
      <c r="C706" t="s">
        <v>74</v>
      </c>
      <c r="D706" t="s">
        <v>74</v>
      </c>
      <c r="E706" t="s">
        <v>74</v>
      </c>
      <c r="F706" t="s">
        <v>13049</v>
      </c>
      <c r="G706" t="s">
        <v>74</v>
      </c>
      <c r="H706" t="s">
        <v>74</v>
      </c>
      <c r="I706" t="s">
        <v>13050</v>
      </c>
      <c r="J706" t="s">
        <v>13051</v>
      </c>
      <c r="K706" t="s">
        <v>74</v>
      </c>
      <c r="L706" t="s">
        <v>74</v>
      </c>
      <c r="M706" t="s">
        <v>78</v>
      </c>
      <c r="N706" t="s">
        <v>79</v>
      </c>
      <c r="O706" t="s">
        <v>74</v>
      </c>
      <c r="P706" t="s">
        <v>74</v>
      </c>
      <c r="Q706" t="s">
        <v>74</v>
      </c>
      <c r="R706" t="s">
        <v>74</v>
      </c>
      <c r="S706" t="s">
        <v>74</v>
      </c>
      <c r="T706" t="s">
        <v>74</v>
      </c>
      <c r="U706" t="s">
        <v>13052</v>
      </c>
      <c r="V706" t="s">
        <v>13053</v>
      </c>
      <c r="W706" t="s">
        <v>13054</v>
      </c>
      <c r="X706" t="s">
        <v>13055</v>
      </c>
      <c r="Y706" t="s">
        <v>13056</v>
      </c>
      <c r="Z706" t="s">
        <v>13057</v>
      </c>
      <c r="AA706" t="s">
        <v>13058</v>
      </c>
      <c r="AB706" t="s">
        <v>13059</v>
      </c>
      <c r="AC706" t="s">
        <v>74</v>
      </c>
      <c r="AD706" t="s">
        <v>74</v>
      </c>
      <c r="AE706" t="s">
        <v>74</v>
      </c>
      <c r="AF706" t="s">
        <v>74</v>
      </c>
      <c r="AG706">
        <v>27</v>
      </c>
      <c r="AH706">
        <v>11</v>
      </c>
      <c r="AI706">
        <v>11</v>
      </c>
      <c r="AJ706">
        <v>2</v>
      </c>
      <c r="AK706">
        <v>29</v>
      </c>
      <c r="AL706" t="s">
        <v>390</v>
      </c>
      <c r="AM706" t="s">
        <v>391</v>
      </c>
      <c r="AN706" t="s">
        <v>392</v>
      </c>
      <c r="AO706" t="s">
        <v>13060</v>
      </c>
      <c r="AP706" t="s">
        <v>13061</v>
      </c>
      <c r="AQ706" t="s">
        <v>74</v>
      </c>
      <c r="AR706" t="s">
        <v>13062</v>
      </c>
      <c r="AS706" t="s">
        <v>13063</v>
      </c>
      <c r="AT706" t="s">
        <v>11820</v>
      </c>
      <c r="AU706">
        <v>2013</v>
      </c>
      <c r="AV706">
        <v>18</v>
      </c>
      <c r="AW706">
        <v>2</v>
      </c>
      <c r="AX706" t="s">
        <v>74</v>
      </c>
      <c r="AY706" t="s">
        <v>74</v>
      </c>
      <c r="AZ706" t="s">
        <v>74</v>
      </c>
      <c r="BA706" t="s">
        <v>74</v>
      </c>
      <c r="BB706">
        <v>207</v>
      </c>
      <c r="BC706">
        <v>224</v>
      </c>
      <c r="BD706" t="s">
        <v>74</v>
      </c>
      <c r="BE706" t="s">
        <v>13064</v>
      </c>
      <c r="BF706" t="str">
        <f>HYPERLINK("http://dx.doi.org/10.1017/S1355770X12000472","http://dx.doi.org/10.1017/S1355770X12000472")</f>
        <v>http://dx.doi.org/10.1017/S1355770X12000472</v>
      </c>
      <c r="BG706" t="s">
        <v>74</v>
      </c>
      <c r="BH706" t="s">
        <v>74</v>
      </c>
      <c r="BI706">
        <v>18</v>
      </c>
      <c r="BJ706" t="s">
        <v>13065</v>
      </c>
      <c r="BK706" t="s">
        <v>3958</v>
      </c>
      <c r="BL706" t="s">
        <v>13066</v>
      </c>
      <c r="BM706" t="s">
        <v>13067</v>
      </c>
      <c r="BN706" t="s">
        <v>74</v>
      </c>
      <c r="BO706" t="s">
        <v>74</v>
      </c>
      <c r="BP706" t="s">
        <v>74</v>
      </c>
      <c r="BQ706" t="s">
        <v>74</v>
      </c>
      <c r="BR706" t="s">
        <v>105</v>
      </c>
      <c r="BS706" t="s">
        <v>13068</v>
      </c>
      <c r="BT706" t="str">
        <f>HYPERLINK("https%3A%2F%2Fwww.webofscience.com%2Fwos%2Fwoscc%2Ffull-record%2FWOS:000316190400005","View Full Record in Web of Science")</f>
        <v>View Full Record in Web of Science</v>
      </c>
    </row>
    <row r="707" spans="1:72" x14ac:dyDescent="0.15">
      <c r="A707" t="s">
        <v>72</v>
      </c>
      <c r="B707" t="s">
        <v>13069</v>
      </c>
      <c r="C707" t="s">
        <v>74</v>
      </c>
      <c r="D707" t="s">
        <v>74</v>
      </c>
      <c r="E707" t="s">
        <v>74</v>
      </c>
      <c r="F707" t="s">
        <v>13070</v>
      </c>
      <c r="G707" t="s">
        <v>74</v>
      </c>
      <c r="H707" t="s">
        <v>74</v>
      </c>
      <c r="I707" t="s">
        <v>13071</v>
      </c>
      <c r="J707" t="s">
        <v>7544</v>
      </c>
      <c r="K707" t="s">
        <v>74</v>
      </c>
      <c r="L707" t="s">
        <v>74</v>
      </c>
      <c r="M707" t="s">
        <v>78</v>
      </c>
      <c r="N707" t="s">
        <v>79</v>
      </c>
      <c r="O707" t="s">
        <v>74</v>
      </c>
      <c r="P707" t="s">
        <v>74</v>
      </c>
      <c r="Q707" t="s">
        <v>74</v>
      </c>
      <c r="R707" t="s">
        <v>74</v>
      </c>
      <c r="S707" t="s">
        <v>74</v>
      </c>
      <c r="T707" t="s">
        <v>13072</v>
      </c>
      <c r="U707" t="s">
        <v>13073</v>
      </c>
      <c r="V707" t="s">
        <v>13074</v>
      </c>
      <c r="W707" t="s">
        <v>13075</v>
      </c>
      <c r="X707" t="s">
        <v>6846</v>
      </c>
      <c r="Y707" t="s">
        <v>13076</v>
      </c>
      <c r="Z707" t="s">
        <v>13077</v>
      </c>
      <c r="AA707" t="s">
        <v>13078</v>
      </c>
      <c r="AB707" t="s">
        <v>13079</v>
      </c>
      <c r="AC707" t="s">
        <v>13080</v>
      </c>
      <c r="AD707" t="s">
        <v>13081</v>
      </c>
      <c r="AE707" t="s">
        <v>13082</v>
      </c>
      <c r="AF707" t="s">
        <v>74</v>
      </c>
      <c r="AG707">
        <v>46</v>
      </c>
      <c r="AH707">
        <v>22</v>
      </c>
      <c r="AI707">
        <v>24</v>
      </c>
      <c r="AJ707">
        <v>7</v>
      </c>
      <c r="AK707">
        <v>58</v>
      </c>
      <c r="AL707" t="s">
        <v>529</v>
      </c>
      <c r="AM707" t="s">
        <v>1151</v>
      </c>
      <c r="AN707" t="s">
        <v>1152</v>
      </c>
      <c r="AO707" t="s">
        <v>7557</v>
      </c>
      <c r="AP707" t="s">
        <v>10207</v>
      </c>
      <c r="AQ707" t="s">
        <v>74</v>
      </c>
      <c r="AR707" t="s">
        <v>7558</v>
      </c>
      <c r="AS707" t="s">
        <v>7559</v>
      </c>
      <c r="AT707" t="s">
        <v>11820</v>
      </c>
      <c r="AU707">
        <v>2013</v>
      </c>
      <c r="AV707">
        <v>185</v>
      </c>
      <c r="AW707">
        <v>4</v>
      </c>
      <c r="AX707" t="s">
        <v>74</v>
      </c>
      <c r="AY707" t="s">
        <v>74</v>
      </c>
      <c r="AZ707" t="s">
        <v>74</v>
      </c>
      <c r="BA707" t="s">
        <v>74</v>
      </c>
      <c r="BB707">
        <v>2961</v>
      </c>
      <c r="BC707">
        <v>2975</v>
      </c>
      <c r="BD707" t="s">
        <v>74</v>
      </c>
      <c r="BE707" t="s">
        <v>13083</v>
      </c>
      <c r="BF707" t="str">
        <f>HYPERLINK("http://dx.doi.org/10.1007/s10661-012-2764-0","http://dx.doi.org/10.1007/s10661-012-2764-0")</f>
        <v>http://dx.doi.org/10.1007/s10661-012-2764-0</v>
      </c>
      <c r="BG707" t="s">
        <v>74</v>
      </c>
      <c r="BH707" t="s">
        <v>74</v>
      </c>
      <c r="BI707">
        <v>15</v>
      </c>
      <c r="BJ707" t="s">
        <v>512</v>
      </c>
      <c r="BK707" t="s">
        <v>102</v>
      </c>
      <c r="BL707" t="s">
        <v>262</v>
      </c>
      <c r="BM707" t="s">
        <v>13084</v>
      </c>
      <c r="BN707">
        <v>22791020</v>
      </c>
      <c r="BO707" t="s">
        <v>74</v>
      </c>
      <c r="BP707" t="s">
        <v>74</v>
      </c>
      <c r="BQ707" t="s">
        <v>74</v>
      </c>
      <c r="BR707" t="s">
        <v>105</v>
      </c>
      <c r="BS707" t="s">
        <v>13085</v>
      </c>
      <c r="BT707" t="str">
        <f>HYPERLINK("https%3A%2F%2Fwww.webofscience.com%2Fwos%2Fwoscc%2Ffull-record%2FWOS:000315736500008","View Full Record in Web of Science")</f>
        <v>View Full Record in Web of Science</v>
      </c>
    </row>
    <row r="708" spans="1:72" x14ac:dyDescent="0.15">
      <c r="A708" t="s">
        <v>72</v>
      </c>
      <c r="B708" t="s">
        <v>13086</v>
      </c>
      <c r="C708" t="s">
        <v>74</v>
      </c>
      <c r="D708" t="s">
        <v>74</v>
      </c>
      <c r="E708" t="s">
        <v>74</v>
      </c>
      <c r="F708" t="s">
        <v>13087</v>
      </c>
      <c r="G708" t="s">
        <v>74</v>
      </c>
      <c r="H708" t="s">
        <v>74</v>
      </c>
      <c r="I708" t="s">
        <v>13088</v>
      </c>
      <c r="J708" t="s">
        <v>13089</v>
      </c>
      <c r="K708" t="s">
        <v>74</v>
      </c>
      <c r="L708" t="s">
        <v>74</v>
      </c>
      <c r="M708" t="s">
        <v>78</v>
      </c>
      <c r="N708" t="s">
        <v>79</v>
      </c>
      <c r="O708" t="s">
        <v>74</v>
      </c>
      <c r="P708" t="s">
        <v>74</v>
      </c>
      <c r="Q708" t="s">
        <v>74</v>
      </c>
      <c r="R708" t="s">
        <v>74</v>
      </c>
      <c r="S708" t="s">
        <v>74</v>
      </c>
      <c r="T708" t="s">
        <v>13090</v>
      </c>
      <c r="U708" t="s">
        <v>13091</v>
      </c>
      <c r="V708" t="s">
        <v>13092</v>
      </c>
      <c r="W708" t="s">
        <v>13093</v>
      </c>
      <c r="X708" t="s">
        <v>13094</v>
      </c>
      <c r="Y708" t="s">
        <v>13095</v>
      </c>
      <c r="Z708" t="s">
        <v>13096</v>
      </c>
      <c r="AA708" t="s">
        <v>74</v>
      </c>
      <c r="AB708" t="s">
        <v>74</v>
      </c>
      <c r="AC708" t="s">
        <v>13097</v>
      </c>
      <c r="AD708" t="s">
        <v>13097</v>
      </c>
      <c r="AE708" t="s">
        <v>13098</v>
      </c>
      <c r="AF708" t="s">
        <v>74</v>
      </c>
      <c r="AG708">
        <v>23</v>
      </c>
      <c r="AH708">
        <v>9</v>
      </c>
      <c r="AI708">
        <v>10</v>
      </c>
      <c r="AJ708">
        <v>0</v>
      </c>
      <c r="AK708">
        <v>27</v>
      </c>
      <c r="AL708" t="s">
        <v>529</v>
      </c>
      <c r="AM708" t="s">
        <v>391</v>
      </c>
      <c r="AN708" t="s">
        <v>530</v>
      </c>
      <c r="AO708" t="s">
        <v>13099</v>
      </c>
      <c r="AP708" t="s">
        <v>13100</v>
      </c>
      <c r="AQ708" t="s">
        <v>74</v>
      </c>
      <c r="AR708" t="s">
        <v>13101</v>
      </c>
      <c r="AS708" t="s">
        <v>13102</v>
      </c>
      <c r="AT708" t="s">
        <v>11820</v>
      </c>
      <c r="AU708">
        <v>2013</v>
      </c>
      <c r="AV708">
        <v>87</v>
      </c>
      <c r="AW708">
        <v>4</v>
      </c>
      <c r="AX708" t="s">
        <v>74</v>
      </c>
      <c r="AY708" t="s">
        <v>74</v>
      </c>
      <c r="AZ708" t="s">
        <v>74</v>
      </c>
      <c r="BA708" t="s">
        <v>74</v>
      </c>
      <c r="BB708">
        <v>387</v>
      </c>
      <c r="BC708">
        <v>392</v>
      </c>
      <c r="BD708" t="s">
        <v>74</v>
      </c>
      <c r="BE708" t="s">
        <v>13103</v>
      </c>
      <c r="BF708" t="str">
        <f>HYPERLINK("http://dx.doi.org/10.1007/s00190-012-0608-x","http://dx.doi.org/10.1007/s00190-012-0608-x")</f>
        <v>http://dx.doi.org/10.1007/s00190-012-0608-x</v>
      </c>
      <c r="BG708" t="s">
        <v>74</v>
      </c>
      <c r="BH708" t="s">
        <v>74</v>
      </c>
      <c r="BI708">
        <v>6</v>
      </c>
      <c r="BJ708" t="s">
        <v>13104</v>
      </c>
      <c r="BK708" t="s">
        <v>102</v>
      </c>
      <c r="BL708" t="s">
        <v>13104</v>
      </c>
      <c r="BM708" t="s">
        <v>13105</v>
      </c>
      <c r="BN708" t="s">
        <v>74</v>
      </c>
      <c r="BO708" t="s">
        <v>74</v>
      </c>
      <c r="BP708" t="s">
        <v>74</v>
      </c>
      <c r="BQ708" t="s">
        <v>74</v>
      </c>
      <c r="BR708" t="s">
        <v>105</v>
      </c>
      <c r="BS708" t="s">
        <v>13106</v>
      </c>
      <c r="BT708" t="str">
        <f>HYPERLINK("https%3A%2F%2Fwww.webofscience.com%2Fwos%2Fwoscc%2Ffull-record%2FWOS:000316123500008","View Full Record in Web of Science")</f>
        <v>View Full Record in Web of Science</v>
      </c>
    </row>
    <row r="709" spans="1:72" x14ac:dyDescent="0.15">
      <c r="A709" t="s">
        <v>72</v>
      </c>
      <c r="B709" t="s">
        <v>13107</v>
      </c>
      <c r="C709" t="s">
        <v>74</v>
      </c>
      <c r="D709" t="s">
        <v>74</v>
      </c>
      <c r="E709" t="s">
        <v>74</v>
      </c>
      <c r="F709" t="s">
        <v>13108</v>
      </c>
      <c r="G709" t="s">
        <v>74</v>
      </c>
      <c r="H709" t="s">
        <v>74</v>
      </c>
      <c r="I709" t="s">
        <v>13109</v>
      </c>
      <c r="J709" t="s">
        <v>3345</v>
      </c>
      <c r="K709" t="s">
        <v>74</v>
      </c>
      <c r="L709" t="s">
        <v>74</v>
      </c>
      <c r="M709" t="s">
        <v>78</v>
      </c>
      <c r="N709" t="s">
        <v>79</v>
      </c>
      <c r="O709" t="s">
        <v>74</v>
      </c>
      <c r="P709" t="s">
        <v>74</v>
      </c>
      <c r="Q709" t="s">
        <v>74</v>
      </c>
      <c r="R709" t="s">
        <v>74</v>
      </c>
      <c r="S709" t="s">
        <v>74</v>
      </c>
      <c r="T709" t="s">
        <v>13110</v>
      </c>
      <c r="U709" t="s">
        <v>13111</v>
      </c>
      <c r="V709" t="s">
        <v>13112</v>
      </c>
      <c r="W709" t="s">
        <v>13113</v>
      </c>
      <c r="X709" t="s">
        <v>13114</v>
      </c>
      <c r="Y709" t="s">
        <v>13115</v>
      </c>
      <c r="Z709" t="s">
        <v>13116</v>
      </c>
      <c r="AA709" t="s">
        <v>13117</v>
      </c>
      <c r="AB709" t="s">
        <v>13118</v>
      </c>
      <c r="AC709" t="s">
        <v>13119</v>
      </c>
      <c r="AD709" t="s">
        <v>13120</v>
      </c>
      <c r="AE709" t="s">
        <v>13121</v>
      </c>
      <c r="AF709" t="s">
        <v>74</v>
      </c>
      <c r="AG709">
        <v>79</v>
      </c>
      <c r="AH709">
        <v>37</v>
      </c>
      <c r="AI709">
        <v>39</v>
      </c>
      <c r="AJ709">
        <v>0</v>
      </c>
      <c r="AK709">
        <v>42</v>
      </c>
      <c r="AL709" t="s">
        <v>529</v>
      </c>
      <c r="AM709" t="s">
        <v>391</v>
      </c>
      <c r="AN709" t="s">
        <v>530</v>
      </c>
      <c r="AO709" t="s">
        <v>3358</v>
      </c>
      <c r="AP709" t="s">
        <v>3359</v>
      </c>
      <c r="AQ709" t="s">
        <v>74</v>
      </c>
      <c r="AR709" t="s">
        <v>3360</v>
      </c>
      <c r="AS709" t="s">
        <v>3361</v>
      </c>
      <c r="AT709" t="s">
        <v>11820</v>
      </c>
      <c r="AU709">
        <v>2013</v>
      </c>
      <c r="AV709">
        <v>36</v>
      </c>
      <c r="AW709">
        <v>4</v>
      </c>
      <c r="AX709" t="s">
        <v>74</v>
      </c>
      <c r="AY709" t="s">
        <v>74</v>
      </c>
      <c r="AZ709" t="s">
        <v>74</v>
      </c>
      <c r="BA709" t="s">
        <v>74</v>
      </c>
      <c r="BB709">
        <v>511</v>
      </c>
      <c r="BC709">
        <v>527</v>
      </c>
      <c r="BD709" t="s">
        <v>74</v>
      </c>
      <c r="BE709" t="s">
        <v>13122</v>
      </c>
      <c r="BF709" t="str">
        <f>HYPERLINK("http://dx.doi.org/10.1007/s00300-012-1278-0","http://dx.doi.org/10.1007/s00300-012-1278-0")</f>
        <v>http://dx.doi.org/10.1007/s00300-012-1278-0</v>
      </c>
      <c r="BG709" t="s">
        <v>74</v>
      </c>
      <c r="BH709" t="s">
        <v>74</v>
      </c>
      <c r="BI709">
        <v>17</v>
      </c>
      <c r="BJ709" t="s">
        <v>1158</v>
      </c>
      <c r="BK709" t="s">
        <v>102</v>
      </c>
      <c r="BL709" t="s">
        <v>1159</v>
      </c>
      <c r="BM709" t="s">
        <v>13123</v>
      </c>
      <c r="BN709" t="s">
        <v>74</v>
      </c>
      <c r="BO709" t="s">
        <v>13124</v>
      </c>
      <c r="BP709" t="s">
        <v>74</v>
      </c>
      <c r="BQ709" t="s">
        <v>74</v>
      </c>
      <c r="BR709" t="s">
        <v>105</v>
      </c>
      <c r="BS709" t="s">
        <v>13125</v>
      </c>
      <c r="BT709" t="str">
        <f>HYPERLINK("https%3A%2F%2Fwww.webofscience.com%2Fwos%2Fwoscc%2Ffull-record%2FWOS:000316331600004","View Full Record in Web of Science")</f>
        <v>View Full Record in Web of Science</v>
      </c>
    </row>
    <row r="710" spans="1:72" x14ac:dyDescent="0.15">
      <c r="A710" t="s">
        <v>72</v>
      </c>
      <c r="B710" t="s">
        <v>13126</v>
      </c>
      <c r="C710" t="s">
        <v>74</v>
      </c>
      <c r="D710" t="s">
        <v>74</v>
      </c>
      <c r="E710" t="s">
        <v>74</v>
      </c>
      <c r="F710" t="s">
        <v>13127</v>
      </c>
      <c r="G710" t="s">
        <v>74</v>
      </c>
      <c r="H710" t="s">
        <v>74</v>
      </c>
      <c r="I710" t="s">
        <v>13128</v>
      </c>
      <c r="J710" t="s">
        <v>3345</v>
      </c>
      <c r="K710" t="s">
        <v>74</v>
      </c>
      <c r="L710" t="s">
        <v>74</v>
      </c>
      <c r="M710" t="s">
        <v>78</v>
      </c>
      <c r="N710" t="s">
        <v>79</v>
      </c>
      <c r="O710" t="s">
        <v>74</v>
      </c>
      <c r="P710" t="s">
        <v>74</v>
      </c>
      <c r="Q710" t="s">
        <v>74</v>
      </c>
      <c r="R710" t="s">
        <v>74</v>
      </c>
      <c r="S710" t="s">
        <v>74</v>
      </c>
      <c r="T710" t="s">
        <v>13129</v>
      </c>
      <c r="U710" t="s">
        <v>13130</v>
      </c>
      <c r="V710" t="s">
        <v>13131</v>
      </c>
      <c r="W710" t="s">
        <v>13132</v>
      </c>
      <c r="X710" t="s">
        <v>13133</v>
      </c>
      <c r="Y710" t="s">
        <v>13134</v>
      </c>
      <c r="Z710" t="s">
        <v>13135</v>
      </c>
      <c r="AA710" t="s">
        <v>13136</v>
      </c>
      <c r="AB710" t="s">
        <v>13137</v>
      </c>
      <c r="AC710" t="s">
        <v>13138</v>
      </c>
      <c r="AD710" t="s">
        <v>13139</v>
      </c>
      <c r="AE710" t="s">
        <v>13140</v>
      </c>
      <c r="AF710" t="s">
        <v>74</v>
      </c>
      <c r="AG710">
        <v>36</v>
      </c>
      <c r="AH710">
        <v>101</v>
      </c>
      <c r="AI710">
        <v>114</v>
      </c>
      <c r="AJ710">
        <v>1</v>
      </c>
      <c r="AK710">
        <v>100</v>
      </c>
      <c r="AL710" t="s">
        <v>529</v>
      </c>
      <c r="AM710" t="s">
        <v>391</v>
      </c>
      <c r="AN710" t="s">
        <v>530</v>
      </c>
      <c r="AO710" t="s">
        <v>3358</v>
      </c>
      <c r="AP710" t="s">
        <v>3359</v>
      </c>
      <c r="AQ710" t="s">
        <v>74</v>
      </c>
      <c r="AR710" t="s">
        <v>3360</v>
      </c>
      <c r="AS710" t="s">
        <v>3361</v>
      </c>
      <c r="AT710" t="s">
        <v>11820</v>
      </c>
      <c r="AU710">
        <v>2013</v>
      </c>
      <c r="AV710">
        <v>36</v>
      </c>
      <c r="AW710">
        <v>4</v>
      </c>
      <c r="AX710" t="s">
        <v>74</v>
      </c>
      <c r="AY710" t="s">
        <v>74</v>
      </c>
      <c r="AZ710" t="s">
        <v>74</v>
      </c>
      <c r="BA710" t="s">
        <v>74</v>
      </c>
      <c r="BB710">
        <v>537</v>
      </c>
      <c r="BC710">
        <v>547</v>
      </c>
      <c r="BD710" t="s">
        <v>74</v>
      </c>
      <c r="BE710" t="s">
        <v>13141</v>
      </c>
      <c r="BF710" t="str">
        <f>HYPERLINK("http://dx.doi.org/10.1007/s00300-012-1282-4","http://dx.doi.org/10.1007/s00300-012-1282-4")</f>
        <v>http://dx.doi.org/10.1007/s00300-012-1282-4</v>
      </c>
      <c r="BG710" t="s">
        <v>74</v>
      </c>
      <c r="BH710" t="s">
        <v>74</v>
      </c>
      <c r="BI710">
        <v>11</v>
      </c>
      <c r="BJ710" t="s">
        <v>1158</v>
      </c>
      <c r="BK710" t="s">
        <v>102</v>
      </c>
      <c r="BL710" t="s">
        <v>1159</v>
      </c>
      <c r="BM710" t="s">
        <v>13123</v>
      </c>
      <c r="BN710" t="s">
        <v>74</v>
      </c>
      <c r="BO710" t="s">
        <v>74</v>
      </c>
      <c r="BP710" t="s">
        <v>74</v>
      </c>
      <c r="BQ710" t="s">
        <v>74</v>
      </c>
      <c r="BR710" t="s">
        <v>105</v>
      </c>
      <c r="BS710" t="s">
        <v>13142</v>
      </c>
      <c r="BT710" t="str">
        <f>HYPERLINK("https%3A%2F%2Fwww.webofscience.com%2Fwos%2Fwoscc%2Ffull-record%2FWOS:000316331600006","View Full Record in Web of Science")</f>
        <v>View Full Record in Web of Science</v>
      </c>
    </row>
    <row r="711" spans="1:72" x14ac:dyDescent="0.15">
      <c r="A711" t="s">
        <v>72</v>
      </c>
      <c r="B711" t="s">
        <v>13143</v>
      </c>
      <c r="C711" t="s">
        <v>74</v>
      </c>
      <c r="D711" t="s">
        <v>74</v>
      </c>
      <c r="E711" t="s">
        <v>74</v>
      </c>
      <c r="F711" t="s">
        <v>13144</v>
      </c>
      <c r="G711" t="s">
        <v>74</v>
      </c>
      <c r="H711" t="s">
        <v>74</v>
      </c>
      <c r="I711" t="s">
        <v>13145</v>
      </c>
      <c r="J711" t="s">
        <v>3345</v>
      </c>
      <c r="K711" t="s">
        <v>74</v>
      </c>
      <c r="L711" t="s">
        <v>74</v>
      </c>
      <c r="M711" t="s">
        <v>78</v>
      </c>
      <c r="N711" t="s">
        <v>79</v>
      </c>
      <c r="O711" t="s">
        <v>74</v>
      </c>
      <c r="P711" t="s">
        <v>74</v>
      </c>
      <c r="Q711" t="s">
        <v>74</v>
      </c>
      <c r="R711" t="s">
        <v>74</v>
      </c>
      <c r="S711" t="s">
        <v>74</v>
      </c>
      <c r="T711" t="s">
        <v>13146</v>
      </c>
      <c r="U711" t="s">
        <v>13147</v>
      </c>
      <c r="V711" t="s">
        <v>13148</v>
      </c>
      <c r="W711" t="s">
        <v>13149</v>
      </c>
      <c r="X711" t="s">
        <v>13150</v>
      </c>
      <c r="Y711" t="s">
        <v>13151</v>
      </c>
      <c r="Z711" t="s">
        <v>13152</v>
      </c>
      <c r="AA711" t="s">
        <v>13153</v>
      </c>
      <c r="AB711" t="s">
        <v>13154</v>
      </c>
      <c r="AC711" t="s">
        <v>13155</v>
      </c>
      <c r="AD711" t="s">
        <v>13155</v>
      </c>
      <c r="AE711" t="s">
        <v>13156</v>
      </c>
      <c r="AF711" t="s">
        <v>74</v>
      </c>
      <c r="AG711">
        <v>69</v>
      </c>
      <c r="AH711">
        <v>7</v>
      </c>
      <c r="AI711">
        <v>8</v>
      </c>
      <c r="AJ711">
        <v>0</v>
      </c>
      <c r="AK711">
        <v>40</v>
      </c>
      <c r="AL711" t="s">
        <v>529</v>
      </c>
      <c r="AM711" t="s">
        <v>391</v>
      </c>
      <c r="AN711" t="s">
        <v>530</v>
      </c>
      <c r="AO711" t="s">
        <v>3358</v>
      </c>
      <c r="AP711" t="s">
        <v>3359</v>
      </c>
      <c r="AQ711" t="s">
        <v>74</v>
      </c>
      <c r="AR711" t="s">
        <v>3360</v>
      </c>
      <c r="AS711" t="s">
        <v>3361</v>
      </c>
      <c r="AT711" t="s">
        <v>11820</v>
      </c>
      <c r="AU711">
        <v>2013</v>
      </c>
      <c r="AV711">
        <v>36</v>
      </c>
      <c r="AW711">
        <v>4</v>
      </c>
      <c r="AX711" t="s">
        <v>74</v>
      </c>
      <c r="AY711" t="s">
        <v>74</v>
      </c>
      <c r="AZ711" t="s">
        <v>74</v>
      </c>
      <c r="BA711" t="s">
        <v>74</v>
      </c>
      <c r="BB711">
        <v>593</v>
      </c>
      <c r="BC711">
        <v>602</v>
      </c>
      <c r="BD711" t="s">
        <v>74</v>
      </c>
      <c r="BE711" t="s">
        <v>13157</v>
      </c>
      <c r="BF711" t="str">
        <f>HYPERLINK("http://dx.doi.org/10.1007/s00300-013-1288-6","http://dx.doi.org/10.1007/s00300-013-1288-6")</f>
        <v>http://dx.doi.org/10.1007/s00300-013-1288-6</v>
      </c>
      <c r="BG711" t="s">
        <v>74</v>
      </c>
      <c r="BH711" t="s">
        <v>74</v>
      </c>
      <c r="BI711">
        <v>10</v>
      </c>
      <c r="BJ711" t="s">
        <v>1158</v>
      </c>
      <c r="BK711" t="s">
        <v>102</v>
      </c>
      <c r="BL711" t="s">
        <v>1159</v>
      </c>
      <c r="BM711" t="s">
        <v>13123</v>
      </c>
      <c r="BN711" t="s">
        <v>74</v>
      </c>
      <c r="BO711" t="s">
        <v>74</v>
      </c>
      <c r="BP711" t="s">
        <v>74</v>
      </c>
      <c r="BQ711" t="s">
        <v>74</v>
      </c>
      <c r="BR711" t="s">
        <v>105</v>
      </c>
      <c r="BS711" t="s">
        <v>13158</v>
      </c>
      <c r="BT711" t="str">
        <f>HYPERLINK("https%3A%2F%2Fwww.webofscience.com%2Fwos%2Fwoscc%2Ffull-record%2FWOS:000316331600011","View Full Record in Web of Science")</f>
        <v>View Full Record in Web of Science</v>
      </c>
    </row>
    <row r="712" spans="1:72" x14ac:dyDescent="0.15">
      <c r="A712" t="s">
        <v>72</v>
      </c>
      <c r="B712" t="s">
        <v>13159</v>
      </c>
      <c r="C712" t="s">
        <v>74</v>
      </c>
      <c r="D712" t="s">
        <v>74</v>
      </c>
      <c r="E712" t="s">
        <v>74</v>
      </c>
      <c r="F712" t="s">
        <v>13160</v>
      </c>
      <c r="G712" t="s">
        <v>74</v>
      </c>
      <c r="H712" t="s">
        <v>74</v>
      </c>
      <c r="I712" t="s">
        <v>13161</v>
      </c>
      <c r="J712" t="s">
        <v>3345</v>
      </c>
      <c r="K712" t="s">
        <v>74</v>
      </c>
      <c r="L712" t="s">
        <v>74</v>
      </c>
      <c r="M712" t="s">
        <v>78</v>
      </c>
      <c r="N712" t="s">
        <v>79</v>
      </c>
      <c r="O712" t="s">
        <v>74</v>
      </c>
      <c r="P712" t="s">
        <v>74</v>
      </c>
      <c r="Q712" t="s">
        <v>74</v>
      </c>
      <c r="R712" t="s">
        <v>74</v>
      </c>
      <c r="S712" t="s">
        <v>74</v>
      </c>
      <c r="T712" t="s">
        <v>13162</v>
      </c>
      <c r="U712" t="s">
        <v>13163</v>
      </c>
      <c r="V712" t="s">
        <v>13164</v>
      </c>
      <c r="W712" t="s">
        <v>13165</v>
      </c>
      <c r="X712" t="s">
        <v>13166</v>
      </c>
      <c r="Y712" t="s">
        <v>13167</v>
      </c>
      <c r="Z712" t="s">
        <v>13168</v>
      </c>
      <c r="AA712" t="s">
        <v>13169</v>
      </c>
      <c r="AB712" t="s">
        <v>13170</v>
      </c>
      <c r="AC712" t="s">
        <v>13171</v>
      </c>
      <c r="AD712" t="s">
        <v>13172</v>
      </c>
      <c r="AE712" t="s">
        <v>13173</v>
      </c>
      <c r="AF712" t="s">
        <v>74</v>
      </c>
      <c r="AG712">
        <v>34</v>
      </c>
      <c r="AH712">
        <v>11</v>
      </c>
      <c r="AI712">
        <v>12</v>
      </c>
      <c r="AJ712">
        <v>0</v>
      </c>
      <c r="AK712">
        <v>30</v>
      </c>
      <c r="AL712" t="s">
        <v>529</v>
      </c>
      <c r="AM712" t="s">
        <v>391</v>
      </c>
      <c r="AN712" t="s">
        <v>530</v>
      </c>
      <c r="AO712" t="s">
        <v>3358</v>
      </c>
      <c r="AP712" t="s">
        <v>74</v>
      </c>
      <c r="AQ712" t="s">
        <v>74</v>
      </c>
      <c r="AR712" t="s">
        <v>3360</v>
      </c>
      <c r="AS712" t="s">
        <v>3361</v>
      </c>
      <c r="AT712" t="s">
        <v>11820</v>
      </c>
      <c r="AU712">
        <v>2013</v>
      </c>
      <c r="AV712">
        <v>36</v>
      </c>
      <c r="AW712">
        <v>4</v>
      </c>
      <c r="AX712" t="s">
        <v>74</v>
      </c>
      <c r="AY712" t="s">
        <v>74</v>
      </c>
      <c r="AZ712" t="s">
        <v>74</v>
      </c>
      <c r="BA712" t="s">
        <v>74</v>
      </c>
      <c r="BB712">
        <v>607</v>
      </c>
      <c r="BC712">
        <v>610</v>
      </c>
      <c r="BD712" t="s">
        <v>74</v>
      </c>
      <c r="BE712" t="s">
        <v>13174</v>
      </c>
      <c r="BF712" t="str">
        <f>HYPERLINK("http://dx.doi.org/10.1007/s00300-012-1280-6","http://dx.doi.org/10.1007/s00300-012-1280-6")</f>
        <v>http://dx.doi.org/10.1007/s00300-012-1280-6</v>
      </c>
      <c r="BG712" t="s">
        <v>74</v>
      </c>
      <c r="BH712" t="s">
        <v>74</v>
      </c>
      <c r="BI712">
        <v>4</v>
      </c>
      <c r="BJ712" t="s">
        <v>1158</v>
      </c>
      <c r="BK712" t="s">
        <v>102</v>
      </c>
      <c r="BL712" t="s">
        <v>1159</v>
      </c>
      <c r="BM712" t="s">
        <v>13123</v>
      </c>
      <c r="BN712" t="s">
        <v>74</v>
      </c>
      <c r="BO712" t="s">
        <v>74</v>
      </c>
      <c r="BP712" t="s">
        <v>74</v>
      </c>
      <c r="BQ712" t="s">
        <v>74</v>
      </c>
      <c r="BR712" t="s">
        <v>105</v>
      </c>
      <c r="BS712" t="s">
        <v>13175</v>
      </c>
      <c r="BT712" t="str">
        <f>HYPERLINK("https%3A%2F%2Fwww.webofscience.com%2Fwos%2Fwoscc%2Ffull-record%2FWOS:000316331600013","View Full Record in Web of Science")</f>
        <v>View Full Record in Web of Science</v>
      </c>
    </row>
    <row r="713" spans="1:72" x14ac:dyDescent="0.15">
      <c r="A713" t="s">
        <v>72</v>
      </c>
      <c r="B713" t="s">
        <v>13176</v>
      </c>
      <c r="C713" t="s">
        <v>74</v>
      </c>
      <c r="D713" t="s">
        <v>74</v>
      </c>
      <c r="E713" t="s">
        <v>74</v>
      </c>
      <c r="F713" t="s">
        <v>13177</v>
      </c>
      <c r="G713" t="s">
        <v>74</v>
      </c>
      <c r="H713" t="s">
        <v>74</v>
      </c>
      <c r="I713" t="s">
        <v>13178</v>
      </c>
      <c r="J713" t="s">
        <v>3234</v>
      </c>
      <c r="K713" t="s">
        <v>74</v>
      </c>
      <c r="L713" t="s">
        <v>74</v>
      </c>
      <c r="M713" t="s">
        <v>78</v>
      </c>
      <c r="N713" t="s">
        <v>79</v>
      </c>
      <c r="O713" t="s">
        <v>74</v>
      </c>
      <c r="P713" t="s">
        <v>74</v>
      </c>
      <c r="Q713" t="s">
        <v>74</v>
      </c>
      <c r="R713" t="s">
        <v>74</v>
      </c>
      <c r="S713" t="s">
        <v>74</v>
      </c>
      <c r="T713" t="s">
        <v>74</v>
      </c>
      <c r="U713" t="s">
        <v>74</v>
      </c>
      <c r="V713" t="s">
        <v>13179</v>
      </c>
      <c r="W713" t="s">
        <v>13180</v>
      </c>
      <c r="X713" t="s">
        <v>13181</v>
      </c>
      <c r="Y713" t="s">
        <v>13182</v>
      </c>
      <c r="Z713" t="s">
        <v>13183</v>
      </c>
      <c r="AA713" t="s">
        <v>74</v>
      </c>
      <c r="AB713" t="s">
        <v>74</v>
      </c>
      <c r="AC713" t="s">
        <v>13184</v>
      </c>
      <c r="AD713" t="s">
        <v>13185</v>
      </c>
      <c r="AE713" t="s">
        <v>13186</v>
      </c>
      <c r="AF713" t="s">
        <v>74</v>
      </c>
      <c r="AG713">
        <v>58</v>
      </c>
      <c r="AH713">
        <v>5</v>
      </c>
      <c r="AI713">
        <v>5</v>
      </c>
      <c r="AJ713">
        <v>0</v>
      </c>
      <c r="AK713">
        <v>1</v>
      </c>
      <c r="AL713" t="s">
        <v>390</v>
      </c>
      <c r="AM713" t="s">
        <v>391</v>
      </c>
      <c r="AN713" t="s">
        <v>392</v>
      </c>
      <c r="AO713" t="s">
        <v>3241</v>
      </c>
      <c r="AP713" t="s">
        <v>3242</v>
      </c>
      <c r="AQ713" t="s">
        <v>74</v>
      </c>
      <c r="AR713" t="s">
        <v>3243</v>
      </c>
      <c r="AS713" t="s">
        <v>3244</v>
      </c>
      <c r="AT713" t="s">
        <v>11820</v>
      </c>
      <c r="AU713">
        <v>2013</v>
      </c>
      <c r="AV713">
        <v>49</v>
      </c>
      <c r="AW713">
        <v>249</v>
      </c>
      <c r="AX713" t="s">
        <v>74</v>
      </c>
      <c r="AY713" t="s">
        <v>74</v>
      </c>
      <c r="AZ713" t="s">
        <v>74</v>
      </c>
      <c r="BA713" t="s">
        <v>74</v>
      </c>
      <c r="BB713">
        <v>110</v>
      </c>
      <c r="BC713">
        <v>117</v>
      </c>
      <c r="BD713" t="s">
        <v>74</v>
      </c>
      <c r="BE713" t="s">
        <v>13187</v>
      </c>
      <c r="BF713" t="str">
        <f>HYPERLINK("http://dx.doi.org/10.1017/S0032247411000799","http://dx.doi.org/10.1017/S0032247411000799")</f>
        <v>http://dx.doi.org/10.1017/S0032247411000799</v>
      </c>
      <c r="BG713" t="s">
        <v>74</v>
      </c>
      <c r="BH713" t="s">
        <v>74</v>
      </c>
      <c r="BI713">
        <v>8</v>
      </c>
      <c r="BJ713" t="s">
        <v>261</v>
      </c>
      <c r="BK713" t="s">
        <v>102</v>
      </c>
      <c r="BL713" t="s">
        <v>262</v>
      </c>
      <c r="BM713" t="s">
        <v>13188</v>
      </c>
      <c r="BN713">
        <v>26366016</v>
      </c>
      <c r="BO713" t="s">
        <v>10766</v>
      </c>
      <c r="BP713" t="s">
        <v>74</v>
      </c>
      <c r="BQ713" t="s">
        <v>74</v>
      </c>
      <c r="BR713" t="s">
        <v>105</v>
      </c>
      <c r="BS713" t="s">
        <v>13189</v>
      </c>
      <c r="BT713" t="str">
        <f>HYPERLINK("https%3A%2F%2Fwww.webofscience.com%2Fwos%2Fwoscc%2Ffull-record%2FWOS:000316068900003","View Full Record in Web of Science")</f>
        <v>View Full Record in Web of Science</v>
      </c>
    </row>
    <row r="714" spans="1:72" x14ac:dyDescent="0.15">
      <c r="A714" t="s">
        <v>72</v>
      </c>
      <c r="B714" t="s">
        <v>13190</v>
      </c>
      <c r="C714" t="s">
        <v>74</v>
      </c>
      <c r="D714" t="s">
        <v>74</v>
      </c>
      <c r="E714" t="s">
        <v>74</v>
      </c>
      <c r="F714" t="s">
        <v>13191</v>
      </c>
      <c r="G714" t="s">
        <v>74</v>
      </c>
      <c r="H714" t="s">
        <v>74</v>
      </c>
      <c r="I714" t="s">
        <v>13192</v>
      </c>
      <c r="J714" t="s">
        <v>3234</v>
      </c>
      <c r="K714" t="s">
        <v>74</v>
      </c>
      <c r="L714" t="s">
        <v>74</v>
      </c>
      <c r="M714" t="s">
        <v>78</v>
      </c>
      <c r="N714" t="s">
        <v>79</v>
      </c>
      <c r="O714" t="s">
        <v>74</v>
      </c>
      <c r="P714" t="s">
        <v>74</v>
      </c>
      <c r="Q714" t="s">
        <v>74</v>
      </c>
      <c r="R714" t="s">
        <v>74</v>
      </c>
      <c r="S714" t="s">
        <v>74</v>
      </c>
      <c r="T714" t="s">
        <v>74</v>
      </c>
      <c r="U714" t="s">
        <v>74</v>
      </c>
      <c r="V714" t="s">
        <v>13193</v>
      </c>
      <c r="W714" t="s">
        <v>74</v>
      </c>
      <c r="X714" t="s">
        <v>74</v>
      </c>
      <c r="Y714" t="s">
        <v>13194</v>
      </c>
      <c r="Z714" t="s">
        <v>13195</v>
      </c>
      <c r="AA714" t="s">
        <v>74</v>
      </c>
      <c r="AB714" t="s">
        <v>74</v>
      </c>
      <c r="AC714" t="s">
        <v>74</v>
      </c>
      <c r="AD714" t="s">
        <v>74</v>
      </c>
      <c r="AE714" t="s">
        <v>74</v>
      </c>
      <c r="AF714" t="s">
        <v>74</v>
      </c>
      <c r="AG714">
        <v>90</v>
      </c>
      <c r="AH714">
        <v>2</v>
      </c>
      <c r="AI714">
        <v>2</v>
      </c>
      <c r="AJ714">
        <v>0</v>
      </c>
      <c r="AK714">
        <v>9</v>
      </c>
      <c r="AL714" t="s">
        <v>390</v>
      </c>
      <c r="AM714" t="s">
        <v>391</v>
      </c>
      <c r="AN714" t="s">
        <v>392</v>
      </c>
      <c r="AO714" t="s">
        <v>3241</v>
      </c>
      <c r="AP714" t="s">
        <v>74</v>
      </c>
      <c r="AQ714" t="s">
        <v>74</v>
      </c>
      <c r="AR714" t="s">
        <v>3243</v>
      </c>
      <c r="AS714" t="s">
        <v>3244</v>
      </c>
      <c r="AT714" t="s">
        <v>11820</v>
      </c>
      <c r="AU714">
        <v>2013</v>
      </c>
      <c r="AV714">
        <v>49</v>
      </c>
      <c r="AW714">
        <v>249</v>
      </c>
      <c r="AX714" t="s">
        <v>74</v>
      </c>
      <c r="AY714" t="s">
        <v>74</v>
      </c>
      <c r="AZ714" t="s">
        <v>74</v>
      </c>
      <c r="BA714" t="s">
        <v>74</v>
      </c>
      <c r="BB714">
        <v>118</v>
      </c>
      <c r="BC714">
        <v>139</v>
      </c>
      <c r="BD714" t="s">
        <v>74</v>
      </c>
      <c r="BE714" t="s">
        <v>13196</v>
      </c>
      <c r="BF714" t="str">
        <f>HYPERLINK("http://dx.doi.org/10.1017/S0032247412000101","http://dx.doi.org/10.1017/S0032247412000101")</f>
        <v>http://dx.doi.org/10.1017/S0032247412000101</v>
      </c>
      <c r="BG714" t="s">
        <v>74</v>
      </c>
      <c r="BH714" t="s">
        <v>74</v>
      </c>
      <c r="BI714">
        <v>22</v>
      </c>
      <c r="BJ714" t="s">
        <v>261</v>
      </c>
      <c r="BK714" t="s">
        <v>102</v>
      </c>
      <c r="BL714" t="s">
        <v>262</v>
      </c>
      <c r="BM714" t="s">
        <v>13188</v>
      </c>
      <c r="BN714" t="s">
        <v>74</v>
      </c>
      <c r="BO714" t="s">
        <v>74</v>
      </c>
      <c r="BP714" t="s">
        <v>74</v>
      </c>
      <c r="BQ714" t="s">
        <v>74</v>
      </c>
      <c r="BR714" t="s">
        <v>105</v>
      </c>
      <c r="BS714" t="s">
        <v>13197</v>
      </c>
      <c r="BT714" t="str">
        <f>HYPERLINK("https%3A%2F%2Fwww.webofscience.com%2Fwos%2Fwoscc%2Ffull-record%2FWOS:000316068900004","View Full Record in Web of Science")</f>
        <v>View Full Record in Web of Science</v>
      </c>
    </row>
    <row r="715" spans="1:72" x14ac:dyDescent="0.15">
      <c r="A715" t="s">
        <v>72</v>
      </c>
      <c r="B715" t="s">
        <v>13198</v>
      </c>
      <c r="C715" t="s">
        <v>74</v>
      </c>
      <c r="D715" t="s">
        <v>74</v>
      </c>
      <c r="E715" t="s">
        <v>74</v>
      </c>
      <c r="F715" t="s">
        <v>13199</v>
      </c>
      <c r="G715" t="s">
        <v>74</v>
      </c>
      <c r="H715" t="s">
        <v>74</v>
      </c>
      <c r="I715" t="s">
        <v>13200</v>
      </c>
      <c r="J715" t="s">
        <v>3234</v>
      </c>
      <c r="K715" t="s">
        <v>74</v>
      </c>
      <c r="L715" t="s">
        <v>74</v>
      </c>
      <c r="M715" t="s">
        <v>78</v>
      </c>
      <c r="N715" t="s">
        <v>79</v>
      </c>
      <c r="O715" t="s">
        <v>74</v>
      </c>
      <c r="P715" t="s">
        <v>74</v>
      </c>
      <c r="Q715" t="s">
        <v>74</v>
      </c>
      <c r="R715" t="s">
        <v>74</v>
      </c>
      <c r="S715" t="s">
        <v>74</v>
      </c>
      <c r="T715" t="s">
        <v>74</v>
      </c>
      <c r="U715" t="s">
        <v>74</v>
      </c>
      <c r="V715" t="s">
        <v>13201</v>
      </c>
      <c r="W715" t="s">
        <v>13202</v>
      </c>
      <c r="X715" t="s">
        <v>13203</v>
      </c>
      <c r="Y715" t="s">
        <v>13204</v>
      </c>
      <c r="Z715" t="s">
        <v>13205</v>
      </c>
      <c r="AA715" t="s">
        <v>13206</v>
      </c>
      <c r="AB715" t="s">
        <v>74</v>
      </c>
      <c r="AC715" t="s">
        <v>13207</v>
      </c>
      <c r="AD715" t="s">
        <v>13208</v>
      </c>
      <c r="AE715" t="s">
        <v>13209</v>
      </c>
      <c r="AF715" t="s">
        <v>74</v>
      </c>
      <c r="AG715">
        <v>49</v>
      </c>
      <c r="AH715">
        <v>3</v>
      </c>
      <c r="AI715">
        <v>3</v>
      </c>
      <c r="AJ715">
        <v>0</v>
      </c>
      <c r="AK715">
        <v>5</v>
      </c>
      <c r="AL715" t="s">
        <v>390</v>
      </c>
      <c r="AM715" t="s">
        <v>391</v>
      </c>
      <c r="AN715" t="s">
        <v>392</v>
      </c>
      <c r="AO715" t="s">
        <v>3241</v>
      </c>
      <c r="AP715" t="s">
        <v>74</v>
      </c>
      <c r="AQ715" t="s">
        <v>74</v>
      </c>
      <c r="AR715" t="s">
        <v>3243</v>
      </c>
      <c r="AS715" t="s">
        <v>3244</v>
      </c>
      <c r="AT715" t="s">
        <v>11820</v>
      </c>
      <c r="AU715">
        <v>2013</v>
      </c>
      <c r="AV715">
        <v>49</v>
      </c>
      <c r="AW715">
        <v>249</v>
      </c>
      <c r="AX715" t="s">
        <v>74</v>
      </c>
      <c r="AY715" t="s">
        <v>74</v>
      </c>
      <c r="AZ715" t="s">
        <v>74</v>
      </c>
      <c r="BA715" t="s">
        <v>74</v>
      </c>
      <c r="BB715">
        <v>180</v>
      </c>
      <c r="BC715">
        <v>192</v>
      </c>
      <c r="BD715" t="s">
        <v>74</v>
      </c>
      <c r="BE715" t="s">
        <v>13210</v>
      </c>
      <c r="BF715" t="str">
        <f>HYPERLINK("http://dx.doi.org/10.1017/S0032247412000113","http://dx.doi.org/10.1017/S0032247412000113")</f>
        <v>http://dx.doi.org/10.1017/S0032247412000113</v>
      </c>
      <c r="BG715" t="s">
        <v>74</v>
      </c>
      <c r="BH715" t="s">
        <v>74</v>
      </c>
      <c r="BI715">
        <v>13</v>
      </c>
      <c r="BJ715" t="s">
        <v>261</v>
      </c>
      <c r="BK715" t="s">
        <v>102</v>
      </c>
      <c r="BL715" t="s">
        <v>262</v>
      </c>
      <c r="BM715" t="s">
        <v>13188</v>
      </c>
      <c r="BN715" t="s">
        <v>74</v>
      </c>
      <c r="BO715" t="s">
        <v>74</v>
      </c>
      <c r="BP715" t="s">
        <v>74</v>
      </c>
      <c r="BQ715" t="s">
        <v>74</v>
      </c>
      <c r="BR715" t="s">
        <v>105</v>
      </c>
      <c r="BS715" t="s">
        <v>13211</v>
      </c>
      <c r="BT715" t="str">
        <f>HYPERLINK("https%3A%2F%2Fwww.webofscience.com%2Fwos%2Fwoscc%2Ffull-record%2FWOS:000316068900008","View Full Record in Web of Science")</f>
        <v>View Full Record in Web of Science</v>
      </c>
    </row>
    <row r="716" spans="1:72" x14ac:dyDescent="0.15">
      <c r="A716" t="s">
        <v>72</v>
      </c>
      <c r="B716" t="s">
        <v>13212</v>
      </c>
      <c r="C716" t="s">
        <v>74</v>
      </c>
      <c r="D716" t="s">
        <v>74</v>
      </c>
      <c r="E716" t="s">
        <v>74</v>
      </c>
      <c r="F716" t="s">
        <v>13213</v>
      </c>
      <c r="G716" t="s">
        <v>74</v>
      </c>
      <c r="H716" t="s">
        <v>74</v>
      </c>
      <c r="I716" t="s">
        <v>13214</v>
      </c>
      <c r="J716" t="s">
        <v>13215</v>
      </c>
      <c r="K716" t="s">
        <v>74</v>
      </c>
      <c r="L716" t="s">
        <v>74</v>
      </c>
      <c r="M716" t="s">
        <v>78</v>
      </c>
      <c r="N716" t="s">
        <v>79</v>
      </c>
      <c r="O716" t="s">
        <v>74</v>
      </c>
      <c r="P716" t="s">
        <v>74</v>
      </c>
      <c r="Q716" t="s">
        <v>74</v>
      </c>
      <c r="R716" t="s">
        <v>74</v>
      </c>
      <c r="S716" t="s">
        <v>74</v>
      </c>
      <c r="T716" t="s">
        <v>13216</v>
      </c>
      <c r="U716" t="s">
        <v>13217</v>
      </c>
      <c r="V716" t="s">
        <v>13218</v>
      </c>
      <c r="W716" t="s">
        <v>13219</v>
      </c>
      <c r="X716" t="s">
        <v>13220</v>
      </c>
      <c r="Y716" t="s">
        <v>13221</v>
      </c>
      <c r="Z716" t="s">
        <v>13222</v>
      </c>
      <c r="AA716" t="s">
        <v>13223</v>
      </c>
      <c r="AB716" t="s">
        <v>13224</v>
      </c>
      <c r="AC716" t="s">
        <v>13225</v>
      </c>
      <c r="AD716" t="s">
        <v>13226</v>
      </c>
      <c r="AE716" t="s">
        <v>13227</v>
      </c>
      <c r="AF716" t="s">
        <v>74</v>
      </c>
      <c r="AG716">
        <v>15</v>
      </c>
      <c r="AH716">
        <v>10</v>
      </c>
      <c r="AI716">
        <v>10</v>
      </c>
      <c r="AJ716">
        <v>1</v>
      </c>
      <c r="AK716">
        <v>49</v>
      </c>
      <c r="AL716" t="s">
        <v>529</v>
      </c>
      <c r="AM716" t="s">
        <v>1151</v>
      </c>
      <c r="AN716" t="s">
        <v>1152</v>
      </c>
      <c r="AO716" t="s">
        <v>13228</v>
      </c>
      <c r="AP716" t="s">
        <v>74</v>
      </c>
      <c r="AQ716" t="s">
        <v>74</v>
      </c>
      <c r="AR716" t="s">
        <v>13215</v>
      </c>
      <c r="AS716" t="s">
        <v>13229</v>
      </c>
      <c r="AT716" t="s">
        <v>11820</v>
      </c>
      <c r="AU716">
        <v>2013</v>
      </c>
      <c r="AV716">
        <v>95</v>
      </c>
      <c r="AW716">
        <v>1</v>
      </c>
      <c r="AX716" t="s">
        <v>74</v>
      </c>
      <c r="AY716" t="s">
        <v>74</v>
      </c>
      <c r="AZ716" t="s">
        <v>74</v>
      </c>
      <c r="BA716" t="s">
        <v>74</v>
      </c>
      <c r="BB716">
        <v>325</v>
      </c>
      <c r="BC716">
        <v>331</v>
      </c>
      <c r="BD716" t="s">
        <v>74</v>
      </c>
      <c r="BE716" t="s">
        <v>13230</v>
      </c>
      <c r="BF716" t="str">
        <f>HYPERLINK("http://dx.doi.org/10.1007/s11192-012-0809-3","http://dx.doi.org/10.1007/s11192-012-0809-3")</f>
        <v>http://dx.doi.org/10.1007/s11192-012-0809-3</v>
      </c>
      <c r="BG716" t="s">
        <v>74</v>
      </c>
      <c r="BH716" t="s">
        <v>74</v>
      </c>
      <c r="BI716">
        <v>7</v>
      </c>
      <c r="BJ716" t="s">
        <v>13231</v>
      </c>
      <c r="BK716" t="s">
        <v>3246</v>
      </c>
      <c r="BL716" t="s">
        <v>13232</v>
      </c>
      <c r="BM716" t="s">
        <v>13233</v>
      </c>
      <c r="BN716" t="s">
        <v>74</v>
      </c>
      <c r="BO716" t="s">
        <v>74</v>
      </c>
      <c r="BP716" t="s">
        <v>74</v>
      </c>
      <c r="BQ716" t="s">
        <v>74</v>
      </c>
      <c r="BR716" t="s">
        <v>105</v>
      </c>
      <c r="BS716" t="s">
        <v>13234</v>
      </c>
      <c r="BT716" t="str">
        <f>HYPERLINK("https%3A%2F%2Fwww.webofscience.com%2Fwos%2Fwoscc%2Ffull-record%2FWOS:000316046000021","View Full Record in Web of Science")</f>
        <v>View Full Record in Web of Science</v>
      </c>
    </row>
    <row r="717" spans="1:72" x14ac:dyDescent="0.15">
      <c r="A717" t="s">
        <v>72</v>
      </c>
      <c r="B717" t="s">
        <v>13235</v>
      </c>
      <c r="C717" t="s">
        <v>74</v>
      </c>
      <c r="D717" t="s">
        <v>74</v>
      </c>
      <c r="E717" t="s">
        <v>74</v>
      </c>
      <c r="F717" t="s">
        <v>13236</v>
      </c>
      <c r="G717" t="s">
        <v>74</v>
      </c>
      <c r="H717" t="s">
        <v>74</v>
      </c>
      <c r="I717" t="s">
        <v>13237</v>
      </c>
      <c r="J717" t="s">
        <v>13238</v>
      </c>
      <c r="K717" t="s">
        <v>74</v>
      </c>
      <c r="L717" t="s">
        <v>74</v>
      </c>
      <c r="M717" t="s">
        <v>78</v>
      </c>
      <c r="N717" t="s">
        <v>79</v>
      </c>
      <c r="O717" t="s">
        <v>74</v>
      </c>
      <c r="P717" t="s">
        <v>74</v>
      </c>
      <c r="Q717" t="s">
        <v>74</v>
      </c>
      <c r="R717" t="s">
        <v>74</v>
      </c>
      <c r="S717" t="s">
        <v>74</v>
      </c>
      <c r="T717" t="s">
        <v>13239</v>
      </c>
      <c r="U717" t="s">
        <v>13240</v>
      </c>
      <c r="V717" t="s">
        <v>13241</v>
      </c>
      <c r="W717" t="s">
        <v>13242</v>
      </c>
      <c r="X717" t="s">
        <v>13243</v>
      </c>
      <c r="Y717" t="s">
        <v>13244</v>
      </c>
      <c r="Z717" t="s">
        <v>13245</v>
      </c>
      <c r="AA717" t="s">
        <v>13246</v>
      </c>
      <c r="AB717" t="s">
        <v>13247</v>
      </c>
      <c r="AC717" t="s">
        <v>13248</v>
      </c>
      <c r="AD717" t="s">
        <v>13249</v>
      </c>
      <c r="AE717" t="s">
        <v>13250</v>
      </c>
      <c r="AF717" t="s">
        <v>74</v>
      </c>
      <c r="AG717">
        <v>37</v>
      </c>
      <c r="AH717">
        <v>10</v>
      </c>
      <c r="AI717">
        <v>10</v>
      </c>
      <c r="AJ717">
        <v>1</v>
      </c>
      <c r="AK717">
        <v>39</v>
      </c>
      <c r="AL717" t="s">
        <v>529</v>
      </c>
      <c r="AM717" t="s">
        <v>391</v>
      </c>
      <c r="AN717" t="s">
        <v>530</v>
      </c>
      <c r="AO717" t="s">
        <v>13251</v>
      </c>
      <c r="AP717" t="s">
        <v>74</v>
      </c>
      <c r="AQ717" t="s">
        <v>74</v>
      </c>
      <c r="AR717" t="s">
        <v>13252</v>
      </c>
      <c r="AS717" t="s">
        <v>13253</v>
      </c>
      <c r="AT717" t="s">
        <v>11820</v>
      </c>
      <c r="AU717">
        <v>2013</v>
      </c>
      <c r="AV717">
        <v>96</v>
      </c>
      <c r="AW717">
        <v>4</v>
      </c>
      <c r="AX717" t="s">
        <v>74</v>
      </c>
      <c r="AY717" t="s">
        <v>74</v>
      </c>
      <c r="AZ717" t="s">
        <v>74</v>
      </c>
      <c r="BA717" t="s">
        <v>74</v>
      </c>
      <c r="BB717">
        <v>459</v>
      </c>
      <c r="BC717">
        <v>466</v>
      </c>
      <c r="BD717" t="s">
        <v>74</v>
      </c>
      <c r="BE717" t="s">
        <v>13254</v>
      </c>
      <c r="BF717" t="str">
        <f>HYPERLINK("http://dx.doi.org/10.1007/s10641-012-0029-y","http://dx.doi.org/10.1007/s10641-012-0029-y")</f>
        <v>http://dx.doi.org/10.1007/s10641-012-0029-y</v>
      </c>
      <c r="BG717" t="s">
        <v>74</v>
      </c>
      <c r="BH717" t="s">
        <v>74</v>
      </c>
      <c r="BI717">
        <v>8</v>
      </c>
      <c r="BJ717" t="s">
        <v>162</v>
      </c>
      <c r="BK717" t="s">
        <v>102</v>
      </c>
      <c r="BL717" t="s">
        <v>163</v>
      </c>
      <c r="BM717" t="s">
        <v>13255</v>
      </c>
      <c r="BN717" t="s">
        <v>74</v>
      </c>
      <c r="BO717" t="s">
        <v>74</v>
      </c>
      <c r="BP717" t="s">
        <v>74</v>
      </c>
      <c r="BQ717" t="s">
        <v>74</v>
      </c>
      <c r="BR717" t="s">
        <v>105</v>
      </c>
      <c r="BS717" t="s">
        <v>13256</v>
      </c>
      <c r="BT717" t="str">
        <f>HYPERLINK("https%3A%2F%2Fwww.webofscience.com%2Fwos%2Fwoscc%2Ffull-record%2FWOS:000315595200004","View Full Record in Web of Science")</f>
        <v>View Full Record in Web of Science</v>
      </c>
    </row>
    <row r="718" spans="1:72" x14ac:dyDescent="0.15">
      <c r="A718" t="s">
        <v>72</v>
      </c>
      <c r="B718" t="s">
        <v>13257</v>
      </c>
      <c r="C718" t="s">
        <v>74</v>
      </c>
      <c r="D718" t="s">
        <v>74</v>
      </c>
      <c r="E718" t="s">
        <v>74</v>
      </c>
      <c r="F718" t="s">
        <v>13258</v>
      </c>
      <c r="G718" t="s">
        <v>74</v>
      </c>
      <c r="H718" t="s">
        <v>74</v>
      </c>
      <c r="I718" t="s">
        <v>13259</v>
      </c>
      <c r="J718" t="s">
        <v>13260</v>
      </c>
      <c r="K718" t="s">
        <v>74</v>
      </c>
      <c r="L718" t="s">
        <v>74</v>
      </c>
      <c r="M718" t="s">
        <v>78</v>
      </c>
      <c r="N718" t="s">
        <v>1459</v>
      </c>
      <c r="O718" t="s">
        <v>74</v>
      </c>
      <c r="P718" t="s">
        <v>74</v>
      </c>
      <c r="Q718" t="s">
        <v>74</v>
      </c>
      <c r="R718" t="s">
        <v>74</v>
      </c>
      <c r="S718" t="s">
        <v>74</v>
      </c>
      <c r="T718" t="s">
        <v>13261</v>
      </c>
      <c r="U718" t="s">
        <v>13262</v>
      </c>
      <c r="V718" t="s">
        <v>13263</v>
      </c>
      <c r="W718" t="s">
        <v>13264</v>
      </c>
      <c r="X718" t="s">
        <v>13265</v>
      </c>
      <c r="Y718" t="s">
        <v>13266</v>
      </c>
      <c r="Z718" t="s">
        <v>13267</v>
      </c>
      <c r="AA718" t="s">
        <v>74</v>
      </c>
      <c r="AB718" t="s">
        <v>74</v>
      </c>
      <c r="AC718" t="s">
        <v>74</v>
      </c>
      <c r="AD718" t="s">
        <v>74</v>
      </c>
      <c r="AE718" t="s">
        <v>74</v>
      </c>
      <c r="AF718" t="s">
        <v>74</v>
      </c>
      <c r="AG718">
        <v>299</v>
      </c>
      <c r="AH718">
        <v>20</v>
      </c>
      <c r="AI718">
        <v>22</v>
      </c>
      <c r="AJ718">
        <v>0</v>
      </c>
      <c r="AK718">
        <v>36</v>
      </c>
      <c r="AL718" t="s">
        <v>154</v>
      </c>
      <c r="AM718" t="s">
        <v>155</v>
      </c>
      <c r="AN718" t="s">
        <v>156</v>
      </c>
      <c r="AO718" t="s">
        <v>13268</v>
      </c>
      <c r="AP718" t="s">
        <v>13269</v>
      </c>
      <c r="AQ718" t="s">
        <v>74</v>
      </c>
      <c r="AR718" t="s">
        <v>13270</v>
      </c>
      <c r="AS718" t="s">
        <v>13271</v>
      </c>
      <c r="AT718" t="s">
        <v>11820</v>
      </c>
      <c r="AU718">
        <v>2013</v>
      </c>
      <c r="AV718">
        <v>23</v>
      </c>
      <c r="AW718">
        <v>3</v>
      </c>
      <c r="AX718" t="s">
        <v>74</v>
      </c>
      <c r="AY718" t="s">
        <v>74</v>
      </c>
      <c r="AZ718" t="s">
        <v>935</v>
      </c>
      <c r="BA718" t="s">
        <v>74</v>
      </c>
      <c r="BB718">
        <v>844</v>
      </c>
      <c r="BC718">
        <v>864</v>
      </c>
      <c r="BD718" t="s">
        <v>74</v>
      </c>
      <c r="BE718" t="s">
        <v>13272</v>
      </c>
      <c r="BF718" t="str">
        <f>HYPERLINK("http://dx.doi.org/10.1016/j.gr.2012.07.012","http://dx.doi.org/10.1016/j.gr.2012.07.012")</f>
        <v>http://dx.doi.org/10.1016/j.gr.2012.07.012</v>
      </c>
      <c r="BG718" t="s">
        <v>74</v>
      </c>
      <c r="BH718" t="s">
        <v>74</v>
      </c>
      <c r="BI718">
        <v>21</v>
      </c>
      <c r="BJ718" t="s">
        <v>1426</v>
      </c>
      <c r="BK718" t="s">
        <v>102</v>
      </c>
      <c r="BL718" t="s">
        <v>219</v>
      </c>
      <c r="BM718" t="s">
        <v>13273</v>
      </c>
      <c r="BN718" t="s">
        <v>74</v>
      </c>
      <c r="BO718" t="s">
        <v>74</v>
      </c>
      <c r="BP718" t="s">
        <v>74</v>
      </c>
      <c r="BQ718" t="s">
        <v>74</v>
      </c>
      <c r="BR718" t="s">
        <v>105</v>
      </c>
      <c r="BS718" t="s">
        <v>13274</v>
      </c>
      <c r="BT718" t="str">
        <f>HYPERLINK("https%3A%2F%2Fwww.webofscience.com%2Fwos%2Fwoscc%2Ffull-record%2FWOS:000315543400002","View Full Record in Web of Science")</f>
        <v>View Full Record in Web of Science</v>
      </c>
    </row>
    <row r="719" spans="1:72" x14ac:dyDescent="0.15">
      <c r="A719" t="s">
        <v>72</v>
      </c>
      <c r="B719" t="s">
        <v>13275</v>
      </c>
      <c r="C719" t="s">
        <v>74</v>
      </c>
      <c r="D719" t="s">
        <v>74</v>
      </c>
      <c r="E719" t="s">
        <v>74</v>
      </c>
      <c r="F719" t="s">
        <v>13276</v>
      </c>
      <c r="G719" t="s">
        <v>74</v>
      </c>
      <c r="H719" t="s">
        <v>74</v>
      </c>
      <c r="I719" t="s">
        <v>13277</v>
      </c>
      <c r="J719" t="s">
        <v>13278</v>
      </c>
      <c r="K719" t="s">
        <v>74</v>
      </c>
      <c r="L719" t="s">
        <v>74</v>
      </c>
      <c r="M719" t="s">
        <v>78</v>
      </c>
      <c r="N719" t="s">
        <v>79</v>
      </c>
      <c r="O719" t="s">
        <v>74</v>
      </c>
      <c r="P719" t="s">
        <v>74</v>
      </c>
      <c r="Q719" t="s">
        <v>74</v>
      </c>
      <c r="R719" t="s">
        <v>74</v>
      </c>
      <c r="S719" t="s">
        <v>74</v>
      </c>
      <c r="T719" t="s">
        <v>13279</v>
      </c>
      <c r="U719" t="s">
        <v>13280</v>
      </c>
      <c r="V719" t="s">
        <v>13281</v>
      </c>
      <c r="W719" t="s">
        <v>13282</v>
      </c>
      <c r="X719" t="s">
        <v>13283</v>
      </c>
      <c r="Y719" t="s">
        <v>13284</v>
      </c>
      <c r="Z719" t="s">
        <v>13285</v>
      </c>
      <c r="AA719" t="s">
        <v>13286</v>
      </c>
      <c r="AB719" t="s">
        <v>13287</v>
      </c>
      <c r="AC719" t="s">
        <v>13288</v>
      </c>
      <c r="AD719" t="s">
        <v>13289</v>
      </c>
      <c r="AE719" t="s">
        <v>13290</v>
      </c>
      <c r="AF719" t="s">
        <v>74</v>
      </c>
      <c r="AG719">
        <v>62</v>
      </c>
      <c r="AH719">
        <v>29</v>
      </c>
      <c r="AI719">
        <v>31</v>
      </c>
      <c r="AJ719">
        <v>1</v>
      </c>
      <c r="AK719">
        <v>68</v>
      </c>
      <c r="AL719" t="s">
        <v>906</v>
      </c>
      <c r="AM719" t="s">
        <v>643</v>
      </c>
      <c r="AN719" t="s">
        <v>907</v>
      </c>
      <c r="AO719" t="s">
        <v>13291</v>
      </c>
      <c r="AP719" t="s">
        <v>13292</v>
      </c>
      <c r="AQ719" t="s">
        <v>74</v>
      </c>
      <c r="AR719" t="s">
        <v>13293</v>
      </c>
      <c r="AS719" t="s">
        <v>13294</v>
      </c>
      <c r="AT719" t="s">
        <v>11820</v>
      </c>
      <c r="AU719">
        <v>2013</v>
      </c>
      <c r="AV719">
        <v>85</v>
      </c>
      <c r="AW719">
        <v>4</v>
      </c>
      <c r="AX719" t="s">
        <v>74</v>
      </c>
      <c r="AY719" t="s">
        <v>74</v>
      </c>
      <c r="AZ719" t="s">
        <v>74</v>
      </c>
      <c r="BA719" t="s">
        <v>74</v>
      </c>
      <c r="BB719">
        <v>839</v>
      </c>
      <c r="BC719">
        <v>848</v>
      </c>
      <c r="BD719" t="s">
        <v>74</v>
      </c>
      <c r="BE719" t="s">
        <v>13295</v>
      </c>
      <c r="BF719" t="str">
        <f>HYPERLINK("http://dx.doi.org/10.1016/j.anbehav.2013.02.003","http://dx.doi.org/10.1016/j.anbehav.2013.02.003")</f>
        <v>http://dx.doi.org/10.1016/j.anbehav.2013.02.003</v>
      </c>
      <c r="BG719" t="s">
        <v>74</v>
      </c>
      <c r="BH719" t="s">
        <v>74</v>
      </c>
      <c r="BI719">
        <v>10</v>
      </c>
      <c r="BJ719" t="s">
        <v>13296</v>
      </c>
      <c r="BK719" t="s">
        <v>102</v>
      </c>
      <c r="BL719" t="s">
        <v>13296</v>
      </c>
      <c r="BM719" t="s">
        <v>13297</v>
      </c>
      <c r="BN719" t="s">
        <v>74</v>
      </c>
      <c r="BO719" t="s">
        <v>248</v>
      </c>
      <c r="BP719" t="s">
        <v>74</v>
      </c>
      <c r="BQ719" t="s">
        <v>74</v>
      </c>
      <c r="BR719" t="s">
        <v>105</v>
      </c>
      <c r="BS719" t="s">
        <v>13298</v>
      </c>
      <c r="BT719" t="str">
        <f>HYPERLINK("https%3A%2F%2Fwww.webofscience.com%2Fwos%2Fwoscc%2Ffull-record%2FWOS:000316726900019","View Full Record in Web of Science")</f>
        <v>View Full Record in Web of Science</v>
      </c>
    </row>
    <row r="720" spans="1:72" x14ac:dyDescent="0.15">
      <c r="A720" t="s">
        <v>72</v>
      </c>
      <c r="B720" t="s">
        <v>13299</v>
      </c>
      <c r="C720" t="s">
        <v>74</v>
      </c>
      <c r="D720" t="s">
        <v>74</v>
      </c>
      <c r="E720" t="s">
        <v>74</v>
      </c>
      <c r="F720" t="s">
        <v>13300</v>
      </c>
      <c r="G720" t="s">
        <v>74</v>
      </c>
      <c r="H720" t="s">
        <v>74</v>
      </c>
      <c r="I720" t="s">
        <v>13301</v>
      </c>
      <c r="J720" t="s">
        <v>797</v>
      </c>
      <c r="K720" t="s">
        <v>74</v>
      </c>
      <c r="L720" t="s">
        <v>74</v>
      </c>
      <c r="M720" t="s">
        <v>78</v>
      </c>
      <c r="N720" t="s">
        <v>79</v>
      </c>
      <c r="O720" t="s">
        <v>74</v>
      </c>
      <c r="P720" t="s">
        <v>74</v>
      </c>
      <c r="Q720" t="s">
        <v>74</v>
      </c>
      <c r="R720" t="s">
        <v>74</v>
      </c>
      <c r="S720" t="s">
        <v>74</v>
      </c>
      <c r="T720" t="s">
        <v>13302</v>
      </c>
      <c r="U720" t="s">
        <v>13303</v>
      </c>
      <c r="V720" t="s">
        <v>13304</v>
      </c>
      <c r="W720" t="s">
        <v>13305</v>
      </c>
      <c r="X720" t="s">
        <v>13306</v>
      </c>
      <c r="Y720" t="s">
        <v>13007</v>
      </c>
      <c r="Z720" t="s">
        <v>13008</v>
      </c>
      <c r="AA720" t="s">
        <v>13307</v>
      </c>
      <c r="AB720" t="s">
        <v>13308</v>
      </c>
      <c r="AC720" t="s">
        <v>13309</v>
      </c>
      <c r="AD720" t="s">
        <v>13310</v>
      </c>
      <c r="AE720" t="s">
        <v>13311</v>
      </c>
      <c r="AF720" t="s">
        <v>74</v>
      </c>
      <c r="AG720">
        <v>194</v>
      </c>
      <c r="AH720">
        <v>17</v>
      </c>
      <c r="AI720">
        <v>17</v>
      </c>
      <c r="AJ720">
        <v>0</v>
      </c>
      <c r="AK720">
        <v>40</v>
      </c>
      <c r="AL720" t="s">
        <v>390</v>
      </c>
      <c r="AM720" t="s">
        <v>391</v>
      </c>
      <c r="AN720" t="s">
        <v>392</v>
      </c>
      <c r="AO720" t="s">
        <v>806</v>
      </c>
      <c r="AP720" t="s">
        <v>807</v>
      </c>
      <c r="AQ720" t="s">
        <v>74</v>
      </c>
      <c r="AR720" t="s">
        <v>808</v>
      </c>
      <c r="AS720" t="s">
        <v>809</v>
      </c>
      <c r="AT720" t="s">
        <v>11820</v>
      </c>
      <c r="AU720">
        <v>2013</v>
      </c>
      <c r="AV720">
        <v>25</v>
      </c>
      <c r="AW720">
        <v>2</v>
      </c>
      <c r="AX720" t="s">
        <v>74</v>
      </c>
      <c r="AY720" t="s">
        <v>74</v>
      </c>
      <c r="AZ720" t="s">
        <v>935</v>
      </c>
      <c r="BA720" t="s">
        <v>74</v>
      </c>
      <c r="BB720">
        <v>128</v>
      </c>
      <c r="BC720">
        <v>145</v>
      </c>
      <c r="BD720" t="s">
        <v>74</v>
      </c>
      <c r="BE720" t="s">
        <v>13312</v>
      </c>
      <c r="BF720" t="str">
        <f>HYPERLINK("http://dx.doi.org/10.1017/S0954102012001058","http://dx.doi.org/10.1017/S0954102012001058")</f>
        <v>http://dx.doi.org/10.1017/S0954102012001058</v>
      </c>
      <c r="BG720" t="s">
        <v>74</v>
      </c>
      <c r="BH720" t="s">
        <v>74</v>
      </c>
      <c r="BI720">
        <v>18</v>
      </c>
      <c r="BJ720" t="s">
        <v>811</v>
      </c>
      <c r="BK720" t="s">
        <v>102</v>
      </c>
      <c r="BL720" t="s">
        <v>812</v>
      </c>
      <c r="BM720" t="s">
        <v>12887</v>
      </c>
      <c r="BN720" t="s">
        <v>74</v>
      </c>
      <c r="BO720" t="s">
        <v>1063</v>
      </c>
      <c r="BP720" t="s">
        <v>74</v>
      </c>
      <c r="BQ720" t="s">
        <v>74</v>
      </c>
      <c r="BR720" t="s">
        <v>105</v>
      </c>
      <c r="BS720" t="s">
        <v>13313</v>
      </c>
      <c r="BT720" t="str">
        <f>HYPERLINK("https%3A%2F%2Fwww.webofscience.com%2Fwos%2Fwoscc%2Ffull-record%2FWOS:000316479700002","View Full Record in Web of Science")</f>
        <v>View Full Record in Web of Science</v>
      </c>
    </row>
    <row r="721" spans="1:72" x14ac:dyDescent="0.15">
      <c r="A721" t="s">
        <v>72</v>
      </c>
      <c r="B721" t="s">
        <v>13314</v>
      </c>
      <c r="C721" t="s">
        <v>74</v>
      </c>
      <c r="D721" t="s">
        <v>74</v>
      </c>
      <c r="E721" t="s">
        <v>74</v>
      </c>
      <c r="F721" t="s">
        <v>13315</v>
      </c>
      <c r="G721" t="s">
        <v>74</v>
      </c>
      <c r="H721" t="s">
        <v>74</v>
      </c>
      <c r="I721" t="s">
        <v>13316</v>
      </c>
      <c r="J721" t="s">
        <v>797</v>
      </c>
      <c r="K721" t="s">
        <v>74</v>
      </c>
      <c r="L721" t="s">
        <v>74</v>
      </c>
      <c r="M721" t="s">
        <v>78</v>
      </c>
      <c r="N721" t="s">
        <v>79</v>
      </c>
      <c r="O721" t="s">
        <v>74</v>
      </c>
      <c r="P721" t="s">
        <v>74</v>
      </c>
      <c r="Q721" t="s">
        <v>74</v>
      </c>
      <c r="R721" t="s">
        <v>74</v>
      </c>
      <c r="S721" t="s">
        <v>74</v>
      </c>
      <c r="T721" t="s">
        <v>13317</v>
      </c>
      <c r="U721" t="s">
        <v>13318</v>
      </c>
      <c r="V721" t="s">
        <v>13319</v>
      </c>
      <c r="W721" t="s">
        <v>13320</v>
      </c>
      <c r="X721" t="s">
        <v>13321</v>
      </c>
      <c r="Y721" t="s">
        <v>13322</v>
      </c>
      <c r="Z721" t="s">
        <v>13323</v>
      </c>
      <c r="AA721" t="s">
        <v>13324</v>
      </c>
      <c r="AB721" t="s">
        <v>13325</v>
      </c>
      <c r="AC721" t="s">
        <v>13326</v>
      </c>
      <c r="AD721" t="s">
        <v>13327</v>
      </c>
      <c r="AE721" t="s">
        <v>13328</v>
      </c>
      <c r="AF721" t="s">
        <v>74</v>
      </c>
      <c r="AG721">
        <v>35</v>
      </c>
      <c r="AH721">
        <v>36</v>
      </c>
      <c r="AI721">
        <v>37</v>
      </c>
      <c r="AJ721">
        <v>0</v>
      </c>
      <c r="AK721">
        <v>21</v>
      </c>
      <c r="AL721" t="s">
        <v>390</v>
      </c>
      <c r="AM721" t="s">
        <v>391</v>
      </c>
      <c r="AN721" t="s">
        <v>392</v>
      </c>
      <c r="AO721" t="s">
        <v>806</v>
      </c>
      <c r="AP721" t="s">
        <v>807</v>
      </c>
      <c r="AQ721" t="s">
        <v>74</v>
      </c>
      <c r="AR721" t="s">
        <v>808</v>
      </c>
      <c r="AS721" t="s">
        <v>809</v>
      </c>
      <c r="AT721" t="s">
        <v>11820</v>
      </c>
      <c r="AU721">
        <v>2013</v>
      </c>
      <c r="AV721">
        <v>25</v>
      </c>
      <c r="AW721">
        <v>2</v>
      </c>
      <c r="AX721" t="s">
        <v>74</v>
      </c>
      <c r="AY721" t="s">
        <v>74</v>
      </c>
      <c r="AZ721" t="s">
        <v>935</v>
      </c>
      <c r="BA721" t="s">
        <v>74</v>
      </c>
      <c r="BB721">
        <v>167</v>
      </c>
      <c r="BC721">
        <v>180</v>
      </c>
      <c r="BD721" t="s">
        <v>74</v>
      </c>
      <c r="BE721" t="s">
        <v>13329</v>
      </c>
      <c r="BF721" t="str">
        <f>HYPERLINK("http://dx.doi.org/10.1017/S0954102012000818","http://dx.doi.org/10.1017/S0954102012000818")</f>
        <v>http://dx.doi.org/10.1017/S0954102012000818</v>
      </c>
      <c r="BG721" t="s">
        <v>74</v>
      </c>
      <c r="BH721" t="s">
        <v>74</v>
      </c>
      <c r="BI721">
        <v>14</v>
      </c>
      <c r="BJ721" t="s">
        <v>811</v>
      </c>
      <c r="BK721" t="s">
        <v>102</v>
      </c>
      <c r="BL721" t="s">
        <v>812</v>
      </c>
      <c r="BM721" t="s">
        <v>12887</v>
      </c>
      <c r="BN721" t="s">
        <v>74</v>
      </c>
      <c r="BO721" t="s">
        <v>74</v>
      </c>
      <c r="BP721" t="s">
        <v>74</v>
      </c>
      <c r="BQ721" t="s">
        <v>74</v>
      </c>
      <c r="BR721" t="s">
        <v>105</v>
      </c>
      <c r="BS721" t="s">
        <v>13330</v>
      </c>
      <c r="BT721" t="str">
        <f>HYPERLINK("https%3A%2F%2Fwww.webofscience.com%2Fwos%2Fwoscc%2Ffull-record%2FWOS:000316479700005","View Full Record in Web of Science")</f>
        <v>View Full Record in Web of Science</v>
      </c>
    </row>
    <row r="722" spans="1:72" x14ac:dyDescent="0.15">
      <c r="A722" t="s">
        <v>72</v>
      </c>
      <c r="B722" t="s">
        <v>13331</v>
      </c>
      <c r="C722" t="s">
        <v>74</v>
      </c>
      <c r="D722" t="s">
        <v>74</v>
      </c>
      <c r="E722" t="s">
        <v>74</v>
      </c>
      <c r="F722" t="s">
        <v>13332</v>
      </c>
      <c r="G722" t="s">
        <v>74</v>
      </c>
      <c r="H722" t="s">
        <v>74</v>
      </c>
      <c r="I722" t="s">
        <v>13333</v>
      </c>
      <c r="J722" t="s">
        <v>797</v>
      </c>
      <c r="K722" t="s">
        <v>74</v>
      </c>
      <c r="L722" t="s">
        <v>74</v>
      </c>
      <c r="M722" t="s">
        <v>78</v>
      </c>
      <c r="N722" t="s">
        <v>79</v>
      </c>
      <c r="O722" t="s">
        <v>74</v>
      </c>
      <c r="P722" t="s">
        <v>74</v>
      </c>
      <c r="Q722" t="s">
        <v>74</v>
      </c>
      <c r="R722" t="s">
        <v>74</v>
      </c>
      <c r="S722" t="s">
        <v>74</v>
      </c>
      <c r="T722" t="s">
        <v>13334</v>
      </c>
      <c r="U722" t="s">
        <v>13335</v>
      </c>
      <c r="V722" t="s">
        <v>13336</v>
      </c>
      <c r="W722" t="s">
        <v>13337</v>
      </c>
      <c r="X722" t="s">
        <v>13338</v>
      </c>
      <c r="Y722" t="s">
        <v>13339</v>
      </c>
      <c r="Z722" t="s">
        <v>13340</v>
      </c>
      <c r="AA722" t="s">
        <v>13341</v>
      </c>
      <c r="AB722" t="s">
        <v>13342</v>
      </c>
      <c r="AC722" t="s">
        <v>13343</v>
      </c>
      <c r="AD722" t="s">
        <v>13344</v>
      </c>
      <c r="AE722" t="s">
        <v>13345</v>
      </c>
      <c r="AF722" t="s">
        <v>74</v>
      </c>
      <c r="AG722">
        <v>38</v>
      </c>
      <c r="AH722">
        <v>15</v>
      </c>
      <c r="AI722">
        <v>15</v>
      </c>
      <c r="AJ722">
        <v>0</v>
      </c>
      <c r="AK722">
        <v>21</v>
      </c>
      <c r="AL722" t="s">
        <v>390</v>
      </c>
      <c r="AM722" t="s">
        <v>391</v>
      </c>
      <c r="AN722" t="s">
        <v>392</v>
      </c>
      <c r="AO722" t="s">
        <v>806</v>
      </c>
      <c r="AP722" t="s">
        <v>807</v>
      </c>
      <c r="AQ722" t="s">
        <v>74</v>
      </c>
      <c r="AR722" t="s">
        <v>808</v>
      </c>
      <c r="AS722" t="s">
        <v>809</v>
      </c>
      <c r="AT722" t="s">
        <v>11820</v>
      </c>
      <c r="AU722">
        <v>2013</v>
      </c>
      <c r="AV722">
        <v>25</v>
      </c>
      <c r="AW722">
        <v>2</v>
      </c>
      <c r="AX722" t="s">
        <v>74</v>
      </c>
      <c r="AY722" t="s">
        <v>74</v>
      </c>
      <c r="AZ722" t="s">
        <v>935</v>
      </c>
      <c r="BA722" t="s">
        <v>74</v>
      </c>
      <c r="BB722">
        <v>181</v>
      </c>
      <c r="BC722">
        <v>190</v>
      </c>
      <c r="BD722" t="s">
        <v>74</v>
      </c>
      <c r="BE722" t="s">
        <v>13346</v>
      </c>
      <c r="BF722" t="str">
        <f>HYPERLINK("http://dx.doi.org/10.1017/S0954102012000776","http://dx.doi.org/10.1017/S0954102012000776")</f>
        <v>http://dx.doi.org/10.1017/S0954102012000776</v>
      </c>
      <c r="BG722" t="s">
        <v>74</v>
      </c>
      <c r="BH722" t="s">
        <v>74</v>
      </c>
      <c r="BI722">
        <v>10</v>
      </c>
      <c r="BJ722" t="s">
        <v>811</v>
      </c>
      <c r="BK722" t="s">
        <v>102</v>
      </c>
      <c r="BL722" t="s">
        <v>812</v>
      </c>
      <c r="BM722" t="s">
        <v>12887</v>
      </c>
      <c r="BN722" t="s">
        <v>74</v>
      </c>
      <c r="BO722" t="s">
        <v>74</v>
      </c>
      <c r="BP722" t="s">
        <v>74</v>
      </c>
      <c r="BQ722" t="s">
        <v>74</v>
      </c>
      <c r="BR722" t="s">
        <v>105</v>
      </c>
      <c r="BS722" t="s">
        <v>13347</v>
      </c>
      <c r="BT722" t="str">
        <f>HYPERLINK("https%3A%2F%2Fwww.webofscience.com%2Fwos%2Fwoscc%2Ffull-record%2FWOS:000316479700006","View Full Record in Web of Science")</f>
        <v>View Full Record in Web of Science</v>
      </c>
    </row>
    <row r="723" spans="1:72" x14ac:dyDescent="0.15">
      <c r="A723" t="s">
        <v>72</v>
      </c>
      <c r="B723" t="s">
        <v>13348</v>
      </c>
      <c r="C723" t="s">
        <v>74</v>
      </c>
      <c r="D723" t="s">
        <v>74</v>
      </c>
      <c r="E723" t="s">
        <v>74</v>
      </c>
      <c r="F723" t="s">
        <v>13349</v>
      </c>
      <c r="G723" t="s">
        <v>74</v>
      </c>
      <c r="H723" t="s">
        <v>74</v>
      </c>
      <c r="I723" t="s">
        <v>13350</v>
      </c>
      <c r="J723" t="s">
        <v>797</v>
      </c>
      <c r="K723" t="s">
        <v>74</v>
      </c>
      <c r="L723" t="s">
        <v>74</v>
      </c>
      <c r="M723" t="s">
        <v>78</v>
      </c>
      <c r="N723" t="s">
        <v>79</v>
      </c>
      <c r="O723" t="s">
        <v>74</v>
      </c>
      <c r="P723" t="s">
        <v>74</v>
      </c>
      <c r="Q723" t="s">
        <v>74</v>
      </c>
      <c r="R723" t="s">
        <v>74</v>
      </c>
      <c r="S723" t="s">
        <v>74</v>
      </c>
      <c r="T723" t="s">
        <v>13351</v>
      </c>
      <c r="U723" t="s">
        <v>13352</v>
      </c>
      <c r="V723" t="s">
        <v>13353</v>
      </c>
      <c r="W723" t="s">
        <v>13354</v>
      </c>
      <c r="X723" t="s">
        <v>13355</v>
      </c>
      <c r="Y723" t="s">
        <v>12879</v>
      </c>
      <c r="Z723" t="s">
        <v>12880</v>
      </c>
      <c r="AA723" t="s">
        <v>13356</v>
      </c>
      <c r="AB723" t="s">
        <v>13357</v>
      </c>
      <c r="AC723" t="s">
        <v>13358</v>
      </c>
      <c r="AD723" t="s">
        <v>13359</v>
      </c>
      <c r="AE723" t="s">
        <v>13360</v>
      </c>
      <c r="AF723" t="s">
        <v>74</v>
      </c>
      <c r="AG723">
        <v>32</v>
      </c>
      <c r="AH723">
        <v>13</v>
      </c>
      <c r="AI723">
        <v>14</v>
      </c>
      <c r="AJ723">
        <v>0</v>
      </c>
      <c r="AK723">
        <v>42</v>
      </c>
      <c r="AL723" t="s">
        <v>390</v>
      </c>
      <c r="AM723" t="s">
        <v>391</v>
      </c>
      <c r="AN723" t="s">
        <v>392</v>
      </c>
      <c r="AO723" t="s">
        <v>806</v>
      </c>
      <c r="AP723" t="s">
        <v>807</v>
      </c>
      <c r="AQ723" t="s">
        <v>74</v>
      </c>
      <c r="AR723" t="s">
        <v>808</v>
      </c>
      <c r="AS723" t="s">
        <v>809</v>
      </c>
      <c r="AT723" t="s">
        <v>11820</v>
      </c>
      <c r="AU723">
        <v>2013</v>
      </c>
      <c r="AV723">
        <v>25</v>
      </c>
      <c r="AW723">
        <v>2</v>
      </c>
      <c r="AX723" t="s">
        <v>74</v>
      </c>
      <c r="AY723" t="s">
        <v>74</v>
      </c>
      <c r="AZ723" t="s">
        <v>935</v>
      </c>
      <c r="BA723" t="s">
        <v>74</v>
      </c>
      <c r="BB723">
        <v>191</v>
      </c>
      <c r="BC723">
        <v>197</v>
      </c>
      <c r="BD723" t="s">
        <v>74</v>
      </c>
      <c r="BE723" t="s">
        <v>13361</v>
      </c>
      <c r="BF723" t="str">
        <f>HYPERLINK("http://dx.doi.org/10.1017/S0954102012000843","http://dx.doi.org/10.1017/S0954102012000843")</f>
        <v>http://dx.doi.org/10.1017/S0954102012000843</v>
      </c>
      <c r="BG723" t="s">
        <v>74</v>
      </c>
      <c r="BH723" t="s">
        <v>74</v>
      </c>
      <c r="BI723">
        <v>7</v>
      </c>
      <c r="BJ723" t="s">
        <v>811</v>
      </c>
      <c r="BK723" t="s">
        <v>102</v>
      </c>
      <c r="BL723" t="s">
        <v>812</v>
      </c>
      <c r="BM723" t="s">
        <v>12887</v>
      </c>
      <c r="BN723" t="s">
        <v>74</v>
      </c>
      <c r="BO723" t="s">
        <v>74</v>
      </c>
      <c r="BP723" t="s">
        <v>74</v>
      </c>
      <c r="BQ723" t="s">
        <v>74</v>
      </c>
      <c r="BR723" t="s">
        <v>105</v>
      </c>
      <c r="BS723" t="s">
        <v>13362</v>
      </c>
      <c r="BT723" t="str">
        <f>HYPERLINK("https%3A%2F%2Fwww.webofscience.com%2Fwos%2Fwoscc%2Ffull-record%2FWOS:000316479700007","View Full Record in Web of Science")</f>
        <v>View Full Record in Web of Science</v>
      </c>
    </row>
    <row r="724" spans="1:72" x14ac:dyDescent="0.15">
      <c r="A724" t="s">
        <v>72</v>
      </c>
      <c r="B724" t="s">
        <v>13363</v>
      </c>
      <c r="C724" t="s">
        <v>74</v>
      </c>
      <c r="D724" t="s">
        <v>74</v>
      </c>
      <c r="E724" t="s">
        <v>74</v>
      </c>
      <c r="F724" t="s">
        <v>13364</v>
      </c>
      <c r="G724" t="s">
        <v>74</v>
      </c>
      <c r="H724" t="s">
        <v>74</v>
      </c>
      <c r="I724" t="s">
        <v>13365</v>
      </c>
      <c r="J724" t="s">
        <v>797</v>
      </c>
      <c r="K724" t="s">
        <v>74</v>
      </c>
      <c r="L724" t="s">
        <v>74</v>
      </c>
      <c r="M724" t="s">
        <v>78</v>
      </c>
      <c r="N724" t="s">
        <v>79</v>
      </c>
      <c r="O724" t="s">
        <v>74</v>
      </c>
      <c r="P724" t="s">
        <v>74</v>
      </c>
      <c r="Q724" t="s">
        <v>74</v>
      </c>
      <c r="R724" t="s">
        <v>74</v>
      </c>
      <c r="S724" t="s">
        <v>74</v>
      </c>
      <c r="T724" t="s">
        <v>13366</v>
      </c>
      <c r="U724" t="s">
        <v>13367</v>
      </c>
      <c r="V724" t="s">
        <v>13368</v>
      </c>
      <c r="W724" t="s">
        <v>13369</v>
      </c>
      <c r="X724" t="s">
        <v>13370</v>
      </c>
      <c r="Y724" t="s">
        <v>13371</v>
      </c>
      <c r="Z724" t="s">
        <v>13372</v>
      </c>
      <c r="AA724" t="s">
        <v>13373</v>
      </c>
      <c r="AB724" t="s">
        <v>13374</v>
      </c>
      <c r="AC724" t="s">
        <v>13375</v>
      </c>
      <c r="AD724" t="s">
        <v>13376</v>
      </c>
      <c r="AE724" t="s">
        <v>13377</v>
      </c>
      <c r="AF724" t="s">
        <v>74</v>
      </c>
      <c r="AG724">
        <v>48</v>
      </c>
      <c r="AH724">
        <v>35</v>
      </c>
      <c r="AI724">
        <v>40</v>
      </c>
      <c r="AJ724">
        <v>0</v>
      </c>
      <c r="AK724">
        <v>37</v>
      </c>
      <c r="AL724" t="s">
        <v>390</v>
      </c>
      <c r="AM724" t="s">
        <v>391</v>
      </c>
      <c r="AN724" t="s">
        <v>392</v>
      </c>
      <c r="AO724" t="s">
        <v>806</v>
      </c>
      <c r="AP724" t="s">
        <v>807</v>
      </c>
      <c r="AQ724" t="s">
        <v>74</v>
      </c>
      <c r="AR724" t="s">
        <v>808</v>
      </c>
      <c r="AS724" t="s">
        <v>809</v>
      </c>
      <c r="AT724" t="s">
        <v>11820</v>
      </c>
      <c r="AU724">
        <v>2013</v>
      </c>
      <c r="AV724">
        <v>25</v>
      </c>
      <c r="AW724">
        <v>2</v>
      </c>
      <c r="AX724" t="s">
        <v>74</v>
      </c>
      <c r="AY724" t="s">
        <v>74</v>
      </c>
      <c r="AZ724" t="s">
        <v>935</v>
      </c>
      <c r="BA724" t="s">
        <v>74</v>
      </c>
      <c r="BB724">
        <v>198</v>
      </c>
      <c r="BC724">
        <v>212</v>
      </c>
      <c r="BD724" t="s">
        <v>74</v>
      </c>
      <c r="BE724" t="s">
        <v>13378</v>
      </c>
      <c r="BF724" t="str">
        <f>HYPERLINK("http://dx.doi.org/10.1017/S0954102012000788","http://dx.doi.org/10.1017/S0954102012000788")</f>
        <v>http://dx.doi.org/10.1017/S0954102012000788</v>
      </c>
      <c r="BG724" t="s">
        <v>74</v>
      </c>
      <c r="BH724" t="s">
        <v>74</v>
      </c>
      <c r="BI724">
        <v>15</v>
      </c>
      <c r="BJ724" t="s">
        <v>811</v>
      </c>
      <c r="BK724" t="s">
        <v>102</v>
      </c>
      <c r="BL724" t="s">
        <v>812</v>
      </c>
      <c r="BM724" t="s">
        <v>12887</v>
      </c>
      <c r="BN724" t="s">
        <v>74</v>
      </c>
      <c r="BO724" t="s">
        <v>1014</v>
      </c>
      <c r="BP724" t="s">
        <v>74</v>
      </c>
      <c r="BQ724" t="s">
        <v>74</v>
      </c>
      <c r="BR724" t="s">
        <v>105</v>
      </c>
      <c r="BS724" t="s">
        <v>13379</v>
      </c>
      <c r="BT724" t="str">
        <f>HYPERLINK("https%3A%2F%2Fwww.webofscience.com%2Fwos%2Fwoscc%2Ffull-record%2FWOS:000316479700008","View Full Record in Web of Science")</f>
        <v>View Full Record in Web of Science</v>
      </c>
    </row>
    <row r="725" spans="1:72" x14ac:dyDescent="0.15">
      <c r="A725" t="s">
        <v>72</v>
      </c>
      <c r="B725" t="s">
        <v>13380</v>
      </c>
      <c r="C725" t="s">
        <v>74</v>
      </c>
      <c r="D725" t="s">
        <v>74</v>
      </c>
      <c r="E725" t="s">
        <v>74</v>
      </c>
      <c r="F725" t="s">
        <v>13381</v>
      </c>
      <c r="G725" t="s">
        <v>74</v>
      </c>
      <c r="H725" t="s">
        <v>74</v>
      </c>
      <c r="I725" t="s">
        <v>13382</v>
      </c>
      <c r="J725" t="s">
        <v>797</v>
      </c>
      <c r="K725" t="s">
        <v>74</v>
      </c>
      <c r="L725" t="s">
        <v>74</v>
      </c>
      <c r="M725" t="s">
        <v>78</v>
      </c>
      <c r="N725" t="s">
        <v>79</v>
      </c>
      <c r="O725" t="s">
        <v>74</v>
      </c>
      <c r="P725" t="s">
        <v>74</v>
      </c>
      <c r="Q725" t="s">
        <v>74</v>
      </c>
      <c r="R725" t="s">
        <v>74</v>
      </c>
      <c r="S725" t="s">
        <v>74</v>
      </c>
      <c r="T725" t="s">
        <v>13383</v>
      </c>
      <c r="U725" t="s">
        <v>13384</v>
      </c>
      <c r="V725" t="s">
        <v>13385</v>
      </c>
      <c r="W725" t="s">
        <v>13386</v>
      </c>
      <c r="X725" t="s">
        <v>13387</v>
      </c>
      <c r="Y725" t="s">
        <v>13388</v>
      </c>
      <c r="Z725" t="s">
        <v>12963</v>
      </c>
      <c r="AA725" t="s">
        <v>13389</v>
      </c>
      <c r="AB725" t="s">
        <v>13390</v>
      </c>
      <c r="AC725" t="s">
        <v>13391</v>
      </c>
      <c r="AD725" t="s">
        <v>13392</v>
      </c>
      <c r="AE725" t="s">
        <v>13393</v>
      </c>
      <c r="AF725" t="s">
        <v>74</v>
      </c>
      <c r="AG725">
        <v>45</v>
      </c>
      <c r="AH725">
        <v>18</v>
      </c>
      <c r="AI725">
        <v>18</v>
      </c>
      <c r="AJ725">
        <v>2</v>
      </c>
      <c r="AK725">
        <v>42</v>
      </c>
      <c r="AL725" t="s">
        <v>390</v>
      </c>
      <c r="AM725" t="s">
        <v>391</v>
      </c>
      <c r="AN725" t="s">
        <v>392</v>
      </c>
      <c r="AO725" t="s">
        <v>806</v>
      </c>
      <c r="AP725" t="s">
        <v>807</v>
      </c>
      <c r="AQ725" t="s">
        <v>74</v>
      </c>
      <c r="AR725" t="s">
        <v>808</v>
      </c>
      <c r="AS725" t="s">
        <v>809</v>
      </c>
      <c r="AT725" t="s">
        <v>11820</v>
      </c>
      <c r="AU725">
        <v>2013</v>
      </c>
      <c r="AV725">
        <v>25</v>
      </c>
      <c r="AW725">
        <v>2</v>
      </c>
      <c r="AX725" t="s">
        <v>74</v>
      </c>
      <c r="AY725" t="s">
        <v>74</v>
      </c>
      <c r="AZ725" t="s">
        <v>935</v>
      </c>
      <c r="BA725" t="s">
        <v>74</v>
      </c>
      <c r="BB725">
        <v>229</v>
      </c>
      <c r="BC725">
        <v>238</v>
      </c>
      <c r="BD725" t="s">
        <v>74</v>
      </c>
      <c r="BE725" t="s">
        <v>13394</v>
      </c>
      <c r="BF725" t="str">
        <f>HYPERLINK("http://dx.doi.org/10.1017/S0954102012000910","http://dx.doi.org/10.1017/S0954102012000910")</f>
        <v>http://dx.doi.org/10.1017/S0954102012000910</v>
      </c>
      <c r="BG725" t="s">
        <v>74</v>
      </c>
      <c r="BH725" t="s">
        <v>74</v>
      </c>
      <c r="BI725">
        <v>10</v>
      </c>
      <c r="BJ725" t="s">
        <v>811</v>
      </c>
      <c r="BK725" t="s">
        <v>102</v>
      </c>
      <c r="BL725" t="s">
        <v>812</v>
      </c>
      <c r="BM725" t="s">
        <v>12887</v>
      </c>
      <c r="BN725" t="s">
        <v>74</v>
      </c>
      <c r="BO725" t="s">
        <v>1014</v>
      </c>
      <c r="BP725" t="s">
        <v>74</v>
      </c>
      <c r="BQ725" t="s">
        <v>74</v>
      </c>
      <c r="BR725" t="s">
        <v>105</v>
      </c>
      <c r="BS725" t="s">
        <v>13395</v>
      </c>
      <c r="BT725" t="str">
        <f>HYPERLINK("https%3A%2F%2Fwww.webofscience.com%2Fwos%2Fwoscc%2Ffull-record%2FWOS:000316479700011","View Full Record in Web of Science")</f>
        <v>View Full Record in Web of Science</v>
      </c>
    </row>
    <row r="726" spans="1:72" x14ac:dyDescent="0.15">
      <c r="A726" t="s">
        <v>72</v>
      </c>
      <c r="B726" t="s">
        <v>13396</v>
      </c>
      <c r="C726" t="s">
        <v>74</v>
      </c>
      <c r="D726" t="s">
        <v>74</v>
      </c>
      <c r="E726" t="s">
        <v>74</v>
      </c>
      <c r="F726" t="s">
        <v>13397</v>
      </c>
      <c r="G726" t="s">
        <v>74</v>
      </c>
      <c r="H726" t="s">
        <v>74</v>
      </c>
      <c r="I726" t="s">
        <v>13398</v>
      </c>
      <c r="J726" t="s">
        <v>797</v>
      </c>
      <c r="K726" t="s">
        <v>74</v>
      </c>
      <c r="L726" t="s">
        <v>74</v>
      </c>
      <c r="M726" t="s">
        <v>78</v>
      </c>
      <c r="N726" t="s">
        <v>79</v>
      </c>
      <c r="O726" t="s">
        <v>74</v>
      </c>
      <c r="P726" t="s">
        <v>74</v>
      </c>
      <c r="Q726" t="s">
        <v>74</v>
      </c>
      <c r="R726" t="s">
        <v>74</v>
      </c>
      <c r="S726" t="s">
        <v>74</v>
      </c>
      <c r="T726" t="s">
        <v>13399</v>
      </c>
      <c r="U726" t="s">
        <v>13400</v>
      </c>
      <c r="V726" t="s">
        <v>13401</v>
      </c>
      <c r="W726" t="s">
        <v>13402</v>
      </c>
      <c r="X726" t="s">
        <v>13403</v>
      </c>
      <c r="Y726" t="s">
        <v>13404</v>
      </c>
      <c r="Z726" t="s">
        <v>3783</v>
      </c>
      <c r="AA726" t="s">
        <v>13405</v>
      </c>
      <c r="AB726" t="s">
        <v>13406</v>
      </c>
      <c r="AC726" t="s">
        <v>13407</v>
      </c>
      <c r="AD726" t="s">
        <v>13408</v>
      </c>
      <c r="AE726" t="s">
        <v>13409</v>
      </c>
      <c r="AF726" t="s">
        <v>74</v>
      </c>
      <c r="AG726">
        <v>42</v>
      </c>
      <c r="AH726">
        <v>40</v>
      </c>
      <c r="AI726">
        <v>42</v>
      </c>
      <c r="AJ726">
        <v>1</v>
      </c>
      <c r="AK726">
        <v>38</v>
      </c>
      <c r="AL726" t="s">
        <v>390</v>
      </c>
      <c r="AM726" t="s">
        <v>391</v>
      </c>
      <c r="AN726" t="s">
        <v>392</v>
      </c>
      <c r="AO726" t="s">
        <v>806</v>
      </c>
      <c r="AP726" t="s">
        <v>807</v>
      </c>
      <c r="AQ726" t="s">
        <v>74</v>
      </c>
      <c r="AR726" t="s">
        <v>808</v>
      </c>
      <c r="AS726" t="s">
        <v>809</v>
      </c>
      <c r="AT726" t="s">
        <v>11820</v>
      </c>
      <c r="AU726">
        <v>2013</v>
      </c>
      <c r="AV726">
        <v>25</v>
      </c>
      <c r="AW726">
        <v>2</v>
      </c>
      <c r="AX726" t="s">
        <v>74</v>
      </c>
      <c r="AY726" t="s">
        <v>74</v>
      </c>
      <c r="AZ726" t="s">
        <v>935</v>
      </c>
      <c r="BA726" t="s">
        <v>74</v>
      </c>
      <c r="BB726">
        <v>239</v>
      </c>
      <c r="BC726">
        <v>253</v>
      </c>
      <c r="BD726" t="s">
        <v>74</v>
      </c>
      <c r="BE726" t="s">
        <v>13410</v>
      </c>
      <c r="BF726" t="str">
        <f>HYPERLINK("http://dx.doi.org/10.1017/S0954102012000764","http://dx.doi.org/10.1017/S0954102012000764")</f>
        <v>http://dx.doi.org/10.1017/S0954102012000764</v>
      </c>
      <c r="BG726" t="s">
        <v>74</v>
      </c>
      <c r="BH726" t="s">
        <v>74</v>
      </c>
      <c r="BI726">
        <v>15</v>
      </c>
      <c r="BJ726" t="s">
        <v>811</v>
      </c>
      <c r="BK726" t="s">
        <v>102</v>
      </c>
      <c r="BL726" t="s">
        <v>812</v>
      </c>
      <c r="BM726" t="s">
        <v>12887</v>
      </c>
      <c r="BN726" t="s">
        <v>74</v>
      </c>
      <c r="BO726" t="s">
        <v>74</v>
      </c>
      <c r="BP726" t="s">
        <v>74</v>
      </c>
      <c r="BQ726" t="s">
        <v>74</v>
      </c>
      <c r="BR726" t="s">
        <v>105</v>
      </c>
      <c r="BS726" t="s">
        <v>13411</v>
      </c>
      <c r="BT726" t="str">
        <f>HYPERLINK("https%3A%2F%2Fwww.webofscience.com%2Fwos%2Fwoscc%2Ffull-record%2FWOS:000316479700012","View Full Record in Web of Science")</f>
        <v>View Full Record in Web of Science</v>
      </c>
    </row>
    <row r="727" spans="1:72" x14ac:dyDescent="0.15">
      <c r="A727" t="s">
        <v>72</v>
      </c>
      <c r="B727" t="s">
        <v>13412</v>
      </c>
      <c r="C727" t="s">
        <v>74</v>
      </c>
      <c r="D727" t="s">
        <v>74</v>
      </c>
      <c r="E727" t="s">
        <v>74</v>
      </c>
      <c r="F727" t="s">
        <v>13413</v>
      </c>
      <c r="G727" t="s">
        <v>74</v>
      </c>
      <c r="H727" t="s">
        <v>74</v>
      </c>
      <c r="I727" t="s">
        <v>13414</v>
      </c>
      <c r="J727" t="s">
        <v>797</v>
      </c>
      <c r="K727" t="s">
        <v>74</v>
      </c>
      <c r="L727" t="s">
        <v>74</v>
      </c>
      <c r="M727" t="s">
        <v>78</v>
      </c>
      <c r="N727" t="s">
        <v>79</v>
      </c>
      <c r="O727" t="s">
        <v>74</v>
      </c>
      <c r="P727" t="s">
        <v>74</v>
      </c>
      <c r="Q727" t="s">
        <v>74</v>
      </c>
      <c r="R727" t="s">
        <v>74</v>
      </c>
      <c r="S727" t="s">
        <v>74</v>
      </c>
      <c r="T727" t="s">
        <v>13415</v>
      </c>
      <c r="U727" t="s">
        <v>13416</v>
      </c>
      <c r="V727" t="s">
        <v>13417</v>
      </c>
      <c r="W727" t="s">
        <v>13418</v>
      </c>
      <c r="X727" t="s">
        <v>13419</v>
      </c>
      <c r="Y727" t="s">
        <v>13420</v>
      </c>
      <c r="Z727" t="s">
        <v>13421</v>
      </c>
      <c r="AA727" t="s">
        <v>13422</v>
      </c>
      <c r="AB727" t="s">
        <v>13423</v>
      </c>
      <c r="AC727" t="s">
        <v>13424</v>
      </c>
      <c r="AD727" t="s">
        <v>13425</v>
      </c>
      <c r="AE727" t="s">
        <v>13426</v>
      </c>
      <c r="AF727" t="s">
        <v>74</v>
      </c>
      <c r="AG727">
        <v>57</v>
      </c>
      <c r="AH727">
        <v>10</v>
      </c>
      <c r="AI727">
        <v>12</v>
      </c>
      <c r="AJ727">
        <v>0</v>
      </c>
      <c r="AK727">
        <v>24</v>
      </c>
      <c r="AL727" t="s">
        <v>390</v>
      </c>
      <c r="AM727" t="s">
        <v>391</v>
      </c>
      <c r="AN727" t="s">
        <v>392</v>
      </c>
      <c r="AO727" t="s">
        <v>806</v>
      </c>
      <c r="AP727" t="s">
        <v>807</v>
      </c>
      <c r="AQ727" t="s">
        <v>74</v>
      </c>
      <c r="AR727" t="s">
        <v>808</v>
      </c>
      <c r="AS727" t="s">
        <v>809</v>
      </c>
      <c r="AT727" t="s">
        <v>11820</v>
      </c>
      <c r="AU727">
        <v>2013</v>
      </c>
      <c r="AV727">
        <v>25</v>
      </c>
      <c r="AW727">
        <v>2</v>
      </c>
      <c r="AX727" t="s">
        <v>74</v>
      </c>
      <c r="AY727" t="s">
        <v>74</v>
      </c>
      <c r="AZ727" t="s">
        <v>935</v>
      </c>
      <c r="BA727" t="s">
        <v>74</v>
      </c>
      <c r="BB727">
        <v>254</v>
      </c>
      <c r="BC727">
        <v>269</v>
      </c>
      <c r="BD727" t="s">
        <v>74</v>
      </c>
      <c r="BE727" t="s">
        <v>13427</v>
      </c>
      <c r="BF727" t="str">
        <f>HYPERLINK("http://dx.doi.org/10.1017/S0954102012000922","http://dx.doi.org/10.1017/S0954102012000922")</f>
        <v>http://dx.doi.org/10.1017/S0954102012000922</v>
      </c>
      <c r="BG727" t="s">
        <v>74</v>
      </c>
      <c r="BH727" t="s">
        <v>74</v>
      </c>
      <c r="BI727">
        <v>16</v>
      </c>
      <c r="BJ727" t="s">
        <v>811</v>
      </c>
      <c r="BK727" t="s">
        <v>102</v>
      </c>
      <c r="BL727" t="s">
        <v>812</v>
      </c>
      <c r="BM727" t="s">
        <v>12887</v>
      </c>
      <c r="BN727" t="s">
        <v>74</v>
      </c>
      <c r="BO727" t="s">
        <v>1014</v>
      </c>
      <c r="BP727" t="s">
        <v>74</v>
      </c>
      <c r="BQ727" t="s">
        <v>74</v>
      </c>
      <c r="BR727" t="s">
        <v>105</v>
      </c>
      <c r="BS727" t="s">
        <v>13428</v>
      </c>
      <c r="BT727" t="str">
        <f>HYPERLINK("https%3A%2F%2Fwww.webofscience.com%2Fwos%2Fwoscc%2Ffull-record%2FWOS:000316479700013","View Full Record in Web of Science")</f>
        <v>View Full Record in Web of Science</v>
      </c>
    </row>
    <row r="728" spans="1:72" x14ac:dyDescent="0.15">
      <c r="A728" t="s">
        <v>72</v>
      </c>
      <c r="B728" t="s">
        <v>13429</v>
      </c>
      <c r="C728" t="s">
        <v>74</v>
      </c>
      <c r="D728" t="s">
        <v>74</v>
      </c>
      <c r="E728" t="s">
        <v>74</v>
      </c>
      <c r="F728" t="s">
        <v>13430</v>
      </c>
      <c r="G728" t="s">
        <v>74</v>
      </c>
      <c r="H728" t="s">
        <v>74</v>
      </c>
      <c r="I728" t="s">
        <v>13431</v>
      </c>
      <c r="J728" t="s">
        <v>797</v>
      </c>
      <c r="K728" t="s">
        <v>74</v>
      </c>
      <c r="L728" t="s">
        <v>74</v>
      </c>
      <c r="M728" t="s">
        <v>78</v>
      </c>
      <c r="N728" t="s">
        <v>79</v>
      </c>
      <c r="O728" t="s">
        <v>74</v>
      </c>
      <c r="P728" t="s">
        <v>74</v>
      </c>
      <c r="Q728" t="s">
        <v>74</v>
      </c>
      <c r="R728" t="s">
        <v>74</v>
      </c>
      <c r="S728" t="s">
        <v>74</v>
      </c>
      <c r="T728" t="s">
        <v>13432</v>
      </c>
      <c r="U728" t="s">
        <v>13433</v>
      </c>
      <c r="V728" t="s">
        <v>13434</v>
      </c>
      <c r="W728" t="s">
        <v>13435</v>
      </c>
      <c r="X728" t="s">
        <v>13436</v>
      </c>
      <c r="Y728" t="s">
        <v>13437</v>
      </c>
      <c r="Z728" t="s">
        <v>13438</v>
      </c>
      <c r="AA728" t="s">
        <v>13439</v>
      </c>
      <c r="AB728" t="s">
        <v>13440</v>
      </c>
      <c r="AC728" t="s">
        <v>13441</v>
      </c>
      <c r="AD728" t="s">
        <v>13442</v>
      </c>
      <c r="AE728" t="s">
        <v>13443</v>
      </c>
      <c r="AF728" t="s">
        <v>74</v>
      </c>
      <c r="AG728">
        <v>38</v>
      </c>
      <c r="AH728">
        <v>13</v>
      </c>
      <c r="AI728">
        <v>13</v>
      </c>
      <c r="AJ728">
        <v>0</v>
      </c>
      <c r="AK728">
        <v>25</v>
      </c>
      <c r="AL728" t="s">
        <v>390</v>
      </c>
      <c r="AM728" t="s">
        <v>391</v>
      </c>
      <c r="AN728" t="s">
        <v>392</v>
      </c>
      <c r="AO728" t="s">
        <v>806</v>
      </c>
      <c r="AP728" t="s">
        <v>74</v>
      </c>
      <c r="AQ728" t="s">
        <v>74</v>
      </c>
      <c r="AR728" t="s">
        <v>808</v>
      </c>
      <c r="AS728" t="s">
        <v>809</v>
      </c>
      <c r="AT728" t="s">
        <v>11820</v>
      </c>
      <c r="AU728">
        <v>2013</v>
      </c>
      <c r="AV728">
        <v>25</v>
      </c>
      <c r="AW728">
        <v>2</v>
      </c>
      <c r="AX728" t="s">
        <v>74</v>
      </c>
      <c r="AY728" t="s">
        <v>74</v>
      </c>
      <c r="AZ728" t="s">
        <v>935</v>
      </c>
      <c r="BA728" t="s">
        <v>74</v>
      </c>
      <c r="BB728">
        <v>292</v>
      </c>
      <c r="BC728">
        <v>302</v>
      </c>
      <c r="BD728" t="s">
        <v>74</v>
      </c>
      <c r="BE728" t="s">
        <v>13444</v>
      </c>
      <c r="BF728" t="str">
        <f>HYPERLINK("http://dx.doi.org/10.1017/S0954102012000995","http://dx.doi.org/10.1017/S0954102012000995")</f>
        <v>http://dx.doi.org/10.1017/S0954102012000995</v>
      </c>
      <c r="BG728" t="s">
        <v>74</v>
      </c>
      <c r="BH728" t="s">
        <v>74</v>
      </c>
      <c r="BI728">
        <v>11</v>
      </c>
      <c r="BJ728" t="s">
        <v>811</v>
      </c>
      <c r="BK728" t="s">
        <v>102</v>
      </c>
      <c r="BL728" t="s">
        <v>812</v>
      </c>
      <c r="BM728" t="s">
        <v>12887</v>
      </c>
      <c r="BN728" t="s">
        <v>74</v>
      </c>
      <c r="BO728" t="s">
        <v>74</v>
      </c>
      <c r="BP728" t="s">
        <v>74</v>
      </c>
      <c r="BQ728" t="s">
        <v>74</v>
      </c>
      <c r="BR728" t="s">
        <v>105</v>
      </c>
      <c r="BS728" t="s">
        <v>13445</v>
      </c>
      <c r="BT728" t="str">
        <f>HYPERLINK("https%3A%2F%2Fwww.webofscience.com%2Fwos%2Fwoscc%2Ffull-record%2FWOS:000316479700017","View Full Record in Web of Science")</f>
        <v>View Full Record in Web of Science</v>
      </c>
    </row>
    <row r="729" spans="1:72" x14ac:dyDescent="0.15">
      <c r="A729" t="s">
        <v>72</v>
      </c>
      <c r="B729" t="s">
        <v>13446</v>
      </c>
      <c r="C729" t="s">
        <v>74</v>
      </c>
      <c r="D729" t="s">
        <v>74</v>
      </c>
      <c r="E729" t="s">
        <v>74</v>
      </c>
      <c r="F729" t="s">
        <v>13447</v>
      </c>
      <c r="G729" t="s">
        <v>74</v>
      </c>
      <c r="H729" t="s">
        <v>74</v>
      </c>
      <c r="I729" t="s">
        <v>13448</v>
      </c>
      <c r="J729" t="s">
        <v>797</v>
      </c>
      <c r="K729" t="s">
        <v>74</v>
      </c>
      <c r="L729" t="s">
        <v>74</v>
      </c>
      <c r="M729" t="s">
        <v>78</v>
      </c>
      <c r="N729" t="s">
        <v>79</v>
      </c>
      <c r="O729" t="s">
        <v>74</v>
      </c>
      <c r="P729" t="s">
        <v>74</v>
      </c>
      <c r="Q729" t="s">
        <v>74</v>
      </c>
      <c r="R729" t="s">
        <v>74</v>
      </c>
      <c r="S729" t="s">
        <v>74</v>
      </c>
      <c r="T729" t="s">
        <v>13449</v>
      </c>
      <c r="U729" t="s">
        <v>13450</v>
      </c>
      <c r="V729" t="s">
        <v>13451</v>
      </c>
      <c r="W729" t="s">
        <v>13452</v>
      </c>
      <c r="X729" t="s">
        <v>13453</v>
      </c>
      <c r="Y729" t="s">
        <v>13454</v>
      </c>
      <c r="Z729" t="s">
        <v>13168</v>
      </c>
      <c r="AA729" t="s">
        <v>13455</v>
      </c>
      <c r="AB729" t="s">
        <v>13456</v>
      </c>
      <c r="AC729" t="s">
        <v>13457</v>
      </c>
      <c r="AD729" t="s">
        <v>13458</v>
      </c>
      <c r="AE729" t="s">
        <v>13459</v>
      </c>
      <c r="AF729" t="s">
        <v>74</v>
      </c>
      <c r="AG729">
        <v>25</v>
      </c>
      <c r="AH729">
        <v>6</v>
      </c>
      <c r="AI729">
        <v>6</v>
      </c>
      <c r="AJ729">
        <v>1</v>
      </c>
      <c r="AK729">
        <v>37</v>
      </c>
      <c r="AL729" t="s">
        <v>390</v>
      </c>
      <c r="AM729" t="s">
        <v>391</v>
      </c>
      <c r="AN729" t="s">
        <v>392</v>
      </c>
      <c r="AO729" t="s">
        <v>806</v>
      </c>
      <c r="AP729" t="s">
        <v>74</v>
      </c>
      <c r="AQ729" t="s">
        <v>74</v>
      </c>
      <c r="AR729" t="s">
        <v>808</v>
      </c>
      <c r="AS729" t="s">
        <v>809</v>
      </c>
      <c r="AT729" t="s">
        <v>11820</v>
      </c>
      <c r="AU729">
        <v>2013</v>
      </c>
      <c r="AV729">
        <v>25</v>
      </c>
      <c r="AW729">
        <v>2</v>
      </c>
      <c r="AX729" t="s">
        <v>74</v>
      </c>
      <c r="AY729" t="s">
        <v>74</v>
      </c>
      <c r="AZ729" t="s">
        <v>935</v>
      </c>
      <c r="BA729" t="s">
        <v>74</v>
      </c>
      <c r="BB729">
        <v>303</v>
      </c>
      <c r="BC729">
        <v>306</v>
      </c>
      <c r="BD729" t="s">
        <v>74</v>
      </c>
      <c r="BE729" t="s">
        <v>13460</v>
      </c>
      <c r="BF729" t="str">
        <f>HYPERLINK("http://dx.doi.org/10.1017/S0954102012000752","http://dx.doi.org/10.1017/S0954102012000752")</f>
        <v>http://dx.doi.org/10.1017/S0954102012000752</v>
      </c>
      <c r="BG729" t="s">
        <v>74</v>
      </c>
      <c r="BH729" t="s">
        <v>74</v>
      </c>
      <c r="BI729">
        <v>4</v>
      </c>
      <c r="BJ729" t="s">
        <v>811</v>
      </c>
      <c r="BK729" t="s">
        <v>102</v>
      </c>
      <c r="BL729" t="s">
        <v>812</v>
      </c>
      <c r="BM729" t="s">
        <v>12887</v>
      </c>
      <c r="BN729" t="s">
        <v>74</v>
      </c>
      <c r="BO729" t="s">
        <v>426</v>
      </c>
      <c r="BP729" t="s">
        <v>74</v>
      </c>
      <c r="BQ729" t="s">
        <v>74</v>
      </c>
      <c r="BR729" t="s">
        <v>105</v>
      </c>
      <c r="BS729" t="s">
        <v>13461</v>
      </c>
      <c r="BT729" t="str">
        <f>HYPERLINK("https%3A%2F%2Fwww.webofscience.com%2Fwos%2Fwoscc%2Ffull-record%2FWOS:000316479700018","View Full Record in Web of Science")</f>
        <v>View Full Record in Web of Science</v>
      </c>
    </row>
    <row r="730" spans="1:72" x14ac:dyDescent="0.15">
      <c r="A730" t="s">
        <v>72</v>
      </c>
      <c r="B730" t="s">
        <v>13462</v>
      </c>
      <c r="C730" t="s">
        <v>74</v>
      </c>
      <c r="D730" t="s">
        <v>74</v>
      </c>
      <c r="E730" t="s">
        <v>74</v>
      </c>
      <c r="F730" t="s">
        <v>13463</v>
      </c>
      <c r="G730" t="s">
        <v>74</v>
      </c>
      <c r="H730" t="s">
        <v>74</v>
      </c>
      <c r="I730" t="s">
        <v>13464</v>
      </c>
      <c r="J730" t="s">
        <v>797</v>
      </c>
      <c r="K730" t="s">
        <v>74</v>
      </c>
      <c r="L730" t="s">
        <v>74</v>
      </c>
      <c r="M730" t="s">
        <v>78</v>
      </c>
      <c r="N730" t="s">
        <v>79</v>
      </c>
      <c r="O730" t="s">
        <v>74</v>
      </c>
      <c r="P730" t="s">
        <v>74</v>
      </c>
      <c r="Q730" t="s">
        <v>74</v>
      </c>
      <c r="R730" t="s">
        <v>74</v>
      </c>
      <c r="S730" t="s">
        <v>74</v>
      </c>
      <c r="T730" t="s">
        <v>13465</v>
      </c>
      <c r="U730" t="s">
        <v>13466</v>
      </c>
      <c r="V730" t="s">
        <v>13467</v>
      </c>
      <c r="W730" t="s">
        <v>13468</v>
      </c>
      <c r="X730" t="s">
        <v>13469</v>
      </c>
      <c r="Y730" t="s">
        <v>12879</v>
      </c>
      <c r="Z730" t="s">
        <v>12880</v>
      </c>
      <c r="AA730" t="s">
        <v>13470</v>
      </c>
      <c r="AB730" t="s">
        <v>13471</v>
      </c>
      <c r="AC730" t="s">
        <v>13472</v>
      </c>
      <c r="AD730" t="s">
        <v>13473</v>
      </c>
      <c r="AE730" t="s">
        <v>13474</v>
      </c>
      <c r="AF730" t="s">
        <v>74</v>
      </c>
      <c r="AG730">
        <v>44</v>
      </c>
      <c r="AH730">
        <v>15</v>
      </c>
      <c r="AI730">
        <v>16</v>
      </c>
      <c r="AJ730">
        <v>2</v>
      </c>
      <c r="AK730">
        <v>32</v>
      </c>
      <c r="AL730" t="s">
        <v>390</v>
      </c>
      <c r="AM730" t="s">
        <v>391</v>
      </c>
      <c r="AN730" t="s">
        <v>392</v>
      </c>
      <c r="AO730" t="s">
        <v>806</v>
      </c>
      <c r="AP730" t="s">
        <v>807</v>
      </c>
      <c r="AQ730" t="s">
        <v>74</v>
      </c>
      <c r="AR730" t="s">
        <v>808</v>
      </c>
      <c r="AS730" t="s">
        <v>809</v>
      </c>
      <c r="AT730" t="s">
        <v>11820</v>
      </c>
      <c r="AU730">
        <v>2013</v>
      </c>
      <c r="AV730">
        <v>25</v>
      </c>
      <c r="AW730">
        <v>2</v>
      </c>
      <c r="AX730" t="s">
        <v>74</v>
      </c>
      <c r="AY730" t="s">
        <v>74</v>
      </c>
      <c r="AZ730" t="s">
        <v>935</v>
      </c>
      <c r="BA730" t="s">
        <v>74</v>
      </c>
      <c r="BB730">
        <v>307</v>
      </c>
      <c r="BC730">
        <v>317</v>
      </c>
      <c r="BD730" t="s">
        <v>74</v>
      </c>
      <c r="BE730" t="s">
        <v>13475</v>
      </c>
      <c r="BF730" t="str">
        <f>HYPERLINK("http://dx.doi.org/10.1017/S0954102012001083","http://dx.doi.org/10.1017/S0954102012001083")</f>
        <v>http://dx.doi.org/10.1017/S0954102012001083</v>
      </c>
      <c r="BG730" t="s">
        <v>74</v>
      </c>
      <c r="BH730" t="s">
        <v>74</v>
      </c>
      <c r="BI730">
        <v>11</v>
      </c>
      <c r="BJ730" t="s">
        <v>811</v>
      </c>
      <c r="BK730" t="s">
        <v>102</v>
      </c>
      <c r="BL730" t="s">
        <v>812</v>
      </c>
      <c r="BM730" t="s">
        <v>12887</v>
      </c>
      <c r="BN730" t="s">
        <v>74</v>
      </c>
      <c r="BO730" t="s">
        <v>1063</v>
      </c>
      <c r="BP730" t="s">
        <v>74</v>
      </c>
      <c r="BQ730" t="s">
        <v>74</v>
      </c>
      <c r="BR730" t="s">
        <v>105</v>
      </c>
      <c r="BS730" t="s">
        <v>13476</v>
      </c>
      <c r="BT730" t="str">
        <f>HYPERLINK("https%3A%2F%2Fwww.webofscience.com%2Fwos%2Fwoscc%2Ffull-record%2FWOS:000316479700019","View Full Record in Web of Science")</f>
        <v>View Full Record in Web of Science</v>
      </c>
    </row>
    <row r="731" spans="1:72" x14ac:dyDescent="0.15">
      <c r="A731" t="s">
        <v>72</v>
      </c>
      <c r="B731" t="s">
        <v>13477</v>
      </c>
      <c r="C731" t="s">
        <v>74</v>
      </c>
      <c r="D731" t="s">
        <v>74</v>
      </c>
      <c r="E731" t="s">
        <v>74</v>
      </c>
      <c r="F731" t="s">
        <v>13478</v>
      </c>
      <c r="G731" t="s">
        <v>74</v>
      </c>
      <c r="H731" t="s">
        <v>74</v>
      </c>
      <c r="I731" t="s">
        <v>13479</v>
      </c>
      <c r="J731" t="s">
        <v>13480</v>
      </c>
      <c r="K731" t="s">
        <v>74</v>
      </c>
      <c r="L731" t="s">
        <v>74</v>
      </c>
      <c r="M731" t="s">
        <v>78</v>
      </c>
      <c r="N731" t="s">
        <v>79</v>
      </c>
      <c r="O731" t="s">
        <v>74</v>
      </c>
      <c r="P731" t="s">
        <v>74</v>
      </c>
      <c r="Q731" t="s">
        <v>74</v>
      </c>
      <c r="R731" t="s">
        <v>74</v>
      </c>
      <c r="S731" t="s">
        <v>74</v>
      </c>
      <c r="T731" t="s">
        <v>13481</v>
      </c>
      <c r="U731" t="s">
        <v>13482</v>
      </c>
      <c r="V731" t="s">
        <v>13483</v>
      </c>
      <c r="W731" t="s">
        <v>13484</v>
      </c>
      <c r="X731" t="s">
        <v>13485</v>
      </c>
      <c r="Y731" t="s">
        <v>13486</v>
      </c>
      <c r="Z731" t="s">
        <v>13487</v>
      </c>
      <c r="AA731" t="s">
        <v>13488</v>
      </c>
      <c r="AB731" t="s">
        <v>13489</v>
      </c>
      <c r="AC731" t="s">
        <v>13490</v>
      </c>
      <c r="AD731" t="s">
        <v>13491</v>
      </c>
      <c r="AE731" t="s">
        <v>13492</v>
      </c>
      <c r="AF731" t="s">
        <v>74</v>
      </c>
      <c r="AG731">
        <v>55</v>
      </c>
      <c r="AH731">
        <v>37</v>
      </c>
      <c r="AI731">
        <v>43</v>
      </c>
      <c r="AJ731">
        <v>0</v>
      </c>
      <c r="AK731">
        <v>73</v>
      </c>
      <c r="AL731" t="s">
        <v>10251</v>
      </c>
      <c r="AM731" t="s">
        <v>10252</v>
      </c>
      <c r="AN731" t="s">
        <v>10253</v>
      </c>
      <c r="AO731" t="s">
        <v>74</v>
      </c>
      <c r="AP731" t="s">
        <v>13493</v>
      </c>
      <c r="AQ731" t="s">
        <v>74</v>
      </c>
      <c r="AR731" t="s">
        <v>13480</v>
      </c>
      <c r="AS731" t="s">
        <v>13480</v>
      </c>
      <c r="AT731" t="s">
        <v>11820</v>
      </c>
      <c r="AU731">
        <v>2013</v>
      </c>
      <c r="AV731">
        <v>130</v>
      </c>
      <c r="AW731">
        <v>2</v>
      </c>
      <c r="AX731" t="s">
        <v>74</v>
      </c>
      <c r="AY731" t="s">
        <v>74</v>
      </c>
      <c r="AZ731" t="s">
        <v>74</v>
      </c>
      <c r="BA731" t="s">
        <v>74</v>
      </c>
      <c r="BB731">
        <v>223</v>
      </c>
      <c r="BC731">
        <v>229</v>
      </c>
      <c r="BD731" t="s">
        <v>74</v>
      </c>
      <c r="BE731" t="s">
        <v>13494</v>
      </c>
      <c r="BF731" t="str">
        <f>HYPERLINK("http://dx.doi.org/10.1525/auk.2013.12077","http://dx.doi.org/10.1525/auk.2013.12077")</f>
        <v>http://dx.doi.org/10.1525/auk.2013.12077</v>
      </c>
      <c r="BG731" t="s">
        <v>74</v>
      </c>
      <c r="BH731" t="s">
        <v>74</v>
      </c>
      <c r="BI731">
        <v>7</v>
      </c>
      <c r="BJ731" t="s">
        <v>7792</v>
      </c>
      <c r="BK731" t="s">
        <v>102</v>
      </c>
      <c r="BL731" t="s">
        <v>2120</v>
      </c>
      <c r="BM731" t="s">
        <v>13495</v>
      </c>
      <c r="BN731" t="s">
        <v>74</v>
      </c>
      <c r="BO731" t="s">
        <v>1589</v>
      </c>
      <c r="BP731" t="s">
        <v>74</v>
      </c>
      <c r="BQ731" t="s">
        <v>74</v>
      </c>
      <c r="BR731" t="s">
        <v>105</v>
      </c>
      <c r="BS731" t="s">
        <v>13496</v>
      </c>
      <c r="BT731" t="str">
        <f>HYPERLINK("https%3A%2F%2Fwww.webofscience.com%2Fwos%2Fwoscc%2Ffull-record%2FWOS:000319895900002","View Full Record in Web of Science")</f>
        <v>View Full Record in Web of Science</v>
      </c>
    </row>
    <row r="732" spans="1:72" x14ac:dyDescent="0.15">
      <c r="A732" t="s">
        <v>72</v>
      </c>
      <c r="B732" t="s">
        <v>13497</v>
      </c>
      <c r="C732" t="s">
        <v>74</v>
      </c>
      <c r="D732" t="s">
        <v>74</v>
      </c>
      <c r="E732" t="s">
        <v>74</v>
      </c>
      <c r="F732" t="s">
        <v>13498</v>
      </c>
      <c r="G732" t="s">
        <v>74</v>
      </c>
      <c r="H732" t="s">
        <v>74</v>
      </c>
      <c r="I732" t="s">
        <v>13499</v>
      </c>
      <c r="J732" t="s">
        <v>13480</v>
      </c>
      <c r="K732" t="s">
        <v>74</v>
      </c>
      <c r="L732" t="s">
        <v>74</v>
      </c>
      <c r="M732" t="s">
        <v>78</v>
      </c>
      <c r="N732" t="s">
        <v>79</v>
      </c>
      <c r="O732" t="s">
        <v>74</v>
      </c>
      <c r="P732" t="s">
        <v>74</v>
      </c>
      <c r="Q732" t="s">
        <v>74</v>
      </c>
      <c r="R732" t="s">
        <v>74</v>
      </c>
      <c r="S732" t="s">
        <v>74</v>
      </c>
      <c r="T732" t="s">
        <v>13500</v>
      </c>
      <c r="U732" t="s">
        <v>13501</v>
      </c>
      <c r="V732" t="s">
        <v>13502</v>
      </c>
      <c r="W732" t="s">
        <v>13503</v>
      </c>
      <c r="X732" t="s">
        <v>13504</v>
      </c>
      <c r="Y732" t="s">
        <v>13486</v>
      </c>
      <c r="Z732" t="s">
        <v>13487</v>
      </c>
      <c r="AA732" t="s">
        <v>13505</v>
      </c>
      <c r="AB732" t="s">
        <v>13506</v>
      </c>
      <c r="AC732" t="s">
        <v>13507</v>
      </c>
      <c r="AD732" t="s">
        <v>13508</v>
      </c>
      <c r="AE732" t="s">
        <v>13509</v>
      </c>
      <c r="AF732" t="s">
        <v>74</v>
      </c>
      <c r="AG732">
        <v>76</v>
      </c>
      <c r="AH732">
        <v>47</v>
      </c>
      <c r="AI732">
        <v>57</v>
      </c>
      <c r="AJ732">
        <v>0</v>
      </c>
      <c r="AK732">
        <v>61</v>
      </c>
      <c r="AL732" t="s">
        <v>10251</v>
      </c>
      <c r="AM732" t="s">
        <v>10252</v>
      </c>
      <c r="AN732" t="s">
        <v>10253</v>
      </c>
      <c r="AO732" t="s">
        <v>74</v>
      </c>
      <c r="AP732" t="s">
        <v>13493</v>
      </c>
      <c r="AQ732" t="s">
        <v>74</v>
      </c>
      <c r="AR732" t="s">
        <v>13480</v>
      </c>
      <c r="AS732" t="s">
        <v>13480</v>
      </c>
      <c r="AT732" t="s">
        <v>11820</v>
      </c>
      <c r="AU732">
        <v>2013</v>
      </c>
      <c r="AV732">
        <v>130</v>
      </c>
      <c r="AW732">
        <v>2</v>
      </c>
      <c r="AX732" t="s">
        <v>74</v>
      </c>
      <c r="AY732" t="s">
        <v>74</v>
      </c>
      <c r="AZ732" t="s">
        <v>74</v>
      </c>
      <c r="BA732" t="s">
        <v>74</v>
      </c>
      <c r="BB732">
        <v>247</v>
      </c>
      <c r="BC732">
        <v>257</v>
      </c>
      <c r="BD732" t="s">
        <v>74</v>
      </c>
      <c r="BE732" t="s">
        <v>13510</v>
      </c>
      <c r="BF732" t="str">
        <f>HYPERLINK("http://dx.doi.org/10.1525/auk.2013.13010","http://dx.doi.org/10.1525/auk.2013.13010")</f>
        <v>http://dx.doi.org/10.1525/auk.2013.13010</v>
      </c>
      <c r="BG732" t="s">
        <v>74</v>
      </c>
      <c r="BH732" t="s">
        <v>74</v>
      </c>
      <c r="BI732">
        <v>11</v>
      </c>
      <c r="BJ732" t="s">
        <v>7792</v>
      </c>
      <c r="BK732" t="s">
        <v>102</v>
      </c>
      <c r="BL732" t="s">
        <v>2120</v>
      </c>
      <c r="BM732" t="s">
        <v>13495</v>
      </c>
      <c r="BN732" t="s">
        <v>74</v>
      </c>
      <c r="BO732" t="s">
        <v>1589</v>
      </c>
      <c r="BP732" t="s">
        <v>74</v>
      </c>
      <c r="BQ732" t="s">
        <v>74</v>
      </c>
      <c r="BR732" t="s">
        <v>105</v>
      </c>
      <c r="BS732" t="s">
        <v>13511</v>
      </c>
      <c r="BT732" t="str">
        <f>HYPERLINK("https%3A%2F%2Fwww.webofscience.com%2Fwos%2Fwoscc%2Ffull-record%2FWOS:000319895900005","View Full Record in Web of Science")</f>
        <v>View Full Record in Web of Science</v>
      </c>
    </row>
    <row r="733" spans="1:72" x14ac:dyDescent="0.15">
      <c r="A733" t="s">
        <v>72</v>
      </c>
      <c r="B733" t="s">
        <v>13512</v>
      </c>
      <c r="C733" t="s">
        <v>74</v>
      </c>
      <c r="D733" t="s">
        <v>74</v>
      </c>
      <c r="E733" t="s">
        <v>74</v>
      </c>
      <c r="F733" t="s">
        <v>13513</v>
      </c>
      <c r="G733" t="s">
        <v>74</v>
      </c>
      <c r="H733" t="s">
        <v>74</v>
      </c>
      <c r="I733" t="s">
        <v>13514</v>
      </c>
      <c r="J733" t="s">
        <v>13480</v>
      </c>
      <c r="K733" t="s">
        <v>74</v>
      </c>
      <c r="L733" t="s">
        <v>74</v>
      </c>
      <c r="M733" t="s">
        <v>78</v>
      </c>
      <c r="N733" t="s">
        <v>79</v>
      </c>
      <c r="O733" t="s">
        <v>74</v>
      </c>
      <c r="P733" t="s">
        <v>74</v>
      </c>
      <c r="Q733" t="s">
        <v>74</v>
      </c>
      <c r="R733" t="s">
        <v>74</v>
      </c>
      <c r="S733" t="s">
        <v>74</v>
      </c>
      <c r="T733" t="s">
        <v>13515</v>
      </c>
      <c r="U733" t="s">
        <v>13516</v>
      </c>
      <c r="V733" t="s">
        <v>13517</v>
      </c>
      <c r="W733" t="s">
        <v>13518</v>
      </c>
      <c r="X733" t="s">
        <v>74</v>
      </c>
      <c r="Y733" t="s">
        <v>13519</v>
      </c>
      <c r="Z733" t="s">
        <v>13520</v>
      </c>
      <c r="AA733" t="s">
        <v>13521</v>
      </c>
      <c r="AB733" t="s">
        <v>74</v>
      </c>
      <c r="AC733" t="s">
        <v>13522</v>
      </c>
      <c r="AD733" t="s">
        <v>13523</v>
      </c>
      <c r="AE733" t="s">
        <v>13524</v>
      </c>
      <c r="AF733" t="s">
        <v>74</v>
      </c>
      <c r="AG733">
        <v>38</v>
      </c>
      <c r="AH733">
        <v>45</v>
      </c>
      <c r="AI733">
        <v>58</v>
      </c>
      <c r="AJ733">
        <v>1</v>
      </c>
      <c r="AK733">
        <v>50</v>
      </c>
      <c r="AL733" t="s">
        <v>10251</v>
      </c>
      <c r="AM733" t="s">
        <v>10252</v>
      </c>
      <c r="AN733" t="s">
        <v>10253</v>
      </c>
      <c r="AO733" t="s">
        <v>74</v>
      </c>
      <c r="AP733" t="s">
        <v>13493</v>
      </c>
      <c r="AQ733" t="s">
        <v>74</v>
      </c>
      <c r="AR733" t="s">
        <v>13480</v>
      </c>
      <c r="AS733" t="s">
        <v>13480</v>
      </c>
      <c r="AT733" t="s">
        <v>11820</v>
      </c>
      <c r="AU733">
        <v>2013</v>
      </c>
      <c r="AV733">
        <v>130</v>
      </c>
      <c r="AW733">
        <v>2</v>
      </c>
      <c r="AX733" t="s">
        <v>74</v>
      </c>
      <c r="AY733" t="s">
        <v>74</v>
      </c>
      <c r="AZ733" t="s">
        <v>74</v>
      </c>
      <c r="BA733" t="s">
        <v>74</v>
      </c>
      <c r="BB733">
        <v>283</v>
      </c>
      <c r="BC733">
        <v>290</v>
      </c>
      <c r="BD733" t="s">
        <v>74</v>
      </c>
      <c r="BE733" t="s">
        <v>13525</v>
      </c>
      <c r="BF733" t="str">
        <f>HYPERLINK("http://dx.doi.org/10.1525/auk.2013.12228","http://dx.doi.org/10.1525/auk.2013.12228")</f>
        <v>http://dx.doi.org/10.1525/auk.2013.12228</v>
      </c>
      <c r="BG733" t="s">
        <v>74</v>
      </c>
      <c r="BH733" t="s">
        <v>74</v>
      </c>
      <c r="BI733">
        <v>8</v>
      </c>
      <c r="BJ733" t="s">
        <v>7792</v>
      </c>
      <c r="BK733" t="s">
        <v>102</v>
      </c>
      <c r="BL733" t="s">
        <v>2120</v>
      </c>
      <c r="BM733" t="s">
        <v>13495</v>
      </c>
      <c r="BN733" t="s">
        <v>74</v>
      </c>
      <c r="BO733" t="s">
        <v>74</v>
      </c>
      <c r="BP733" t="s">
        <v>74</v>
      </c>
      <c r="BQ733" t="s">
        <v>74</v>
      </c>
      <c r="BR733" t="s">
        <v>105</v>
      </c>
      <c r="BS733" t="s">
        <v>13526</v>
      </c>
      <c r="BT733" t="str">
        <f>HYPERLINK("https%3A%2F%2Fwww.webofscience.com%2Fwos%2Fwoscc%2Ffull-record%2FWOS:000319895900009","View Full Record in Web of Science")</f>
        <v>View Full Record in Web of Science</v>
      </c>
    </row>
    <row r="734" spans="1:72" x14ac:dyDescent="0.15">
      <c r="A734" t="s">
        <v>72</v>
      </c>
      <c r="B734" t="s">
        <v>8185</v>
      </c>
      <c r="C734" t="s">
        <v>74</v>
      </c>
      <c r="D734" t="s">
        <v>74</v>
      </c>
      <c r="E734" t="s">
        <v>74</v>
      </c>
      <c r="F734" t="s">
        <v>8186</v>
      </c>
      <c r="G734" t="s">
        <v>74</v>
      </c>
      <c r="H734" t="s">
        <v>74</v>
      </c>
      <c r="I734" t="s">
        <v>13527</v>
      </c>
      <c r="J734" t="s">
        <v>13528</v>
      </c>
      <c r="K734" t="s">
        <v>74</v>
      </c>
      <c r="L734" t="s">
        <v>74</v>
      </c>
      <c r="M734" t="s">
        <v>78</v>
      </c>
      <c r="N734" t="s">
        <v>991</v>
      </c>
      <c r="O734" t="s">
        <v>74</v>
      </c>
      <c r="P734" t="s">
        <v>74</v>
      </c>
      <c r="Q734" t="s">
        <v>74</v>
      </c>
      <c r="R734" t="s">
        <v>74</v>
      </c>
      <c r="S734" t="s">
        <v>74</v>
      </c>
      <c r="T734" t="s">
        <v>13529</v>
      </c>
      <c r="U734" t="s">
        <v>74</v>
      </c>
      <c r="V734" t="s">
        <v>13530</v>
      </c>
      <c r="W734" t="s">
        <v>13531</v>
      </c>
      <c r="X734" t="s">
        <v>8193</v>
      </c>
      <c r="Y734" t="s">
        <v>13532</v>
      </c>
      <c r="Z734" t="s">
        <v>8195</v>
      </c>
      <c r="AA734" t="s">
        <v>8196</v>
      </c>
      <c r="AB734" t="s">
        <v>8197</v>
      </c>
      <c r="AC734" t="s">
        <v>13533</v>
      </c>
      <c r="AD734" t="s">
        <v>13534</v>
      </c>
      <c r="AE734" t="s">
        <v>74</v>
      </c>
      <c r="AF734" t="s">
        <v>74</v>
      </c>
      <c r="AG734">
        <v>0</v>
      </c>
      <c r="AH734">
        <v>22</v>
      </c>
      <c r="AI734">
        <v>23</v>
      </c>
      <c r="AJ734">
        <v>0</v>
      </c>
      <c r="AK734">
        <v>30</v>
      </c>
      <c r="AL734" t="s">
        <v>13535</v>
      </c>
      <c r="AM734" t="s">
        <v>13536</v>
      </c>
      <c r="AN734" t="s">
        <v>13537</v>
      </c>
      <c r="AO734" t="s">
        <v>13538</v>
      </c>
      <c r="AP734" t="s">
        <v>74</v>
      </c>
      <c r="AQ734" t="s">
        <v>74</v>
      </c>
      <c r="AR734" t="s">
        <v>13528</v>
      </c>
      <c r="AS734" t="s">
        <v>13539</v>
      </c>
      <c r="AT734" t="s">
        <v>11820</v>
      </c>
      <c r="AU734">
        <v>2013</v>
      </c>
      <c r="AV734">
        <v>9</v>
      </c>
      <c r="AW734">
        <v>4</v>
      </c>
      <c r="AX734" t="s">
        <v>74</v>
      </c>
      <c r="AY734" t="s">
        <v>74</v>
      </c>
      <c r="AZ734" t="s">
        <v>74</v>
      </c>
      <c r="BA734" t="s">
        <v>74</v>
      </c>
      <c r="BB734">
        <v>629</v>
      </c>
      <c r="BC734">
        <v>631</v>
      </c>
      <c r="BD734" t="s">
        <v>74</v>
      </c>
      <c r="BE734" t="s">
        <v>13540</v>
      </c>
      <c r="BF734" t="str">
        <f>HYPERLINK("http://dx.doi.org/10.4161/auto.23643","http://dx.doi.org/10.4161/auto.23643")</f>
        <v>http://dx.doi.org/10.4161/auto.23643</v>
      </c>
      <c r="BG734" t="s">
        <v>74</v>
      </c>
      <c r="BH734" t="s">
        <v>74</v>
      </c>
      <c r="BI734">
        <v>3</v>
      </c>
      <c r="BJ734" t="s">
        <v>13541</v>
      </c>
      <c r="BK734" t="s">
        <v>102</v>
      </c>
      <c r="BL734" t="s">
        <v>13541</v>
      </c>
      <c r="BM734" t="s">
        <v>13542</v>
      </c>
      <c r="BN734">
        <v>23380735</v>
      </c>
      <c r="BO734" t="s">
        <v>1589</v>
      </c>
      <c r="BP734" t="s">
        <v>74</v>
      </c>
      <c r="BQ734" t="s">
        <v>74</v>
      </c>
      <c r="BR734" t="s">
        <v>105</v>
      </c>
      <c r="BS734" t="s">
        <v>13543</v>
      </c>
      <c r="BT734" t="str">
        <f>HYPERLINK("https%3A%2F%2Fwww.webofscience.com%2Fwos%2Fwoscc%2Ffull-record%2FWOS:000316732200023","View Full Record in Web of Science")</f>
        <v>View Full Record in Web of Science</v>
      </c>
    </row>
    <row r="735" spans="1:72" x14ac:dyDescent="0.15">
      <c r="A735" t="s">
        <v>72</v>
      </c>
      <c r="B735" t="s">
        <v>13544</v>
      </c>
      <c r="C735" t="s">
        <v>74</v>
      </c>
      <c r="D735" t="s">
        <v>74</v>
      </c>
      <c r="E735" t="s">
        <v>74</v>
      </c>
      <c r="F735" t="s">
        <v>13545</v>
      </c>
      <c r="G735" t="s">
        <v>74</v>
      </c>
      <c r="H735" t="s">
        <v>74</v>
      </c>
      <c r="I735" t="s">
        <v>13546</v>
      </c>
      <c r="J735" t="s">
        <v>1207</v>
      </c>
      <c r="K735" t="s">
        <v>74</v>
      </c>
      <c r="L735" t="s">
        <v>74</v>
      </c>
      <c r="M735" t="s">
        <v>78</v>
      </c>
      <c r="N735" t="s">
        <v>79</v>
      </c>
      <c r="O735" t="s">
        <v>74</v>
      </c>
      <c r="P735" t="s">
        <v>74</v>
      </c>
      <c r="Q735" t="s">
        <v>74</v>
      </c>
      <c r="R735" t="s">
        <v>74</v>
      </c>
      <c r="S735" t="s">
        <v>74</v>
      </c>
      <c r="T735" t="s">
        <v>13547</v>
      </c>
      <c r="U735" t="s">
        <v>13548</v>
      </c>
      <c r="V735" t="s">
        <v>13549</v>
      </c>
      <c r="W735" t="s">
        <v>13550</v>
      </c>
      <c r="X735" t="s">
        <v>13551</v>
      </c>
      <c r="Y735" t="s">
        <v>13552</v>
      </c>
      <c r="Z735" t="s">
        <v>13553</v>
      </c>
      <c r="AA735" t="s">
        <v>13554</v>
      </c>
      <c r="AB735" t="s">
        <v>13555</v>
      </c>
      <c r="AC735" t="s">
        <v>13556</v>
      </c>
      <c r="AD735" t="s">
        <v>13557</v>
      </c>
      <c r="AE735" t="s">
        <v>13558</v>
      </c>
      <c r="AF735" t="s">
        <v>74</v>
      </c>
      <c r="AG735">
        <v>40</v>
      </c>
      <c r="AH735">
        <v>102</v>
      </c>
      <c r="AI735">
        <v>109</v>
      </c>
      <c r="AJ735">
        <v>1</v>
      </c>
      <c r="AK735">
        <v>40</v>
      </c>
      <c r="AL735" t="s">
        <v>529</v>
      </c>
      <c r="AM735" t="s">
        <v>391</v>
      </c>
      <c r="AN735" t="s">
        <v>1220</v>
      </c>
      <c r="AO735" t="s">
        <v>1221</v>
      </c>
      <c r="AP735" t="s">
        <v>1222</v>
      </c>
      <c r="AQ735" t="s">
        <v>74</v>
      </c>
      <c r="AR735" t="s">
        <v>1223</v>
      </c>
      <c r="AS735" t="s">
        <v>1224</v>
      </c>
      <c r="AT735" t="s">
        <v>11820</v>
      </c>
      <c r="AU735">
        <v>2013</v>
      </c>
      <c r="AV735">
        <v>40</v>
      </c>
      <c r="AW735" t="s">
        <v>3058</v>
      </c>
      <c r="AX735" t="s">
        <v>74</v>
      </c>
      <c r="AY735" t="s">
        <v>74</v>
      </c>
      <c r="AZ735" t="s">
        <v>74</v>
      </c>
      <c r="BA735" t="s">
        <v>74</v>
      </c>
      <c r="BB735">
        <v>2005</v>
      </c>
      <c r="BC735">
        <v>2022</v>
      </c>
      <c r="BD735" t="s">
        <v>74</v>
      </c>
      <c r="BE735" t="s">
        <v>13559</v>
      </c>
      <c r="BF735" t="str">
        <f>HYPERLINK("http://dx.doi.org/10.1007/s00382-012-1586-7","http://dx.doi.org/10.1007/s00382-012-1586-7")</f>
        <v>http://dx.doi.org/10.1007/s00382-012-1586-7</v>
      </c>
      <c r="BG735" t="s">
        <v>74</v>
      </c>
      <c r="BH735" t="s">
        <v>74</v>
      </c>
      <c r="BI735">
        <v>18</v>
      </c>
      <c r="BJ735" t="s">
        <v>305</v>
      </c>
      <c r="BK735" t="s">
        <v>102</v>
      </c>
      <c r="BL735" t="s">
        <v>305</v>
      </c>
      <c r="BM735" t="s">
        <v>12671</v>
      </c>
      <c r="BN735" t="s">
        <v>74</v>
      </c>
      <c r="BO735" t="s">
        <v>74</v>
      </c>
      <c r="BP735" t="s">
        <v>74</v>
      </c>
      <c r="BQ735" t="s">
        <v>74</v>
      </c>
      <c r="BR735" t="s">
        <v>105</v>
      </c>
      <c r="BS735" t="s">
        <v>13560</v>
      </c>
      <c r="BT735" t="str">
        <f>HYPERLINK("https%3A%2F%2Fwww.webofscience.com%2Fwos%2Fwoscc%2Ffull-record%2FWOS:000317075700027","View Full Record in Web of Science")</f>
        <v>View Full Record in Web of Science</v>
      </c>
    </row>
    <row r="736" spans="1:72" x14ac:dyDescent="0.15">
      <c r="A736" t="s">
        <v>72</v>
      </c>
      <c r="B736" t="s">
        <v>13561</v>
      </c>
      <c r="C736" t="s">
        <v>74</v>
      </c>
      <c r="D736" t="s">
        <v>74</v>
      </c>
      <c r="E736" t="s">
        <v>74</v>
      </c>
      <c r="F736" t="s">
        <v>13562</v>
      </c>
      <c r="G736" t="s">
        <v>74</v>
      </c>
      <c r="H736" t="s">
        <v>74</v>
      </c>
      <c r="I736" t="s">
        <v>13563</v>
      </c>
      <c r="J736" t="s">
        <v>3212</v>
      </c>
      <c r="K736" t="s">
        <v>74</v>
      </c>
      <c r="L736" t="s">
        <v>74</v>
      </c>
      <c r="M736" t="s">
        <v>78</v>
      </c>
      <c r="N736" t="s">
        <v>79</v>
      </c>
      <c r="O736" t="s">
        <v>74</v>
      </c>
      <c r="P736" t="s">
        <v>74</v>
      </c>
      <c r="Q736" t="s">
        <v>74</v>
      </c>
      <c r="R736" t="s">
        <v>74</v>
      </c>
      <c r="S736" t="s">
        <v>74</v>
      </c>
      <c r="T736" t="s">
        <v>74</v>
      </c>
      <c r="U736" t="s">
        <v>13564</v>
      </c>
      <c r="V736" t="s">
        <v>13565</v>
      </c>
      <c r="W736" t="s">
        <v>13566</v>
      </c>
      <c r="X736" t="s">
        <v>13567</v>
      </c>
      <c r="Y736" t="s">
        <v>13568</v>
      </c>
      <c r="Z736" t="s">
        <v>13569</v>
      </c>
      <c r="AA736" t="s">
        <v>13570</v>
      </c>
      <c r="AB736" t="s">
        <v>13571</v>
      </c>
      <c r="AC736" t="s">
        <v>13572</v>
      </c>
      <c r="AD736" t="s">
        <v>995</v>
      </c>
      <c r="AE736" t="s">
        <v>74</v>
      </c>
      <c r="AF736" t="s">
        <v>74</v>
      </c>
      <c r="AG736">
        <v>44</v>
      </c>
      <c r="AH736">
        <v>79</v>
      </c>
      <c r="AI736">
        <v>83</v>
      </c>
      <c r="AJ736">
        <v>5</v>
      </c>
      <c r="AK736">
        <v>106</v>
      </c>
      <c r="AL736" t="s">
        <v>529</v>
      </c>
      <c r="AM736" t="s">
        <v>1151</v>
      </c>
      <c r="AN736" t="s">
        <v>1152</v>
      </c>
      <c r="AO736" t="s">
        <v>3223</v>
      </c>
      <c r="AP736" t="s">
        <v>74</v>
      </c>
      <c r="AQ736" t="s">
        <v>74</v>
      </c>
      <c r="AR736" t="s">
        <v>3212</v>
      </c>
      <c r="AS736" t="s">
        <v>3225</v>
      </c>
      <c r="AT736" t="s">
        <v>11820</v>
      </c>
      <c r="AU736">
        <v>2013</v>
      </c>
      <c r="AV736">
        <v>117</v>
      </c>
      <c r="AW736">
        <v>3</v>
      </c>
      <c r="AX736" t="s">
        <v>74</v>
      </c>
      <c r="AY736" t="s">
        <v>74</v>
      </c>
      <c r="AZ736" t="s">
        <v>935</v>
      </c>
      <c r="BA736" t="s">
        <v>74</v>
      </c>
      <c r="BB736">
        <v>585</v>
      </c>
      <c r="BC736">
        <v>597</v>
      </c>
      <c r="BD736" t="s">
        <v>74</v>
      </c>
      <c r="BE736" t="s">
        <v>13573</v>
      </c>
      <c r="BF736" t="str">
        <f>HYPERLINK("http://dx.doi.org/10.1007/s10584-012-0572-8","http://dx.doi.org/10.1007/s10584-012-0572-8")</f>
        <v>http://dx.doi.org/10.1007/s10584-012-0572-8</v>
      </c>
      <c r="BG736" t="s">
        <v>74</v>
      </c>
      <c r="BH736" t="s">
        <v>74</v>
      </c>
      <c r="BI736">
        <v>13</v>
      </c>
      <c r="BJ736" t="s">
        <v>3227</v>
      </c>
      <c r="BK736" t="s">
        <v>102</v>
      </c>
      <c r="BL736" t="s">
        <v>3228</v>
      </c>
      <c r="BM736" t="s">
        <v>13574</v>
      </c>
      <c r="BN736" t="s">
        <v>74</v>
      </c>
      <c r="BO736" t="s">
        <v>74</v>
      </c>
      <c r="BP736" t="s">
        <v>74</v>
      </c>
      <c r="BQ736" t="s">
        <v>74</v>
      </c>
      <c r="BR736" t="s">
        <v>105</v>
      </c>
      <c r="BS736" t="s">
        <v>13575</v>
      </c>
      <c r="BT736" t="str">
        <f>HYPERLINK("https%3A%2F%2Fwww.webofscience.com%2Fwos%2Fwoscc%2Ffull-record%2FWOS:000316129000012","View Full Record in Web of Science")</f>
        <v>View Full Record in Web of Science</v>
      </c>
    </row>
    <row r="737" spans="1:72" x14ac:dyDescent="0.15">
      <c r="A737" t="s">
        <v>72</v>
      </c>
      <c r="B737" t="s">
        <v>13576</v>
      </c>
      <c r="C737" t="s">
        <v>74</v>
      </c>
      <c r="D737" t="s">
        <v>74</v>
      </c>
      <c r="E737" t="s">
        <v>74</v>
      </c>
      <c r="F737" t="s">
        <v>13577</v>
      </c>
      <c r="G737" t="s">
        <v>74</v>
      </c>
      <c r="H737" t="s">
        <v>74</v>
      </c>
      <c r="I737" t="s">
        <v>13578</v>
      </c>
      <c r="J737" t="s">
        <v>13579</v>
      </c>
      <c r="K737" t="s">
        <v>74</v>
      </c>
      <c r="L737" t="s">
        <v>74</v>
      </c>
      <c r="M737" t="s">
        <v>78</v>
      </c>
      <c r="N737" t="s">
        <v>79</v>
      </c>
      <c r="O737" t="s">
        <v>74</v>
      </c>
      <c r="P737" t="s">
        <v>74</v>
      </c>
      <c r="Q737" t="s">
        <v>74</v>
      </c>
      <c r="R737" t="s">
        <v>74</v>
      </c>
      <c r="S737" t="s">
        <v>74</v>
      </c>
      <c r="T737" t="s">
        <v>13580</v>
      </c>
      <c r="U737" t="s">
        <v>13581</v>
      </c>
      <c r="V737" t="s">
        <v>13582</v>
      </c>
      <c r="W737" t="s">
        <v>13583</v>
      </c>
      <c r="X737" t="s">
        <v>13584</v>
      </c>
      <c r="Y737" t="s">
        <v>13585</v>
      </c>
      <c r="Z737" t="s">
        <v>13586</v>
      </c>
      <c r="AA737" t="s">
        <v>13587</v>
      </c>
      <c r="AB737" t="s">
        <v>13588</v>
      </c>
      <c r="AC737" t="s">
        <v>13589</v>
      </c>
      <c r="AD737" t="s">
        <v>13590</v>
      </c>
      <c r="AE737" t="s">
        <v>13591</v>
      </c>
      <c r="AF737" t="s">
        <v>74</v>
      </c>
      <c r="AG737">
        <v>84</v>
      </c>
      <c r="AH737">
        <v>31</v>
      </c>
      <c r="AI737">
        <v>37</v>
      </c>
      <c r="AJ737">
        <v>1</v>
      </c>
      <c r="AK737">
        <v>60</v>
      </c>
      <c r="AL737" t="s">
        <v>954</v>
      </c>
      <c r="AM737" t="s">
        <v>955</v>
      </c>
      <c r="AN737" t="s">
        <v>956</v>
      </c>
      <c r="AO737" t="s">
        <v>13592</v>
      </c>
      <c r="AP737" t="s">
        <v>13593</v>
      </c>
      <c r="AQ737" t="s">
        <v>74</v>
      </c>
      <c r="AR737" t="s">
        <v>13579</v>
      </c>
      <c r="AS737" t="s">
        <v>13594</v>
      </c>
      <c r="AT737" t="s">
        <v>11820</v>
      </c>
      <c r="AU737">
        <v>2013</v>
      </c>
      <c r="AV737">
        <v>66</v>
      </c>
      <c r="AW737">
        <v>2</v>
      </c>
      <c r="AX737" t="s">
        <v>74</v>
      </c>
      <c r="AY737" t="s">
        <v>74</v>
      </c>
      <c r="AZ737" t="s">
        <v>74</v>
      </c>
      <c r="BA737" t="s">
        <v>74</v>
      </c>
      <c r="BB737">
        <v>167</v>
      </c>
      <c r="BC737">
        <v>175</v>
      </c>
      <c r="BD737" t="s">
        <v>74</v>
      </c>
      <c r="BE737" t="s">
        <v>13595</v>
      </c>
      <c r="BF737" t="str">
        <f>HYPERLINK("http://dx.doi.org/10.1016/j.cryobiol.2013.01.002","http://dx.doi.org/10.1016/j.cryobiol.2013.01.002")</f>
        <v>http://dx.doi.org/10.1016/j.cryobiol.2013.01.002</v>
      </c>
      <c r="BG737" t="s">
        <v>74</v>
      </c>
      <c r="BH737" t="s">
        <v>74</v>
      </c>
      <c r="BI737">
        <v>9</v>
      </c>
      <c r="BJ737" t="s">
        <v>13596</v>
      </c>
      <c r="BK737" t="s">
        <v>102</v>
      </c>
      <c r="BL737" t="s">
        <v>13597</v>
      </c>
      <c r="BM737" t="s">
        <v>13598</v>
      </c>
      <c r="BN737">
        <v>23353800</v>
      </c>
      <c r="BO737" t="s">
        <v>74</v>
      </c>
      <c r="BP737" t="s">
        <v>74</v>
      </c>
      <c r="BQ737" t="s">
        <v>74</v>
      </c>
      <c r="BR737" t="s">
        <v>105</v>
      </c>
      <c r="BS737" t="s">
        <v>13599</v>
      </c>
      <c r="BT737" t="str">
        <f>HYPERLINK("https%3A%2F%2Fwww.webofscience.com%2Fwos%2Fwoscc%2Ffull-record%2FWOS:000316518100015","View Full Record in Web of Science")</f>
        <v>View Full Record in Web of Science</v>
      </c>
    </row>
    <row r="738" spans="1:72" x14ac:dyDescent="0.15">
      <c r="A738" t="s">
        <v>72</v>
      </c>
      <c r="B738" t="s">
        <v>13600</v>
      </c>
      <c r="C738" t="s">
        <v>74</v>
      </c>
      <c r="D738" t="s">
        <v>74</v>
      </c>
      <c r="E738" t="s">
        <v>74</v>
      </c>
      <c r="F738" t="s">
        <v>13601</v>
      </c>
      <c r="G738" t="s">
        <v>74</v>
      </c>
      <c r="H738" t="s">
        <v>74</v>
      </c>
      <c r="I738" t="s">
        <v>13602</v>
      </c>
      <c r="J738" t="s">
        <v>919</v>
      </c>
      <c r="K738" t="s">
        <v>74</v>
      </c>
      <c r="L738" t="s">
        <v>74</v>
      </c>
      <c r="M738" t="s">
        <v>78</v>
      </c>
      <c r="N738" t="s">
        <v>991</v>
      </c>
      <c r="O738" t="s">
        <v>74</v>
      </c>
      <c r="P738" t="s">
        <v>74</v>
      </c>
      <c r="Q738" t="s">
        <v>74</v>
      </c>
      <c r="R738" t="s">
        <v>74</v>
      </c>
      <c r="S738" t="s">
        <v>74</v>
      </c>
      <c r="T738" t="s">
        <v>13603</v>
      </c>
      <c r="U738" t="s">
        <v>13604</v>
      </c>
      <c r="V738" t="s">
        <v>13605</v>
      </c>
      <c r="W738" t="s">
        <v>13606</v>
      </c>
      <c r="X738" t="s">
        <v>13607</v>
      </c>
      <c r="Y738" t="s">
        <v>13608</v>
      </c>
      <c r="Z738" t="s">
        <v>13609</v>
      </c>
      <c r="AA738" t="s">
        <v>13610</v>
      </c>
      <c r="AB738" t="s">
        <v>13611</v>
      </c>
      <c r="AC738" t="s">
        <v>74</v>
      </c>
      <c r="AD738" t="s">
        <v>74</v>
      </c>
      <c r="AE738" t="s">
        <v>74</v>
      </c>
      <c r="AF738" t="s">
        <v>74</v>
      </c>
      <c r="AG738">
        <v>61</v>
      </c>
      <c r="AH738">
        <v>38</v>
      </c>
      <c r="AI738">
        <v>40</v>
      </c>
      <c r="AJ738">
        <v>0</v>
      </c>
      <c r="AK738">
        <v>94</v>
      </c>
      <c r="AL738" t="s">
        <v>506</v>
      </c>
      <c r="AM738" t="s">
        <v>442</v>
      </c>
      <c r="AN738" t="s">
        <v>507</v>
      </c>
      <c r="AO738" t="s">
        <v>931</v>
      </c>
      <c r="AP738" t="s">
        <v>932</v>
      </c>
      <c r="AQ738" t="s">
        <v>74</v>
      </c>
      <c r="AR738" t="s">
        <v>933</v>
      </c>
      <c r="AS738" t="s">
        <v>934</v>
      </c>
      <c r="AT738" t="s">
        <v>12470</v>
      </c>
      <c r="AU738">
        <v>2013</v>
      </c>
      <c r="AV738" t="s">
        <v>12471</v>
      </c>
      <c r="AW738" t="s">
        <v>74</v>
      </c>
      <c r="AX738" t="s">
        <v>74</v>
      </c>
      <c r="AY738" t="s">
        <v>74</v>
      </c>
      <c r="AZ738" t="s">
        <v>935</v>
      </c>
      <c r="BA738" t="s">
        <v>74</v>
      </c>
      <c r="BB738">
        <v>1</v>
      </c>
      <c r="BC738">
        <v>6</v>
      </c>
      <c r="BD738" t="s">
        <v>74</v>
      </c>
      <c r="BE738" t="s">
        <v>13612</v>
      </c>
      <c r="BF738" t="str">
        <f>HYPERLINK("http://dx.doi.org/10.1016/j.dsr2.2012.10.005","http://dx.doi.org/10.1016/j.dsr2.2012.10.005")</f>
        <v>http://dx.doi.org/10.1016/j.dsr2.2012.10.005</v>
      </c>
      <c r="BG738" t="s">
        <v>74</v>
      </c>
      <c r="BH738" t="s">
        <v>74</v>
      </c>
      <c r="BI738">
        <v>6</v>
      </c>
      <c r="BJ738" t="s">
        <v>327</v>
      </c>
      <c r="BK738" t="s">
        <v>102</v>
      </c>
      <c r="BL738" t="s">
        <v>327</v>
      </c>
      <c r="BM738" t="s">
        <v>12473</v>
      </c>
      <c r="BN738" t="s">
        <v>74</v>
      </c>
      <c r="BO738" t="s">
        <v>74</v>
      </c>
      <c r="BP738" t="s">
        <v>74</v>
      </c>
      <c r="BQ738" t="s">
        <v>74</v>
      </c>
      <c r="BR738" t="s">
        <v>105</v>
      </c>
      <c r="BS738" t="s">
        <v>13613</v>
      </c>
      <c r="BT738" t="str">
        <f>HYPERLINK("https%3A%2F%2Fwww.webofscience.com%2Fwos%2Fwoscc%2Ffull-record%2FWOS:000317636400001","View Full Record in Web of Science")</f>
        <v>View Full Record in Web of Science</v>
      </c>
    </row>
    <row r="739" spans="1:72" x14ac:dyDescent="0.15">
      <c r="A739" t="s">
        <v>72</v>
      </c>
      <c r="B739" t="s">
        <v>13614</v>
      </c>
      <c r="C739" t="s">
        <v>74</v>
      </c>
      <c r="D739" t="s">
        <v>74</v>
      </c>
      <c r="E739" t="s">
        <v>74</v>
      </c>
      <c r="F739" t="s">
        <v>13615</v>
      </c>
      <c r="G739" t="s">
        <v>74</v>
      </c>
      <c r="H739" t="s">
        <v>74</v>
      </c>
      <c r="I739" t="s">
        <v>13616</v>
      </c>
      <c r="J739" t="s">
        <v>919</v>
      </c>
      <c r="K739" t="s">
        <v>74</v>
      </c>
      <c r="L739" t="s">
        <v>74</v>
      </c>
      <c r="M739" t="s">
        <v>78</v>
      </c>
      <c r="N739" t="s">
        <v>79</v>
      </c>
      <c r="O739" t="s">
        <v>74</v>
      </c>
      <c r="P739" t="s">
        <v>74</v>
      </c>
      <c r="Q739" t="s">
        <v>74</v>
      </c>
      <c r="R739" t="s">
        <v>74</v>
      </c>
      <c r="S739" t="s">
        <v>74</v>
      </c>
      <c r="T739" t="s">
        <v>13617</v>
      </c>
      <c r="U739" t="s">
        <v>13618</v>
      </c>
      <c r="V739" t="s">
        <v>13619</v>
      </c>
      <c r="W739" t="s">
        <v>13620</v>
      </c>
      <c r="X739" t="s">
        <v>13621</v>
      </c>
      <c r="Y739" t="s">
        <v>13622</v>
      </c>
      <c r="Z739" t="s">
        <v>13623</v>
      </c>
      <c r="AA739" t="s">
        <v>13624</v>
      </c>
      <c r="AB739" t="s">
        <v>13625</v>
      </c>
      <c r="AC739" t="s">
        <v>13626</v>
      </c>
      <c r="AD739" t="s">
        <v>13627</v>
      </c>
      <c r="AE739" t="s">
        <v>13628</v>
      </c>
      <c r="AF739" t="s">
        <v>74</v>
      </c>
      <c r="AG739">
        <v>84</v>
      </c>
      <c r="AH739">
        <v>187</v>
      </c>
      <c r="AI739">
        <v>203</v>
      </c>
      <c r="AJ739">
        <v>1</v>
      </c>
      <c r="AK739">
        <v>129</v>
      </c>
      <c r="AL739" t="s">
        <v>506</v>
      </c>
      <c r="AM739" t="s">
        <v>442</v>
      </c>
      <c r="AN739" t="s">
        <v>507</v>
      </c>
      <c r="AO739" t="s">
        <v>931</v>
      </c>
      <c r="AP739" t="s">
        <v>932</v>
      </c>
      <c r="AQ739" t="s">
        <v>74</v>
      </c>
      <c r="AR739" t="s">
        <v>933</v>
      </c>
      <c r="AS739" t="s">
        <v>934</v>
      </c>
      <c r="AT739" t="s">
        <v>12470</v>
      </c>
      <c r="AU739">
        <v>2013</v>
      </c>
      <c r="AV739" t="s">
        <v>12471</v>
      </c>
      <c r="AW739" t="s">
        <v>74</v>
      </c>
      <c r="AX739" t="s">
        <v>74</v>
      </c>
      <c r="AY739" t="s">
        <v>74</v>
      </c>
      <c r="AZ739" t="s">
        <v>935</v>
      </c>
      <c r="BA739" t="s">
        <v>74</v>
      </c>
      <c r="BB739">
        <v>34</v>
      </c>
      <c r="BC739">
        <v>46</v>
      </c>
      <c r="BD739" t="s">
        <v>74</v>
      </c>
      <c r="BE739" t="s">
        <v>13629</v>
      </c>
      <c r="BF739" t="str">
        <f>HYPERLINK("http://dx.doi.org/10.1016/j.dsr2.2012.07.008","http://dx.doi.org/10.1016/j.dsr2.2012.07.008")</f>
        <v>http://dx.doi.org/10.1016/j.dsr2.2012.07.008</v>
      </c>
      <c r="BG739" t="s">
        <v>74</v>
      </c>
      <c r="BH739" t="s">
        <v>74</v>
      </c>
      <c r="BI739">
        <v>13</v>
      </c>
      <c r="BJ739" t="s">
        <v>327</v>
      </c>
      <c r="BK739" t="s">
        <v>102</v>
      </c>
      <c r="BL739" t="s">
        <v>327</v>
      </c>
      <c r="BM739" t="s">
        <v>12473</v>
      </c>
      <c r="BN739" t="s">
        <v>74</v>
      </c>
      <c r="BO739" t="s">
        <v>74</v>
      </c>
      <c r="BP739" t="s">
        <v>74</v>
      </c>
      <c r="BQ739" t="s">
        <v>74</v>
      </c>
      <c r="BR739" t="s">
        <v>105</v>
      </c>
      <c r="BS739" t="s">
        <v>13630</v>
      </c>
      <c r="BT739" t="str">
        <f>HYPERLINK("https%3A%2F%2Fwww.webofscience.com%2Fwos%2Fwoscc%2Ffull-record%2FWOS:000317636400005","View Full Record in Web of Science")</f>
        <v>View Full Record in Web of Science</v>
      </c>
    </row>
    <row r="740" spans="1:72" x14ac:dyDescent="0.15">
      <c r="A740" t="s">
        <v>72</v>
      </c>
      <c r="B740" t="s">
        <v>13631</v>
      </c>
      <c r="C740" t="s">
        <v>74</v>
      </c>
      <c r="D740" t="s">
        <v>74</v>
      </c>
      <c r="E740" t="s">
        <v>74</v>
      </c>
      <c r="F740" t="s">
        <v>13632</v>
      </c>
      <c r="G740" t="s">
        <v>74</v>
      </c>
      <c r="H740" t="s">
        <v>74</v>
      </c>
      <c r="I740" t="s">
        <v>13633</v>
      </c>
      <c r="J740" t="s">
        <v>1458</v>
      </c>
      <c r="K740" t="s">
        <v>74</v>
      </c>
      <c r="L740" t="s">
        <v>74</v>
      </c>
      <c r="M740" t="s">
        <v>78</v>
      </c>
      <c r="N740" t="s">
        <v>1459</v>
      </c>
      <c r="O740" t="s">
        <v>74</v>
      </c>
      <c r="P740" t="s">
        <v>74</v>
      </c>
      <c r="Q740" t="s">
        <v>74</v>
      </c>
      <c r="R740" t="s">
        <v>74</v>
      </c>
      <c r="S740" t="s">
        <v>74</v>
      </c>
      <c r="T740" t="s">
        <v>13634</v>
      </c>
      <c r="U740" t="s">
        <v>13635</v>
      </c>
      <c r="V740" t="s">
        <v>13636</v>
      </c>
      <c r="W740" t="s">
        <v>13637</v>
      </c>
      <c r="X740" t="s">
        <v>13638</v>
      </c>
      <c r="Y740" t="s">
        <v>13639</v>
      </c>
      <c r="Z740" t="s">
        <v>13640</v>
      </c>
      <c r="AA740" t="s">
        <v>13641</v>
      </c>
      <c r="AB740" t="s">
        <v>13642</v>
      </c>
      <c r="AC740" t="s">
        <v>13643</v>
      </c>
      <c r="AD740" t="s">
        <v>13644</v>
      </c>
      <c r="AE740" t="s">
        <v>13645</v>
      </c>
      <c r="AF740" t="s">
        <v>74</v>
      </c>
      <c r="AG740">
        <v>135</v>
      </c>
      <c r="AH740">
        <v>31</v>
      </c>
      <c r="AI740">
        <v>33</v>
      </c>
      <c r="AJ740">
        <v>1</v>
      </c>
      <c r="AK740">
        <v>50</v>
      </c>
      <c r="AL740" t="s">
        <v>368</v>
      </c>
      <c r="AM740" t="s">
        <v>369</v>
      </c>
      <c r="AN740" t="s">
        <v>370</v>
      </c>
      <c r="AO740" t="s">
        <v>1472</v>
      </c>
      <c r="AP740" t="s">
        <v>74</v>
      </c>
      <c r="AQ740" t="s">
        <v>74</v>
      </c>
      <c r="AR740" t="s">
        <v>1473</v>
      </c>
      <c r="AS740" t="s">
        <v>1474</v>
      </c>
      <c r="AT740" t="s">
        <v>11820</v>
      </c>
      <c r="AU740">
        <v>2013</v>
      </c>
      <c r="AV740">
        <v>3</v>
      </c>
      <c r="AW740">
        <v>4</v>
      </c>
      <c r="AX740" t="s">
        <v>74</v>
      </c>
      <c r="AY740" t="s">
        <v>74</v>
      </c>
      <c r="AZ740" t="s">
        <v>74</v>
      </c>
      <c r="BA740" t="s">
        <v>74</v>
      </c>
      <c r="BB740">
        <v>887</v>
      </c>
      <c r="BC740">
        <v>917</v>
      </c>
      <c r="BD740" t="s">
        <v>74</v>
      </c>
      <c r="BE740" t="s">
        <v>13646</v>
      </c>
      <c r="BF740" t="str">
        <f>HYPERLINK("http://dx.doi.org/10.1002/ece3.513","http://dx.doi.org/10.1002/ece3.513")</f>
        <v>http://dx.doi.org/10.1002/ece3.513</v>
      </c>
      <c r="BG740" t="s">
        <v>74</v>
      </c>
      <c r="BH740" t="s">
        <v>74</v>
      </c>
      <c r="BI740">
        <v>31</v>
      </c>
      <c r="BJ740" t="s">
        <v>741</v>
      </c>
      <c r="BK740" t="s">
        <v>102</v>
      </c>
      <c r="BL740" t="s">
        <v>742</v>
      </c>
      <c r="BM740" t="s">
        <v>13647</v>
      </c>
      <c r="BN740">
        <v>23610633</v>
      </c>
      <c r="BO740" t="s">
        <v>9138</v>
      </c>
      <c r="BP740" t="s">
        <v>74</v>
      </c>
      <c r="BQ740" t="s">
        <v>74</v>
      </c>
      <c r="BR740" t="s">
        <v>105</v>
      </c>
      <c r="BS740" t="s">
        <v>13648</v>
      </c>
      <c r="BT740" t="str">
        <f>HYPERLINK("https%3A%2F%2Fwww.webofscience.com%2Fwos%2Fwoscc%2Ffull-record%2FWOS:000317599300013","View Full Record in Web of Science")</f>
        <v>View Full Record in Web of Science</v>
      </c>
    </row>
    <row r="741" spans="1:72" x14ac:dyDescent="0.15">
      <c r="A741" t="s">
        <v>72</v>
      </c>
      <c r="B741" t="s">
        <v>13649</v>
      </c>
      <c r="C741" t="s">
        <v>74</v>
      </c>
      <c r="D741" t="s">
        <v>74</v>
      </c>
      <c r="E741" t="s">
        <v>74</v>
      </c>
      <c r="F741" t="s">
        <v>13650</v>
      </c>
      <c r="G741" t="s">
        <v>74</v>
      </c>
      <c r="H741" t="s">
        <v>74</v>
      </c>
      <c r="I741" t="s">
        <v>13651</v>
      </c>
      <c r="J741" t="s">
        <v>10586</v>
      </c>
      <c r="K741" t="s">
        <v>74</v>
      </c>
      <c r="L741" t="s">
        <v>74</v>
      </c>
      <c r="M741" t="s">
        <v>78</v>
      </c>
      <c r="N741" t="s">
        <v>79</v>
      </c>
      <c r="O741" t="s">
        <v>74</v>
      </c>
      <c r="P741" t="s">
        <v>74</v>
      </c>
      <c r="Q741" t="s">
        <v>74</v>
      </c>
      <c r="R741" t="s">
        <v>74</v>
      </c>
      <c r="S741" t="s">
        <v>74</v>
      </c>
      <c r="T741" t="s">
        <v>74</v>
      </c>
      <c r="U741" t="s">
        <v>13652</v>
      </c>
      <c r="V741" t="s">
        <v>13653</v>
      </c>
      <c r="W741" t="s">
        <v>13654</v>
      </c>
      <c r="X741" t="s">
        <v>13655</v>
      </c>
      <c r="Y741" t="s">
        <v>13656</v>
      </c>
      <c r="Z741" t="s">
        <v>13657</v>
      </c>
      <c r="AA741" t="s">
        <v>13658</v>
      </c>
      <c r="AB741" t="s">
        <v>13659</v>
      </c>
      <c r="AC741" t="s">
        <v>13660</v>
      </c>
      <c r="AD741" t="s">
        <v>13661</v>
      </c>
      <c r="AE741" t="s">
        <v>13662</v>
      </c>
      <c r="AF741" t="s">
        <v>74</v>
      </c>
      <c r="AG741">
        <v>104</v>
      </c>
      <c r="AH741">
        <v>37</v>
      </c>
      <c r="AI741">
        <v>47</v>
      </c>
      <c r="AJ741">
        <v>1</v>
      </c>
      <c r="AK741">
        <v>104</v>
      </c>
      <c r="AL741" t="s">
        <v>368</v>
      </c>
      <c r="AM741" t="s">
        <v>369</v>
      </c>
      <c r="AN741" t="s">
        <v>370</v>
      </c>
      <c r="AO741" t="s">
        <v>10598</v>
      </c>
      <c r="AP741" t="s">
        <v>10599</v>
      </c>
      <c r="AQ741" t="s">
        <v>74</v>
      </c>
      <c r="AR741" t="s">
        <v>10600</v>
      </c>
      <c r="AS741" t="s">
        <v>10601</v>
      </c>
      <c r="AT741" t="s">
        <v>11820</v>
      </c>
      <c r="AU741">
        <v>2013</v>
      </c>
      <c r="AV741">
        <v>15</v>
      </c>
      <c r="AW741">
        <v>4</v>
      </c>
      <c r="AX741" t="s">
        <v>74</v>
      </c>
      <c r="AY741" t="s">
        <v>74</v>
      </c>
      <c r="AZ741" t="s">
        <v>74</v>
      </c>
      <c r="BA741" t="s">
        <v>74</v>
      </c>
      <c r="BB741">
        <v>1115</v>
      </c>
      <c r="BC741">
        <v>1131</v>
      </c>
      <c r="BD741" t="s">
        <v>74</v>
      </c>
      <c r="BE741" t="s">
        <v>13663</v>
      </c>
      <c r="BF741" t="str">
        <f>HYPERLINK("http://dx.doi.org/10.1111/j.1462-2920.2012.02872.x","http://dx.doi.org/10.1111/j.1462-2920.2012.02872.x")</f>
        <v>http://dx.doi.org/10.1111/j.1462-2920.2012.02872.x</v>
      </c>
      <c r="BG741" t="s">
        <v>74</v>
      </c>
      <c r="BH741" t="s">
        <v>74</v>
      </c>
      <c r="BI741">
        <v>17</v>
      </c>
      <c r="BJ741" t="s">
        <v>3107</v>
      </c>
      <c r="BK741" t="s">
        <v>102</v>
      </c>
      <c r="BL741" t="s">
        <v>3107</v>
      </c>
      <c r="BM741" t="s">
        <v>13664</v>
      </c>
      <c r="BN741">
        <v>22998505</v>
      </c>
      <c r="BO741" t="s">
        <v>74</v>
      </c>
      <c r="BP741" t="s">
        <v>74</v>
      </c>
      <c r="BQ741" t="s">
        <v>74</v>
      </c>
      <c r="BR741" t="s">
        <v>105</v>
      </c>
      <c r="BS741" t="s">
        <v>13665</v>
      </c>
      <c r="BT741" t="str">
        <f>HYPERLINK("https%3A%2F%2Fwww.webofscience.com%2Fwos%2Fwoscc%2Ffull-record%2FWOS:000317287200011","View Full Record in Web of Science")</f>
        <v>View Full Record in Web of Science</v>
      </c>
    </row>
    <row r="742" spans="1:72" x14ac:dyDescent="0.15">
      <c r="A742" t="s">
        <v>72</v>
      </c>
      <c r="B742" t="s">
        <v>13666</v>
      </c>
      <c r="C742" t="s">
        <v>74</v>
      </c>
      <c r="D742" t="s">
        <v>74</v>
      </c>
      <c r="E742" t="s">
        <v>74</v>
      </c>
      <c r="F742" t="s">
        <v>13667</v>
      </c>
      <c r="G742" t="s">
        <v>74</v>
      </c>
      <c r="H742" t="s">
        <v>74</v>
      </c>
      <c r="I742" t="s">
        <v>13668</v>
      </c>
      <c r="J742" t="s">
        <v>10586</v>
      </c>
      <c r="K742" t="s">
        <v>74</v>
      </c>
      <c r="L742" t="s">
        <v>74</v>
      </c>
      <c r="M742" t="s">
        <v>78</v>
      </c>
      <c r="N742" t="s">
        <v>79</v>
      </c>
      <c r="O742" t="s">
        <v>74</v>
      </c>
      <c r="P742" t="s">
        <v>74</v>
      </c>
      <c r="Q742" t="s">
        <v>74</v>
      </c>
      <c r="R742" t="s">
        <v>74</v>
      </c>
      <c r="S742" t="s">
        <v>74</v>
      </c>
      <c r="T742" t="s">
        <v>74</v>
      </c>
      <c r="U742" t="s">
        <v>13669</v>
      </c>
      <c r="V742" t="s">
        <v>13670</v>
      </c>
      <c r="W742" t="s">
        <v>13671</v>
      </c>
      <c r="X742" t="s">
        <v>13672</v>
      </c>
      <c r="Y742" t="s">
        <v>13673</v>
      </c>
      <c r="Z742" t="s">
        <v>13674</v>
      </c>
      <c r="AA742" t="s">
        <v>13675</v>
      </c>
      <c r="AB742" t="s">
        <v>13676</v>
      </c>
      <c r="AC742" t="s">
        <v>13677</v>
      </c>
      <c r="AD742" t="s">
        <v>13678</v>
      </c>
      <c r="AE742" t="s">
        <v>13679</v>
      </c>
      <c r="AF742" t="s">
        <v>74</v>
      </c>
      <c r="AG742">
        <v>98</v>
      </c>
      <c r="AH742">
        <v>172</v>
      </c>
      <c r="AI742">
        <v>194</v>
      </c>
      <c r="AJ742">
        <v>9</v>
      </c>
      <c r="AK742">
        <v>172</v>
      </c>
      <c r="AL742" t="s">
        <v>368</v>
      </c>
      <c r="AM742" t="s">
        <v>369</v>
      </c>
      <c r="AN742" t="s">
        <v>370</v>
      </c>
      <c r="AO742" t="s">
        <v>10598</v>
      </c>
      <c r="AP742" t="s">
        <v>10599</v>
      </c>
      <c r="AQ742" t="s">
        <v>74</v>
      </c>
      <c r="AR742" t="s">
        <v>10600</v>
      </c>
      <c r="AS742" t="s">
        <v>10601</v>
      </c>
      <c r="AT742" t="s">
        <v>11820</v>
      </c>
      <c r="AU742">
        <v>2013</v>
      </c>
      <c r="AV742">
        <v>15</v>
      </c>
      <c r="AW742">
        <v>4</v>
      </c>
      <c r="AX742" t="s">
        <v>74</v>
      </c>
      <c r="AY742" t="s">
        <v>74</v>
      </c>
      <c r="AZ742" t="s">
        <v>74</v>
      </c>
      <c r="BA742" t="s">
        <v>74</v>
      </c>
      <c r="BB742">
        <v>1132</v>
      </c>
      <c r="BC742">
        <v>1145</v>
      </c>
      <c r="BD742" t="s">
        <v>74</v>
      </c>
      <c r="BE742" t="s">
        <v>13680</v>
      </c>
      <c r="BF742" t="str">
        <f>HYPERLINK("http://dx.doi.org/10.1111/1462-2920.12022","http://dx.doi.org/10.1111/1462-2920.12022")</f>
        <v>http://dx.doi.org/10.1111/1462-2920.12022</v>
      </c>
      <c r="BG742" t="s">
        <v>74</v>
      </c>
      <c r="BH742" t="s">
        <v>74</v>
      </c>
      <c r="BI742">
        <v>14</v>
      </c>
      <c r="BJ742" t="s">
        <v>3107</v>
      </c>
      <c r="BK742" t="s">
        <v>102</v>
      </c>
      <c r="BL742" t="s">
        <v>3107</v>
      </c>
      <c r="BM742" t="s">
        <v>13664</v>
      </c>
      <c r="BN742">
        <v>23145888</v>
      </c>
      <c r="BO742" t="s">
        <v>74</v>
      </c>
      <c r="BP742" t="s">
        <v>74</v>
      </c>
      <c r="BQ742" t="s">
        <v>74</v>
      </c>
      <c r="BR742" t="s">
        <v>105</v>
      </c>
      <c r="BS742" t="s">
        <v>13681</v>
      </c>
      <c r="BT742" t="str">
        <f>HYPERLINK("https%3A%2F%2Fwww.webofscience.com%2Fwos%2Fwoscc%2Ffull-record%2FWOS:000317287200012","View Full Record in Web of Science")</f>
        <v>View Full Record in Web of Science</v>
      </c>
    </row>
    <row r="743" spans="1:72" x14ac:dyDescent="0.15">
      <c r="A743" t="s">
        <v>72</v>
      </c>
      <c r="B743" t="s">
        <v>13682</v>
      </c>
      <c r="C743" t="s">
        <v>74</v>
      </c>
      <c r="D743" t="s">
        <v>74</v>
      </c>
      <c r="E743" t="s">
        <v>74</v>
      </c>
      <c r="F743" t="s">
        <v>13683</v>
      </c>
      <c r="G743" t="s">
        <v>74</v>
      </c>
      <c r="H743" t="s">
        <v>74</v>
      </c>
      <c r="I743" t="s">
        <v>13684</v>
      </c>
      <c r="J743" t="s">
        <v>12692</v>
      </c>
      <c r="K743" t="s">
        <v>74</v>
      </c>
      <c r="L743" t="s">
        <v>74</v>
      </c>
      <c r="M743" t="s">
        <v>78</v>
      </c>
      <c r="N743" t="s">
        <v>79</v>
      </c>
      <c r="O743" t="s">
        <v>74</v>
      </c>
      <c r="P743" t="s">
        <v>74</v>
      </c>
      <c r="Q743" t="s">
        <v>74</v>
      </c>
      <c r="R743" t="s">
        <v>74</v>
      </c>
      <c r="S743" t="s">
        <v>74</v>
      </c>
      <c r="T743" t="s">
        <v>13685</v>
      </c>
      <c r="U743" t="s">
        <v>13686</v>
      </c>
      <c r="V743" t="s">
        <v>13687</v>
      </c>
      <c r="W743" t="s">
        <v>13688</v>
      </c>
      <c r="X743" t="s">
        <v>527</v>
      </c>
      <c r="Y743" t="s">
        <v>13689</v>
      </c>
      <c r="Z743" t="s">
        <v>13690</v>
      </c>
      <c r="AA743" t="s">
        <v>13691</v>
      </c>
      <c r="AB743" t="s">
        <v>13692</v>
      </c>
      <c r="AC743" t="s">
        <v>13693</v>
      </c>
      <c r="AD743" t="s">
        <v>13694</v>
      </c>
      <c r="AE743" t="s">
        <v>13695</v>
      </c>
      <c r="AF743" t="s">
        <v>74</v>
      </c>
      <c r="AG743">
        <v>65</v>
      </c>
      <c r="AH743">
        <v>16</v>
      </c>
      <c r="AI743">
        <v>18</v>
      </c>
      <c r="AJ743">
        <v>6</v>
      </c>
      <c r="AK743">
        <v>108</v>
      </c>
      <c r="AL743" t="s">
        <v>1515</v>
      </c>
      <c r="AM743" t="s">
        <v>442</v>
      </c>
      <c r="AN743" t="s">
        <v>1516</v>
      </c>
      <c r="AO743" t="s">
        <v>12705</v>
      </c>
      <c r="AP743" t="s">
        <v>12706</v>
      </c>
      <c r="AQ743" t="s">
        <v>74</v>
      </c>
      <c r="AR743" t="s">
        <v>12707</v>
      </c>
      <c r="AS743" t="s">
        <v>12708</v>
      </c>
      <c r="AT743" t="s">
        <v>11820</v>
      </c>
      <c r="AU743">
        <v>2013</v>
      </c>
      <c r="AV743">
        <v>175</v>
      </c>
      <c r="AW743" t="s">
        <v>74</v>
      </c>
      <c r="AX743" t="s">
        <v>74</v>
      </c>
      <c r="AY743" t="s">
        <v>74</v>
      </c>
      <c r="AZ743" t="s">
        <v>74</v>
      </c>
      <c r="BA743" t="s">
        <v>74</v>
      </c>
      <c r="BB743">
        <v>168</v>
      </c>
      <c r="BC743">
        <v>177</v>
      </c>
      <c r="BD743" t="s">
        <v>74</v>
      </c>
      <c r="BE743" t="s">
        <v>13696</v>
      </c>
      <c r="BF743" t="str">
        <f>HYPERLINK("http://dx.doi.org/10.1016/j.envpol.2013.01.007","http://dx.doi.org/10.1016/j.envpol.2013.01.007")</f>
        <v>http://dx.doi.org/10.1016/j.envpol.2013.01.007</v>
      </c>
      <c r="BG743" t="s">
        <v>74</v>
      </c>
      <c r="BH743" t="s">
        <v>74</v>
      </c>
      <c r="BI743">
        <v>10</v>
      </c>
      <c r="BJ743" t="s">
        <v>512</v>
      </c>
      <c r="BK743" t="s">
        <v>102</v>
      </c>
      <c r="BL743" t="s">
        <v>262</v>
      </c>
      <c r="BM743" t="s">
        <v>12710</v>
      </c>
      <c r="BN743">
        <v>23428086</v>
      </c>
      <c r="BO743" t="s">
        <v>74</v>
      </c>
      <c r="BP743" t="s">
        <v>74</v>
      </c>
      <c r="BQ743" t="s">
        <v>74</v>
      </c>
      <c r="BR743" t="s">
        <v>105</v>
      </c>
      <c r="BS743" t="s">
        <v>13697</v>
      </c>
      <c r="BT743" t="str">
        <f>HYPERLINK("https%3A%2F%2Fwww.webofscience.com%2Fwos%2Fwoscc%2Ffull-record%2FWOS:000316517200022","View Full Record in Web of Science")</f>
        <v>View Full Record in Web of Science</v>
      </c>
    </row>
    <row r="744" spans="1:72" x14ac:dyDescent="0.15">
      <c r="A744" t="s">
        <v>72</v>
      </c>
      <c r="B744" t="s">
        <v>13698</v>
      </c>
      <c r="C744" t="s">
        <v>74</v>
      </c>
      <c r="D744" t="s">
        <v>74</v>
      </c>
      <c r="E744" t="s">
        <v>74</v>
      </c>
      <c r="F744" t="s">
        <v>13699</v>
      </c>
      <c r="G744" t="s">
        <v>74</v>
      </c>
      <c r="H744" t="s">
        <v>74</v>
      </c>
      <c r="I744" t="s">
        <v>13700</v>
      </c>
      <c r="J744" t="s">
        <v>13701</v>
      </c>
      <c r="K744" t="s">
        <v>74</v>
      </c>
      <c r="L744" t="s">
        <v>74</v>
      </c>
      <c r="M744" t="s">
        <v>78</v>
      </c>
      <c r="N744" t="s">
        <v>79</v>
      </c>
      <c r="O744" t="s">
        <v>74</v>
      </c>
      <c r="P744" t="s">
        <v>74</v>
      </c>
      <c r="Q744" t="s">
        <v>74</v>
      </c>
      <c r="R744" t="s">
        <v>74</v>
      </c>
      <c r="S744" t="s">
        <v>74</v>
      </c>
      <c r="T744" t="s">
        <v>13702</v>
      </c>
      <c r="U744" t="s">
        <v>13703</v>
      </c>
      <c r="V744" t="s">
        <v>13704</v>
      </c>
      <c r="W744" t="s">
        <v>13705</v>
      </c>
      <c r="X744" t="s">
        <v>13706</v>
      </c>
      <c r="Y744" t="s">
        <v>13707</v>
      </c>
      <c r="Z744" t="s">
        <v>13708</v>
      </c>
      <c r="AA744" t="s">
        <v>13709</v>
      </c>
      <c r="AB744" t="s">
        <v>13710</v>
      </c>
      <c r="AC744" t="s">
        <v>74</v>
      </c>
      <c r="AD744" t="s">
        <v>74</v>
      </c>
      <c r="AE744" t="s">
        <v>74</v>
      </c>
      <c r="AF744" t="s">
        <v>74</v>
      </c>
      <c r="AG744">
        <v>42</v>
      </c>
      <c r="AH744">
        <v>35</v>
      </c>
      <c r="AI744">
        <v>46</v>
      </c>
      <c r="AJ744">
        <v>0</v>
      </c>
      <c r="AK744">
        <v>92</v>
      </c>
      <c r="AL744" t="s">
        <v>441</v>
      </c>
      <c r="AM744" t="s">
        <v>442</v>
      </c>
      <c r="AN744" t="s">
        <v>443</v>
      </c>
      <c r="AO744" t="s">
        <v>13711</v>
      </c>
      <c r="AP744" t="s">
        <v>13712</v>
      </c>
      <c r="AQ744" t="s">
        <v>74</v>
      </c>
      <c r="AR744" t="s">
        <v>13713</v>
      </c>
      <c r="AS744" t="s">
        <v>13714</v>
      </c>
      <c r="AT744" t="s">
        <v>11820</v>
      </c>
      <c r="AU744">
        <v>2013</v>
      </c>
      <c r="AV744">
        <v>341</v>
      </c>
      <c r="AW744">
        <v>1</v>
      </c>
      <c r="AX744" t="s">
        <v>74</v>
      </c>
      <c r="AY744" t="s">
        <v>74</v>
      </c>
      <c r="AZ744" t="s">
        <v>74</v>
      </c>
      <c r="BA744" t="s">
        <v>74</v>
      </c>
      <c r="BB744">
        <v>52</v>
      </c>
      <c r="BC744">
        <v>61</v>
      </c>
      <c r="BD744" t="s">
        <v>74</v>
      </c>
      <c r="BE744" t="s">
        <v>13715</v>
      </c>
      <c r="BF744" t="str">
        <f>HYPERLINK("http://dx.doi.org/10.1111/1574-6968.12090","http://dx.doi.org/10.1111/1574-6968.12090")</f>
        <v>http://dx.doi.org/10.1111/1574-6968.12090</v>
      </c>
      <c r="BG744" t="s">
        <v>74</v>
      </c>
      <c r="BH744" t="s">
        <v>74</v>
      </c>
      <c r="BI744">
        <v>10</v>
      </c>
      <c r="BJ744" t="s">
        <v>3107</v>
      </c>
      <c r="BK744" t="s">
        <v>102</v>
      </c>
      <c r="BL744" t="s">
        <v>3107</v>
      </c>
      <c r="BM744" t="s">
        <v>13716</v>
      </c>
      <c r="BN744">
        <v>23350605</v>
      </c>
      <c r="BO744" t="s">
        <v>104</v>
      </c>
      <c r="BP744" t="s">
        <v>74</v>
      </c>
      <c r="BQ744" t="s">
        <v>74</v>
      </c>
      <c r="BR744" t="s">
        <v>105</v>
      </c>
      <c r="BS744" t="s">
        <v>13717</v>
      </c>
      <c r="BT744" t="str">
        <f>HYPERLINK("https%3A%2F%2Fwww.webofscience.com%2Fwos%2Fwoscc%2Ffull-record%2FWOS:000316149500007","View Full Record in Web of Science")</f>
        <v>View Full Record in Web of Science</v>
      </c>
    </row>
    <row r="745" spans="1:72" x14ac:dyDescent="0.15">
      <c r="A745" t="s">
        <v>72</v>
      </c>
      <c r="B745" t="s">
        <v>13718</v>
      </c>
      <c r="C745" t="s">
        <v>74</v>
      </c>
      <c r="D745" t="s">
        <v>74</v>
      </c>
      <c r="E745" t="s">
        <v>74</v>
      </c>
      <c r="F745" t="s">
        <v>13719</v>
      </c>
      <c r="G745" t="s">
        <v>74</v>
      </c>
      <c r="H745" t="s">
        <v>74</v>
      </c>
      <c r="I745" t="s">
        <v>13720</v>
      </c>
      <c r="J745" t="s">
        <v>13721</v>
      </c>
      <c r="K745" t="s">
        <v>74</v>
      </c>
      <c r="L745" t="s">
        <v>74</v>
      </c>
      <c r="M745" t="s">
        <v>78</v>
      </c>
      <c r="N745" t="s">
        <v>79</v>
      </c>
      <c r="O745" t="s">
        <v>74</v>
      </c>
      <c r="P745" t="s">
        <v>74</v>
      </c>
      <c r="Q745" t="s">
        <v>74</v>
      </c>
      <c r="R745" t="s">
        <v>74</v>
      </c>
      <c r="S745" t="s">
        <v>74</v>
      </c>
      <c r="T745" t="s">
        <v>13722</v>
      </c>
      <c r="U745" t="s">
        <v>13723</v>
      </c>
      <c r="V745" t="s">
        <v>13724</v>
      </c>
      <c r="W745" t="s">
        <v>13725</v>
      </c>
      <c r="X745" t="s">
        <v>13726</v>
      </c>
      <c r="Y745" t="s">
        <v>13727</v>
      </c>
      <c r="Z745" t="s">
        <v>13728</v>
      </c>
      <c r="AA745" t="s">
        <v>13729</v>
      </c>
      <c r="AB745" t="s">
        <v>13730</v>
      </c>
      <c r="AC745" t="s">
        <v>13731</v>
      </c>
      <c r="AD745" t="s">
        <v>13732</v>
      </c>
      <c r="AE745" t="s">
        <v>13733</v>
      </c>
      <c r="AF745" t="s">
        <v>74</v>
      </c>
      <c r="AG745">
        <v>21</v>
      </c>
      <c r="AH745">
        <v>18</v>
      </c>
      <c r="AI745">
        <v>22</v>
      </c>
      <c r="AJ745">
        <v>1</v>
      </c>
      <c r="AK745">
        <v>76</v>
      </c>
      <c r="AL745" t="s">
        <v>2961</v>
      </c>
      <c r="AM745" t="s">
        <v>369</v>
      </c>
      <c r="AN745" t="s">
        <v>370</v>
      </c>
      <c r="AO745" t="s">
        <v>13734</v>
      </c>
      <c r="AP745" t="s">
        <v>74</v>
      </c>
      <c r="AQ745" t="s">
        <v>74</v>
      </c>
      <c r="AR745" t="s">
        <v>13721</v>
      </c>
      <c r="AS745" t="s">
        <v>13735</v>
      </c>
      <c r="AT745" t="s">
        <v>11820</v>
      </c>
      <c r="AU745">
        <v>2013</v>
      </c>
      <c r="AV745">
        <v>155</v>
      </c>
      <c r="AW745">
        <v>2</v>
      </c>
      <c r="AX745" t="s">
        <v>74</v>
      </c>
      <c r="AY745" t="s">
        <v>74</v>
      </c>
      <c r="AZ745" t="s">
        <v>74</v>
      </c>
      <c r="BA745" t="s">
        <v>74</v>
      </c>
      <c r="BB745">
        <v>402</v>
      </c>
      <c r="BC745">
        <v>406</v>
      </c>
      <c r="BD745" t="s">
        <v>74</v>
      </c>
      <c r="BE745" t="s">
        <v>13736</v>
      </c>
      <c r="BF745" t="str">
        <f>HYPERLINK("http://dx.doi.org/10.1111/ibi.12022","http://dx.doi.org/10.1111/ibi.12022")</f>
        <v>http://dx.doi.org/10.1111/ibi.12022</v>
      </c>
      <c r="BG745" t="s">
        <v>74</v>
      </c>
      <c r="BH745" t="s">
        <v>74</v>
      </c>
      <c r="BI745">
        <v>5</v>
      </c>
      <c r="BJ745" t="s">
        <v>7792</v>
      </c>
      <c r="BK745" t="s">
        <v>102</v>
      </c>
      <c r="BL745" t="s">
        <v>2120</v>
      </c>
      <c r="BM745" t="s">
        <v>13737</v>
      </c>
      <c r="BN745" t="s">
        <v>74</v>
      </c>
      <c r="BO745" t="s">
        <v>1063</v>
      </c>
      <c r="BP745" t="s">
        <v>74</v>
      </c>
      <c r="BQ745" t="s">
        <v>74</v>
      </c>
      <c r="BR745" t="s">
        <v>105</v>
      </c>
      <c r="BS745" t="s">
        <v>13738</v>
      </c>
      <c r="BT745" t="str">
        <f>HYPERLINK("https%3A%2F%2Fwww.webofscience.com%2Fwos%2Fwoscc%2Ffull-record%2FWOS:000316327000017","View Full Record in Web of Science")</f>
        <v>View Full Record in Web of Science</v>
      </c>
    </row>
    <row r="746" spans="1:72" x14ac:dyDescent="0.15">
      <c r="A746" t="s">
        <v>72</v>
      </c>
      <c r="B746" t="s">
        <v>13739</v>
      </c>
      <c r="C746" t="s">
        <v>74</v>
      </c>
      <c r="D746" t="s">
        <v>74</v>
      </c>
      <c r="E746" t="s">
        <v>74</v>
      </c>
      <c r="F746" t="s">
        <v>13740</v>
      </c>
      <c r="G746" t="s">
        <v>74</v>
      </c>
      <c r="H746" t="s">
        <v>74</v>
      </c>
      <c r="I746" t="s">
        <v>13741</v>
      </c>
      <c r="J746" t="s">
        <v>3554</v>
      </c>
      <c r="K746" t="s">
        <v>74</v>
      </c>
      <c r="L746" t="s">
        <v>74</v>
      </c>
      <c r="M746" t="s">
        <v>78</v>
      </c>
      <c r="N746" t="s">
        <v>79</v>
      </c>
      <c r="O746" t="s">
        <v>74</v>
      </c>
      <c r="P746" t="s">
        <v>74</v>
      </c>
      <c r="Q746" t="s">
        <v>74</v>
      </c>
      <c r="R746" t="s">
        <v>74</v>
      </c>
      <c r="S746" t="s">
        <v>74</v>
      </c>
      <c r="T746" t="s">
        <v>13742</v>
      </c>
      <c r="U746" t="s">
        <v>13743</v>
      </c>
      <c r="V746" t="s">
        <v>13744</v>
      </c>
      <c r="W746" t="s">
        <v>13745</v>
      </c>
      <c r="X746" t="s">
        <v>13746</v>
      </c>
      <c r="Y746" t="s">
        <v>13747</v>
      </c>
      <c r="Z746" t="s">
        <v>13748</v>
      </c>
      <c r="AA746" t="s">
        <v>74</v>
      </c>
      <c r="AB746" t="s">
        <v>13749</v>
      </c>
      <c r="AC746" t="s">
        <v>13750</v>
      </c>
      <c r="AD746" t="s">
        <v>13751</v>
      </c>
      <c r="AE746" t="s">
        <v>13752</v>
      </c>
      <c r="AF746" t="s">
        <v>74</v>
      </c>
      <c r="AG746">
        <v>35</v>
      </c>
      <c r="AH746">
        <v>35</v>
      </c>
      <c r="AI746">
        <v>40</v>
      </c>
      <c r="AJ746">
        <v>0</v>
      </c>
      <c r="AK746">
        <v>30</v>
      </c>
      <c r="AL746" t="s">
        <v>441</v>
      </c>
      <c r="AM746" t="s">
        <v>442</v>
      </c>
      <c r="AN746" t="s">
        <v>443</v>
      </c>
      <c r="AO746" t="s">
        <v>3567</v>
      </c>
      <c r="AP746" t="s">
        <v>74</v>
      </c>
      <c r="AQ746" t="s">
        <v>74</v>
      </c>
      <c r="AR746" t="s">
        <v>3569</v>
      </c>
      <c r="AS746" t="s">
        <v>3570</v>
      </c>
      <c r="AT746" t="s">
        <v>11820</v>
      </c>
      <c r="AU746">
        <v>2013</v>
      </c>
      <c r="AV746">
        <v>70</v>
      </c>
      <c r="AW746">
        <v>3</v>
      </c>
      <c r="AX746" t="s">
        <v>74</v>
      </c>
      <c r="AY746" t="s">
        <v>74</v>
      </c>
      <c r="AZ746" t="s">
        <v>74</v>
      </c>
      <c r="BA746" t="s">
        <v>74</v>
      </c>
      <c r="BB746">
        <v>650</v>
      </c>
      <c r="BC746">
        <v>664</v>
      </c>
      <c r="BD746" t="s">
        <v>74</v>
      </c>
      <c r="BE746" t="s">
        <v>13753</v>
      </c>
      <c r="BF746" t="str">
        <f>HYPERLINK("http://dx.doi.org/10.1093/icesjms/fst005","http://dx.doi.org/10.1093/icesjms/fst005")</f>
        <v>http://dx.doi.org/10.1093/icesjms/fst005</v>
      </c>
      <c r="BG746" t="s">
        <v>74</v>
      </c>
      <c r="BH746" t="s">
        <v>74</v>
      </c>
      <c r="BI746">
        <v>15</v>
      </c>
      <c r="BJ746" t="s">
        <v>3572</v>
      </c>
      <c r="BK746" t="s">
        <v>102</v>
      </c>
      <c r="BL746" t="s">
        <v>3572</v>
      </c>
      <c r="BM746" t="s">
        <v>12266</v>
      </c>
      <c r="BN746" t="s">
        <v>74</v>
      </c>
      <c r="BO746" t="s">
        <v>104</v>
      </c>
      <c r="BP746" t="s">
        <v>74</v>
      </c>
      <c r="BQ746" t="s">
        <v>74</v>
      </c>
      <c r="BR746" t="s">
        <v>105</v>
      </c>
      <c r="BS746" t="s">
        <v>13754</v>
      </c>
      <c r="BT746" t="str">
        <f>HYPERLINK("https%3A%2F%2Fwww.webofscience.com%2Fwos%2Fwoscc%2Ffull-record%2FWOS:000318093200015","View Full Record in Web of Science")</f>
        <v>View Full Record in Web of Science</v>
      </c>
    </row>
    <row r="747" spans="1:72" x14ac:dyDescent="0.15">
      <c r="A747" t="s">
        <v>72</v>
      </c>
      <c r="B747" t="s">
        <v>13755</v>
      </c>
      <c r="C747" t="s">
        <v>74</v>
      </c>
      <c r="D747" t="s">
        <v>74</v>
      </c>
      <c r="E747" t="s">
        <v>74</v>
      </c>
      <c r="F747" t="s">
        <v>13756</v>
      </c>
      <c r="G747" t="s">
        <v>74</v>
      </c>
      <c r="H747" t="s">
        <v>74</v>
      </c>
      <c r="I747" t="s">
        <v>13757</v>
      </c>
      <c r="J747" t="s">
        <v>13758</v>
      </c>
      <c r="K747" t="s">
        <v>74</v>
      </c>
      <c r="L747" t="s">
        <v>74</v>
      </c>
      <c r="M747" t="s">
        <v>78</v>
      </c>
      <c r="N747" t="s">
        <v>3042</v>
      </c>
      <c r="O747" t="s">
        <v>13759</v>
      </c>
      <c r="P747" t="s">
        <v>13760</v>
      </c>
      <c r="Q747" t="s">
        <v>13761</v>
      </c>
      <c r="R747" t="s">
        <v>74</v>
      </c>
      <c r="S747" t="s">
        <v>74</v>
      </c>
      <c r="T747" t="s">
        <v>13762</v>
      </c>
      <c r="U747" t="s">
        <v>13763</v>
      </c>
      <c r="V747" t="s">
        <v>13764</v>
      </c>
      <c r="W747" t="s">
        <v>13765</v>
      </c>
      <c r="X747" t="s">
        <v>13766</v>
      </c>
      <c r="Y747" t="s">
        <v>13767</v>
      </c>
      <c r="Z747" t="s">
        <v>13768</v>
      </c>
      <c r="AA747" t="s">
        <v>74</v>
      </c>
      <c r="AB747" t="s">
        <v>13769</v>
      </c>
      <c r="AC747" t="s">
        <v>74</v>
      </c>
      <c r="AD747" t="s">
        <v>74</v>
      </c>
      <c r="AE747" t="s">
        <v>74</v>
      </c>
      <c r="AF747" t="s">
        <v>74</v>
      </c>
      <c r="AG747">
        <v>35</v>
      </c>
      <c r="AH747">
        <v>15</v>
      </c>
      <c r="AI747">
        <v>17</v>
      </c>
      <c r="AJ747">
        <v>1</v>
      </c>
      <c r="AK747">
        <v>7</v>
      </c>
      <c r="AL747" t="s">
        <v>3686</v>
      </c>
      <c r="AM747" t="s">
        <v>3687</v>
      </c>
      <c r="AN747" t="s">
        <v>3688</v>
      </c>
      <c r="AO747" t="s">
        <v>13770</v>
      </c>
      <c r="AP747" t="s">
        <v>13771</v>
      </c>
      <c r="AQ747" t="s">
        <v>74</v>
      </c>
      <c r="AR747" t="s">
        <v>13772</v>
      </c>
      <c r="AS747" t="s">
        <v>13773</v>
      </c>
      <c r="AT747" t="s">
        <v>11820</v>
      </c>
      <c r="AU747">
        <v>2013</v>
      </c>
      <c r="AV747">
        <v>60</v>
      </c>
      <c r="AW747">
        <v>2</v>
      </c>
      <c r="AX747">
        <v>1</v>
      </c>
      <c r="AY747" t="s">
        <v>74</v>
      </c>
      <c r="AZ747" t="s">
        <v>74</v>
      </c>
      <c r="BA747" t="s">
        <v>74</v>
      </c>
      <c r="BB747">
        <v>637</v>
      </c>
      <c r="BC747">
        <v>643</v>
      </c>
      <c r="BD747" t="s">
        <v>74</v>
      </c>
      <c r="BE747" t="s">
        <v>13774</v>
      </c>
      <c r="BF747" t="str">
        <f>HYPERLINK("http://dx.doi.org/10.1109/TNS.2013.2248746","http://dx.doi.org/10.1109/TNS.2013.2248746")</f>
        <v>http://dx.doi.org/10.1109/TNS.2013.2248746</v>
      </c>
      <c r="BG747" t="s">
        <v>74</v>
      </c>
      <c r="BH747" t="s">
        <v>74</v>
      </c>
      <c r="BI747">
        <v>7</v>
      </c>
      <c r="BJ747" t="s">
        <v>13775</v>
      </c>
      <c r="BK747" t="s">
        <v>2934</v>
      </c>
      <c r="BL747" t="s">
        <v>13776</v>
      </c>
      <c r="BM747" t="s">
        <v>13777</v>
      </c>
      <c r="BN747" t="s">
        <v>74</v>
      </c>
      <c r="BO747" t="s">
        <v>1014</v>
      </c>
      <c r="BP747" t="s">
        <v>74</v>
      </c>
      <c r="BQ747" t="s">
        <v>74</v>
      </c>
      <c r="BR747" t="s">
        <v>105</v>
      </c>
      <c r="BS747" t="s">
        <v>13778</v>
      </c>
      <c r="BT747" t="str">
        <f>HYPERLINK("https%3A%2F%2Fwww.webofscience.com%2Fwos%2Fwoscc%2Ffull-record%2FWOS:000320856500027","View Full Record in Web of Science")</f>
        <v>View Full Record in Web of Science</v>
      </c>
    </row>
    <row r="748" spans="1:72" x14ac:dyDescent="0.15">
      <c r="A748" t="s">
        <v>72</v>
      </c>
      <c r="B748" t="s">
        <v>11465</v>
      </c>
      <c r="C748" t="s">
        <v>74</v>
      </c>
      <c r="D748" t="s">
        <v>74</v>
      </c>
      <c r="E748" t="s">
        <v>74</v>
      </c>
      <c r="F748" t="s">
        <v>13779</v>
      </c>
      <c r="G748" t="s">
        <v>74</v>
      </c>
      <c r="H748" t="s">
        <v>74</v>
      </c>
      <c r="I748" t="s">
        <v>13780</v>
      </c>
      <c r="J748" t="s">
        <v>6175</v>
      </c>
      <c r="K748" t="s">
        <v>74</v>
      </c>
      <c r="L748" t="s">
        <v>74</v>
      </c>
      <c r="M748" t="s">
        <v>78</v>
      </c>
      <c r="N748" t="s">
        <v>79</v>
      </c>
      <c r="O748" t="s">
        <v>74</v>
      </c>
      <c r="P748" t="s">
        <v>74</v>
      </c>
      <c r="Q748" t="s">
        <v>74</v>
      </c>
      <c r="R748" t="s">
        <v>74</v>
      </c>
      <c r="S748" t="s">
        <v>74</v>
      </c>
      <c r="T748" t="s">
        <v>13781</v>
      </c>
      <c r="U748" t="s">
        <v>13782</v>
      </c>
      <c r="V748" t="s">
        <v>13783</v>
      </c>
      <c r="W748" t="s">
        <v>2757</v>
      </c>
      <c r="X748" t="s">
        <v>1300</v>
      </c>
      <c r="Y748" t="s">
        <v>13784</v>
      </c>
      <c r="Z748" t="s">
        <v>8430</v>
      </c>
      <c r="AA748" t="s">
        <v>13785</v>
      </c>
      <c r="AB748" t="s">
        <v>13786</v>
      </c>
      <c r="AC748" t="s">
        <v>2049</v>
      </c>
      <c r="AD748" t="s">
        <v>2050</v>
      </c>
      <c r="AE748" t="s">
        <v>13787</v>
      </c>
      <c r="AF748" t="s">
        <v>74</v>
      </c>
      <c r="AG748">
        <v>39</v>
      </c>
      <c r="AH748">
        <v>18</v>
      </c>
      <c r="AI748">
        <v>18</v>
      </c>
      <c r="AJ748">
        <v>0</v>
      </c>
      <c r="AK748">
        <v>20</v>
      </c>
      <c r="AL748" t="s">
        <v>368</v>
      </c>
      <c r="AM748" t="s">
        <v>369</v>
      </c>
      <c r="AN748" t="s">
        <v>370</v>
      </c>
      <c r="AO748" t="s">
        <v>6188</v>
      </c>
      <c r="AP748" t="s">
        <v>6513</v>
      </c>
      <c r="AQ748" t="s">
        <v>74</v>
      </c>
      <c r="AR748" t="s">
        <v>6189</v>
      </c>
      <c r="AS748" t="s">
        <v>6190</v>
      </c>
      <c r="AT748" t="s">
        <v>11820</v>
      </c>
      <c r="AU748">
        <v>2013</v>
      </c>
      <c r="AV748">
        <v>33</v>
      </c>
      <c r="AW748">
        <v>5</v>
      </c>
      <c r="AX748" t="s">
        <v>74</v>
      </c>
      <c r="AY748" t="s">
        <v>74</v>
      </c>
      <c r="AZ748" t="s">
        <v>74</v>
      </c>
      <c r="BA748" t="s">
        <v>74</v>
      </c>
      <c r="BB748">
        <v>1070</v>
      </c>
      <c r="BC748">
        <v>1078</v>
      </c>
      <c r="BD748" t="s">
        <v>74</v>
      </c>
      <c r="BE748" t="s">
        <v>13788</v>
      </c>
      <c r="BF748" t="str">
        <f>HYPERLINK("http://dx.doi.org/10.1002/joc.3490","http://dx.doi.org/10.1002/joc.3490")</f>
        <v>http://dx.doi.org/10.1002/joc.3490</v>
      </c>
      <c r="BG748" t="s">
        <v>74</v>
      </c>
      <c r="BH748" t="s">
        <v>74</v>
      </c>
      <c r="BI748">
        <v>9</v>
      </c>
      <c r="BJ748" t="s">
        <v>305</v>
      </c>
      <c r="BK748" t="s">
        <v>102</v>
      </c>
      <c r="BL748" t="s">
        <v>305</v>
      </c>
      <c r="BM748" t="s">
        <v>12550</v>
      </c>
      <c r="BN748" t="s">
        <v>74</v>
      </c>
      <c r="BO748" t="s">
        <v>74</v>
      </c>
      <c r="BP748" t="s">
        <v>74</v>
      </c>
      <c r="BQ748" t="s">
        <v>74</v>
      </c>
      <c r="BR748" t="s">
        <v>105</v>
      </c>
      <c r="BS748" t="s">
        <v>13789</v>
      </c>
      <c r="BT748" t="str">
        <f>HYPERLINK("https%3A%2F%2Fwww.webofscience.com%2Fwos%2Fwoscc%2Ffull-record%2FWOS:000317423800002","View Full Record in Web of Science")</f>
        <v>View Full Record in Web of Science</v>
      </c>
    </row>
    <row r="749" spans="1:72" x14ac:dyDescent="0.15">
      <c r="A749" t="s">
        <v>72</v>
      </c>
      <c r="B749" t="s">
        <v>13790</v>
      </c>
      <c r="C749" t="s">
        <v>74</v>
      </c>
      <c r="D749" t="s">
        <v>74</v>
      </c>
      <c r="E749" t="s">
        <v>74</v>
      </c>
      <c r="F749" t="s">
        <v>13791</v>
      </c>
      <c r="G749" t="s">
        <v>74</v>
      </c>
      <c r="H749" t="s">
        <v>74</v>
      </c>
      <c r="I749" t="s">
        <v>13792</v>
      </c>
      <c r="J749" t="s">
        <v>225</v>
      </c>
      <c r="K749" t="s">
        <v>74</v>
      </c>
      <c r="L749" t="s">
        <v>74</v>
      </c>
      <c r="M749" t="s">
        <v>78</v>
      </c>
      <c r="N749" t="s">
        <v>79</v>
      </c>
      <c r="O749" t="s">
        <v>74</v>
      </c>
      <c r="P749" t="s">
        <v>74</v>
      </c>
      <c r="Q749" t="s">
        <v>74</v>
      </c>
      <c r="R749" t="s">
        <v>74</v>
      </c>
      <c r="S749" t="s">
        <v>74</v>
      </c>
      <c r="T749" t="s">
        <v>74</v>
      </c>
      <c r="U749" t="s">
        <v>13793</v>
      </c>
      <c r="V749" t="s">
        <v>13794</v>
      </c>
      <c r="W749" t="s">
        <v>13795</v>
      </c>
      <c r="X749" t="s">
        <v>13796</v>
      </c>
      <c r="Y749" t="s">
        <v>13797</v>
      </c>
      <c r="Z749" t="s">
        <v>13798</v>
      </c>
      <c r="AA749" t="s">
        <v>74</v>
      </c>
      <c r="AB749" t="s">
        <v>74</v>
      </c>
      <c r="AC749" t="s">
        <v>74</v>
      </c>
      <c r="AD749" t="s">
        <v>74</v>
      </c>
      <c r="AE749" t="s">
        <v>74</v>
      </c>
      <c r="AF749" t="s">
        <v>74</v>
      </c>
      <c r="AG749">
        <v>16</v>
      </c>
      <c r="AH749">
        <v>10</v>
      </c>
      <c r="AI749">
        <v>10</v>
      </c>
      <c r="AJ749">
        <v>0</v>
      </c>
      <c r="AK749">
        <v>14</v>
      </c>
      <c r="AL749" t="s">
        <v>237</v>
      </c>
      <c r="AM749" t="s">
        <v>238</v>
      </c>
      <c r="AN749" t="s">
        <v>239</v>
      </c>
      <c r="AO749" t="s">
        <v>240</v>
      </c>
      <c r="AP749" t="s">
        <v>74</v>
      </c>
      <c r="AQ749" t="s">
        <v>74</v>
      </c>
      <c r="AR749" t="s">
        <v>242</v>
      </c>
      <c r="AS749" t="s">
        <v>243</v>
      </c>
      <c r="AT749" t="s">
        <v>11820</v>
      </c>
      <c r="AU749">
        <v>2013</v>
      </c>
      <c r="AV749">
        <v>30</v>
      </c>
      <c r="AW749">
        <v>4</v>
      </c>
      <c r="AX749" t="s">
        <v>74</v>
      </c>
      <c r="AY749" t="s">
        <v>74</v>
      </c>
      <c r="AZ749" t="s">
        <v>74</v>
      </c>
      <c r="BA749" t="s">
        <v>74</v>
      </c>
      <c r="BB749">
        <v>649</v>
      </c>
      <c r="BC749">
        <v>654</v>
      </c>
      <c r="BD749" t="s">
        <v>74</v>
      </c>
      <c r="BE749" t="s">
        <v>13799</v>
      </c>
      <c r="BF749" t="str">
        <f>HYPERLINK("http://dx.doi.org/10.1175/JTECH-D-11-00050.1","http://dx.doi.org/10.1175/JTECH-D-11-00050.1")</f>
        <v>http://dx.doi.org/10.1175/JTECH-D-11-00050.1</v>
      </c>
      <c r="BG749" t="s">
        <v>74</v>
      </c>
      <c r="BH749" t="s">
        <v>74</v>
      </c>
      <c r="BI749">
        <v>6</v>
      </c>
      <c r="BJ749" t="s">
        <v>245</v>
      </c>
      <c r="BK749" t="s">
        <v>102</v>
      </c>
      <c r="BL749" t="s">
        <v>246</v>
      </c>
      <c r="BM749" t="s">
        <v>13800</v>
      </c>
      <c r="BN749" t="s">
        <v>74</v>
      </c>
      <c r="BO749" t="s">
        <v>577</v>
      </c>
      <c r="BP749" t="s">
        <v>74</v>
      </c>
      <c r="BQ749" t="s">
        <v>74</v>
      </c>
      <c r="BR749" t="s">
        <v>105</v>
      </c>
      <c r="BS749" t="s">
        <v>13801</v>
      </c>
      <c r="BT749" t="str">
        <f>HYPERLINK("https%3A%2F%2Fwww.webofscience.com%2Fwos%2Fwoscc%2Ffull-record%2FWOS:000317955700001","View Full Record in Web of Science")</f>
        <v>View Full Record in Web of Science</v>
      </c>
    </row>
    <row r="750" spans="1:72" x14ac:dyDescent="0.15">
      <c r="A750" t="s">
        <v>72</v>
      </c>
      <c r="B750" t="s">
        <v>13802</v>
      </c>
      <c r="C750" t="s">
        <v>74</v>
      </c>
      <c r="D750" t="s">
        <v>74</v>
      </c>
      <c r="E750" t="s">
        <v>74</v>
      </c>
      <c r="F750" t="s">
        <v>13803</v>
      </c>
      <c r="G750" t="s">
        <v>74</v>
      </c>
      <c r="H750" t="s">
        <v>74</v>
      </c>
      <c r="I750" t="s">
        <v>13804</v>
      </c>
      <c r="J750" t="s">
        <v>13805</v>
      </c>
      <c r="K750" t="s">
        <v>74</v>
      </c>
      <c r="L750" t="s">
        <v>74</v>
      </c>
      <c r="M750" t="s">
        <v>78</v>
      </c>
      <c r="N750" t="s">
        <v>79</v>
      </c>
      <c r="O750" t="s">
        <v>74</v>
      </c>
      <c r="P750" t="s">
        <v>74</v>
      </c>
      <c r="Q750" t="s">
        <v>74</v>
      </c>
      <c r="R750" t="s">
        <v>74</v>
      </c>
      <c r="S750" t="s">
        <v>74</v>
      </c>
      <c r="T750" t="s">
        <v>13806</v>
      </c>
      <c r="U750" t="s">
        <v>13807</v>
      </c>
      <c r="V750" t="s">
        <v>13808</v>
      </c>
      <c r="W750" t="s">
        <v>13809</v>
      </c>
      <c r="X750" t="s">
        <v>13810</v>
      </c>
      <c r="Y750" t="s">
        <v>13811</v>
      </c>
      <c r="Z750" t="s">
        <v>13812</v>
      </c>
      <c r="AA750" t="s">
        <v>13813</v>
      </c>
      <c r="AB750" t="s">
        <v>74</v>
      </c>
      <c r="AC750" t="s">
        <v>13814</v>
      </c>
      <c r="AD750" t="s">
        <v>13814</v>
      </c>
      <c r="AE750" t="s">
        <v>13815</v>
      </c>
      <c r="AF750" t="s">
        <v>74</v>
      </c>
      <c r="AG750">
        <v>61</v>
      </c>
      <c r="AH750">
        <v>4</v>
      </c>
      <c r="AI750">
        <v>5</v>
      </c>
      <c r="AJ750">
        <v>0</v>
      </c>
      <c r="AK750">
        <v>19</v>
      </c>
      <c r="AL750" t="s">
        <v>3724</v>
      </c>
      <c r="AM750" t="s">
        <v>3725</v>
      </c>
      <c r="AN750" t="s">
        <v>3726</v>
      </c>
      <c r="AO750" t="s">
        <v>13816</v>
      </c>
      <c r="AP750" t="s">
        <v>13817</v>
      </c>
      <c r="AQ750" t="s">
        <v>74</v>
      </c>
      <c r="AR750" t="s">
        <v>13818</v>
      </c>
      <c r="AS750" t="s">
        <v>13819</v>
      </c>
      <c r="AT750" t="s">
        <v>11820</v>
      </c>
      <c r="AU750">
        <v>2013</v>
      </c>
      <c r="AV750">
        <v>183</v>
      </c>
      <c r="AW750">
        <v>3</v>
      </c>
      <c r="AX750" t="s">
        <v>74</v>
      </c>
      <c r="AY750" t="s">
        <v>74</v>
      </c>
      <c r="AZ750" t="s">
        <v>74</v>
      </c>
      <c r="BA750" t="s">
        <v>74</v>
      </c>
      <c r="BB750">
        <v>379</v>
      </c>
      <c r="BC750">
        <v>392</v>
      </c>
      <c r="BD750" t="s">
        <v>74</v>
      </c>
      <c r="BE750" t="s">
        <v>13820</v>
      </c>
      <c r="BF750" t="str">
        <f>HYPERLINK("http://dx.doi.org/10.1007/s00360-012-0702-7","http://dx.doi.org/10.1007/s00360-012-0702-7")</f>
        <v>http://dx.doi.org/10.1007/s00360-012-0702-7</v>
      </c>
      <c r="BG750" t="s">
        <v>74</v>
      </c>
      <c r="BH750" t="s">
        <v>74</v>
      </c>
      <c r="BI750">
        <v>14</v>
      </c>
      <c r="BJ750" t="s">
        <v>13821</v>
      </c>
      <c r="BK750" t="s">
        <v>102</v>
      </c>
      <c r="BL750" t="s">
        <v>13821</v>
      </c>
      <c r="BM750" t="s">
        <v>13822</v>
      </c>
      <c r="BN750">
        <v>23007833</v>
      </c>
      <c r="BO750" t="s">
        <v>74</v>
      </c>
      <c r="BP750" t="s">
        <v>74</v>
      </c>
      <c r="BQ750" t="s">
        <v>74</v>
      </c>
      <c r="BR750" t="s">
        <v>105</v>
      </c>
      <c r="BS750" t="s">
        <v>13823</v>
      </c>
      <c r="BT750" t="str">
        <f>HYPERLINK("https%3A%2F%2Fwww.webofscience.com%2Fwos%2Fwoscc%2Ffull-record%2FWOS:000316760900007","View Full Record in Web of Science")</f>
        <v>View Full Record in Web of Science</v>
      </c>
    </row>
    <row r="751" spans="1:72" x14ac:dyDescent="0.15">
      <c r="A751" t="s">
        <v>72</v>
      </c>
      <c r="B751" t="s">
        <v>13824</v>
      </c>
      <c r="C751" t="s">
        <v>74</v>
      </c>
      <c r="D751" t="s">
        <v>74</v>
      </c>
      <c r="E751" t="s">
        <v>74</v>
      </c>
      <c r="F751" t="s">
        <v>13825</v>
      </c>
      <c r="G751" t="s">
        <v>74</v>
      </c>
      <c r="H751" t="s">
        <v>74</v>
      </c>
      <c r="I751" t="s">
        <v>13826</v>
      </c>
      <c r="J751" t="s">
        <v>1710</v>
      </c>
      <c r="K751" t="s">
        <v>74</v>
      </c>
      <c r="L751" t="s">
        <v>74</v>
      </c>
      <c r="M751" t="s">
        <v>78</v>
      </c>
      <c r="N751" t="s">
        <v>79</v>
      </c>
      <c r="O751" t="s">
        <v>74</v>
      </c>
      <c r="P751" t="s">
        <v>74</v>
      </c>
      <c r="Q751" t="s">
        <v>74</v>
      </c>
      <c r="R751" t="s">
        <v>74</v>
      </c>
      <c r="S751" t="s">
        <v>74</v>
      </c>
      <c r="T751" t="s">
        <v>13827</v>
      </c>
      <c r="U751" t="s">
        <v>13828</v>
      </c>
      <c r="V751" t="s">
        <v>13829</v>
      </c>
      <c r="W751" t="s">
        <v>13830</v>
      </c>
      <c r="X751" t="s">
        <v>13831</v>
      </c>
      <c r="Y751" t="s">
        <v>13832</v>
      </c>
      <c r="Z751" t="s">
        <v>13833</v>
      </c>
      <c r="AA751" t="s">
        <v>13834</v>
      </c>
      <c r="AB751" t="s">
        <v>13835</v>
      </c>
      <c r="AC751" t="s">
        <v>13836</v>
      </c>
      <c r="AD751" t="s">
        <v>13837</v>
      </c>
      <c r="AE751" t="s">
        <v>13838</v>
      </c>
      <c r="AF751" t="s">
        <v>74</v>
      </c>
      <c r="AG751">
        <v>47</v>
      </c>
      <c r="AH751">
        <v>146</v>
      </c>
      <c r="AI751">
        <v>155</v>
      </c>
      <c r="AJ751">
        <v>1</v>
      </c>
      <c r="AK751">
        <v>58</v>
      </c>
      <c r="AL751" t="s">
        <v>92</v>
      </c>
      <c r="AM751" t="s">
        <v>93</v>
      </c>
      <c r="AN751" t="s">
        <v>94</v>
      </c>
      <c r="AO751" t="s">
        <v>1723</v>
      </c>
      <c r="AP751" t="s">
        <v>1724</v>
      </c>
      <c r="AQ751" t="s">
        <v>74</v>
      </c>
      <c r="AR751" t="s">
        <v>1725</v>
      </c>
      <c r="AS751" t="s">
        <v>1726</v>
      </c>
      <c r="AT751" t="s">
        <v>11820</v>
      </c>
      <c r="AU751">
        <v>2013</v>
      </c>
      <c r="AV751">
        <v>118</v>
      </c>
      <c r="AW751">
        <v>4</v>
      </c>
      <c r="AX751" t="s">
        <v>74</v>
      </c>
      <c r="AY751" t="s">
        <v>74</v>
      </c>
      <c r="AZ751" t="s">
        <v>74</v>
      </c>
      <c r="BA751" t="s">
        <v>74</v>
      </c>
      <c r="BB751">
        <v>1830</v>
      </c>
      <c r="BC751">
        <v>1844</v>
      </c>
      <c r="BD751" t="s">
        <v>74</v>
      </c>
      <c r="BE751" t="s">
        <v>13839</v>
      </c>
      <c r="BF751" t="str">
        <f>HYPERLINK("http://dx.doi.org/10.1002/jgrc.20135","http://dx.doi.org/10.1002/jgrc.20135")</f>
        <v>http://dx.doi.org/10.1002/jgrc.20135</v>
      </c>
      <c r="BG751" t="s">
        <v>74</v>
      </c>
      <c r="BH751" t="s">
        <v>74</v>
      </c>
      <c r="BI751">
        <v>15</v>
      </c>
      <c r="BJ751" t="s">
        <v>327</v>
      </c>
      <c r="BK751" t="s">
        <v>102</v>
      </c>
      <c r="BL751" t="s">
        <v>327</v>
      </c>
      <c r="BM751" t="s">
        <v>11971</v>
      </c>
      <c r="BN751" t="s">
        <v>74</v>
      </c>
      <c r="BO751" t="s">
        <v>2609</v>
      </c>
      <c r="BP751" t="s">
        <v>74</v>
      </c>
      <c r="BQ751" t="s">
        <v>74</v>
      </c>
      <c r="BR751" t="s">
        <v>105</v>
      </c>
      <c r="BS751" t="s">
        <v>13840</v>
      </c>
      <c r="BT751" t="str">
        <f>HYPERLINK("https%3A%2F%2Fwww.webofscience.com%2Fwos%2Fwoscc%2Ffull-record%2FWOS:000320324100014","View Full Record in Web of Science")</f>
        <v>View Full Record in Web of Science</v>
      </c>
    </row>
    <row r="752" spans="1:72" x14ac:dyDescent="0.15">
      <c r="A752" t="s">
        <v>72</v>
      </c>
      <c r="B752" t="s">
        <v>13841</v>
      </c>
      <c r="C752" t="s">
        <v>74</v>
      </c>
      <c r="D752" t="s">
        <v>74</v>
      </c>
      <c r="E752" t="s">
        <v>74</v>
      </c>
      <c r="F752" t="s">
        <v>13842</v>
      </c>
      <c r="G752" t="s">
        <v>74</v>
      </c>
      <c r="H752" t="s">
        <v>74</v>
      </c>
      <c r="I752" t="s">
        <v>13843</v>
      </c>
      <c r="J752" t="s">
        <v>1710</v>
      </c>
      <c r="K752" t="s">
        <v>74</v>
      </c>
      <c r="L752" t="s">
        <v>74</v>
      </c>
      <c r="M752" t="s">
        <v>78</v>
      </c>
      <c r="N752" t="s">
        <v>79</v>
      </c>
      <c r="O752" t="s">
        <v>74</v>
      </c>
      <c r="P752" t="s">
        <v>74</v>
      </c>
      <c r="Q752" t="s">
        <v>74</v>
      </c>
      <c r="R752" t="s">
        <v>74</v>
      </c>
      <c r="S752" t="s">
        <v>74</v>
      </c>
      <c r="T752" t="s">
        <v>13844</v>
      </c>
      <c r="U752" t="s">
        <v>13845</v>
      </c>
      <c r="V752" t="s">
        <v>13846</v>
      </c>
      <c r="W752" t="s">
        <v>13847</v>
      </c>
      <c r="X752" t="s">
        <v>13848</v>
      </c>
      <c r="Y752" t="s">
        <v>13832</v>
      </c>
      <c r="Z752" t="s">
        <v>13833</v>
      </c>
      <c r="AA752" t="s">
        <v>13849</v>
      </c>
      <c r="AB752" t="s">
        <v>13850</v>
      </c>
      <c r="AC752" t="s">
        <v>13851</v>
      </c>
      <c r="AD752" t="s">
        <v>13852</v>
      </c>
      <c r="AE752" t="s">
        <v>13853</v>
      </c>
      <c r="AF752" t="s">
        <v>74</v>
      </c>
      <c r="AG752">
        <v>43</v>
      </c>
      <c r="AH752">
        <v>125</v>
      </c>
      <c r="AI752">
        <v>134</v>
      </c>
      <c r="AJ752">
        <v>2</v>
      </c>
      <c r="AK752">
        <v>58</v>
      </c>
      <c r="AL752" t="s">
        <v>92</v>
      </c>
      <c r="AM752" t="s">
        <v>93</v>
      </c>
      <c r="AN752" t="s">
        <v>94</v>
      </c>
      <c r="AO752" t="s">
        <v>1723</v>
      </c>
      <c r="AP752" t="s">
        <v>1724</v>
      </c>
      <c r="AQ752" t="s">
        <v>74</v>
      </c>
      <c r="AR752" t="s">
        <v>1725</v>
      </c>
      <c r="AS752" t="s">
        <v>1726</v>
      </c>
      <c r="AT752" t="s">
        <v>11820</v>
      </c>
      <c r="AU752">
        <v>2013</v>
      </c>
      <c r="AV752">
        <v>118</v>
      </c>
      <c r="AW752">
        <v>4</v>
      </c>
      <c r="AX752" t="s">
        <v>74</v>
      </c>
      <c r="AY752" t="s">
        <v>74</v>
      </c>
      <c r="AZ752" t="s">
        <v>74</v>
      </c>
      <c r="BA752" t="s">
        <v>74</v>
      </c>
      <c r="BB752">
        <v>1845</v>
      </c>
      <c r="BC752">
        <v>1862</v>
      </c>
      <c r="BD752" t="s">
        <v>74</v>
      </c>
      <c r="BE752" t="s">
        <v>13854</v>
      </c>
      <c r="BF752" t="str">
        <f>HYPERLINK("http://dx.doi.org/10.1002/jgrc.20157","http://dx.doi.org/10.1002/jgrc.20157")</f>
        <v>http://dx.doi.org/10.1002/jgrc.20157</v>
      </c>
      <c r="BG752" t="s">
        <v>74</v>
      </c>
      <c r="BH752" t="s">
        <v>74</v>
      </c>
      <c r="BI752">
        <v>18</v>
      </c>
      <c r="BJ752" t="s">
        <v>327</v>
      </c>
      <c r="BK752" t="s">
        <v>102</v>
      </c>
      <c r="BL752" t="s">
        <v>327</v>
      </c>
      <c r="BM752" t="s">
        <v>11971</v>
      </c>
      <c r="BN752" t="s">
        <v>74</v>
      </c>
      <c r="BO752" t="s">
        <v>4146</v>
      </c>
      <c r="BP752" t="s">
        <v>74</v>
      </c>
      <c r="BQ752" t="s">
        <v>74</v>
      </c>
      <c r="BR752" t="s">
        <v>105</v>
      </c>
      <c r="BS752" t="s">
        <v>13855</v>
      </c>
      <c r="BT752" t="str">
        <f>HYPERLINK("https%3A%2F%2Fwww.webofscience.com%2Fwos%2Fwoscc%2Ffull-record%2FWOS:000320324100015","View Full Record in Web of Science")</f>
        <v>View Full Record in Web of Science</v>
      </c>
    </row>
    <row r="753" spans="1:72" x14ac:dyDescent="0.15">
      <c r="A753" t="s">
        <v>72</v>
      </c>
      <c r="B753" t="s">
        <v>13856</v>
      </c>
      <c r="C753" t="s">
        <v>74</v>
      </c>
      <c r="D753" t="s">
        <v>74</v>
      </c>
      <c r="E753" t="s">
        <v>74</v>
      </c>
      <c r="F753" t="s">
        <v>13857</v>
      </c>
      <c r="G753" t="s">
        <v>74</v>
      </c>
      <c r="H753" t="s">
        <v>74</v>
      </c>
      <c r="I753" t="s">
        <v>13858</v>
      </c>
      <c r="J753" t="s">
        <v>1710</v>
      </c>
      <c r="K753" t="s">
        <v>74</v>
      </c>
      <c r="L753" t="s">
        <v>74</v>
      </c>
      <c r="M753" t="s">
        <v>78</v>
      </c>
      <c r="N753" t="s">
        <v>79</v>
      </c>
      <c r="O753" t="s">
        <v>74</v>
      </c>
      <c r="P753" t="s">
        <v>74</v>
      </c>
      <c r="Q753" t="s">
        <v>74</v>
      </c>
      <c r="R753" t="s">
        <v>74</v>
      </c>
      <c r="S753" t="s">
        <v>74</v>
      </c>
      <c r="T753" t="s">
        <v>13859</v>
      </c>
      <c r="U753" t="s">
        <v>13860</v>
      </c>
      <c r="V753" t="s">
        <v>13861</v>
      </c>
      <c r="W753" t="s">
        <v>13862</v>
      </c>
      <c r="X753" t="s">
        <v>13863</v>
      </c>
      <c r="Y753" t="s">
        <v>13864</v>
      </c>
      <c r="Z753" t="s">
        <v>13865</v>
      </c>
      <c r="AA753" t="s">
        <v>13866</v>
      </c>
      <c r="AB753" t="s">
        <v>13867</v>
      </c>
      <c r="AC753" t="s">
        <v>13868</v>
      </c>
      <c r="AD753" t="s">
        <v>13869</v>
      </c>
      <c r="AE753" t="s">
        <v>13870</v>
      </c>
      <c r="AF753" t="s">
        <v>74</v>
      </c>
      <c r="AG753">
        <v>27</v>
      </c>
      <c r="AH753">
        <v>27</v>
      </c>
      <c r="AI753">
        <v>31</v>
      </c>
      <c r="AJ753">
        <v>0</v>
      </c>
      <c r="AK753">
        <v>19</v>
      </c>
      <c r="AL753" t="s">
        <v>92</v>
      </c>
      <c r="AM753" t="s">
        <v>93</v>
      </c>
      <c r="AN753" t="s">
        <v>94</v>
      </c>
      <c r="AO753" t="s">
        <v>1723</v>
      </c>
      <c r="AP753" t="s">
        <v>1724</v>
      </c>
      <c r="AQ753" t="s">
        <v>74</v>
      </c>
      <c r="AR753" t="s">
        <v>1725</v>
      </c>
      <c r="AS753" t="s">
        <v>1726</v>
      </c>
      <c r="AT753" t="s">
        <v>11820</v>
      </c>
      <c r="AU753">
        <v>2013</v>
      </c>
      <c r="AV753">
        <v>118</v>
      </c>
      <c r="AW753">
        <v>4</v>
      </c>
      <c r="AX753" t="s">
        <v>74</v>
      </c>
      <c r="AY753" t="s">
        <v>74</v>
      </c>
      <c r="AZ753" t="s">
        <v>74</v>
      </c>
      <c r="BA753" t="s">
        <v>74</v>
      </c>
      <c r="BB753">
        <v>2201</v>
      </c>
      <c r="BC753">
        <v>2214</v>
      </c>
      <c r="BD753" t="s">
        <v>74</v>
      </c>
      <c r="BE753" t="s">
        <v>13871</v>
      </c>
      <c r="BF753" t="str">
        <f>HYPERLINK("http://dx.doi.org/10.1002/jgrc.20174","http://dx.doi.org/10.1002/jgrc.20174")</f>
        <v>http://dx.doi.org/10.1002/jgrc.20174</v>
      </c>
      <c r="BG753" t="s">
        <v>74</v>
      </c>
      <c r="BH753" t="s">
        <v>74</v>
      </c>
      <c r="BI753">
        <v>14</v>
      </c>
      <c r="BJ753" t="s">
        <v>327</v>
      </c>
      <c r="BK753" t="s">
        <v>102</v>
      </c>
      <c r="BL753" t="s">
        <v>327</v>
      </c>
      <c r="BM753" t="s">
        <v>11971</v>
      </c>
      <c r="BN753" t="s">
        <v>74</v>
      </c>
      <c r="BO753" t="s">
        <v>1063</v>
      </c>
      <c r="BP753" t="s">
        <v>74</v>
      </c>
      <c r="BQ753" t="s">
        <v>74</v>
      </c>
      <c r="BR753" t="s">
        <v>105</v>
      </c>
      <c r="BS753" t="s">
        <v>13872</v>
      </c>
      <c r="BT753" t="str">
        <f>HYPERLINK("https%3A%2F%2Fwww.webofscience.com%2Fwos%2Fwoscc%2Ffull-record%2FWOS:000320324100040","View Full Record in Web of Science")</f>
        <v>View Full Record in Web of Science</v>
      </c>
    </row>
    <row r="754" spans="1:72" x14ac:dyDescent="0.15">
      <c r="A754" t="s">
        <v>72</v>
      </c>
      <c r="B754" t="s">
        <v>13873</v>
      </c>
      <c r="C754" t="s">
        <v>74</v>
      </c>
      <c r="D754" t="s">
        <v>74</v>
      </c>
      <c r="E754" t="s">
        <v>74</v>
      </c>
      <c r="F754" t="s">
        <v>13874</v>
      </c>
      <c r="G754" t="s">
        <v>74</v>
      </c>
      <c r="H754" t="s">
        <v>74</v>
      </c>
      <c r="I754" t="s">
        <v>13875</v>
      </c>
      <c r="J754" t="s">
        <v>7880</v>
      </c>
      <c r="K754" t="s">
        <v>74</v>
      </c>
      <c r="L754" t="s">
        <v>74</v>
      </c>
      <c r="M754" t="s">
        <v>78</v>
      </c>
      <c r="N754" t="s">
        <v>79</v>
      </c>
      <c r="O754" t="s">
        <v>74</v>
      </c>
      <c r="P754" t="s">
        <v>74</v>
      </c>
      <c r="Q754" t="s">
        <v>74</v>
      </c>
      <c r="R754" t="s">
        <v>74</v>
      </c>
      <c r="S754" t="s">
        <v>74</v>
      </c>
      <c r="T754" t="s">
        <v>13876</v>
      </c>
      <c r="U754" t="s">
        <v>13877</v>
      </c>
      <c r="V754" t="s">
        <v>13878</v>
      </c>
      <c r="W754" t="s">
        <v>13879</v>
      </c>
      <c r="X754" t="s">
        <v>13880</v>
      </c>
      <c r="Y754" t="s">
        <v>13881</v>
      </c>
      <c r="Z754" t="s">
        <v>13882</v>
      </c>
      <c r="AA754" t="s">
        <v>13883</v>
      </c>
      <c r="AB754" t="s">
        <v>13884</v>
      </c>
      <c r="AC754" t="s">
        <v>13885</v>
      </c>
      <c r="AD754" t="s">
        <v>13886</v>
      </c>
      <c r="AE754" t="s">
        <v>13887</v>
      </c>
      <c r="AF754" t="s">
        <v>74</v>
      </c>
      <c r="AG754">
        <v>63</v>
      </c>
      <c r="AH754">
        <v>45</v>
      </c>
      <c r="AI754">
        <v>49</v>
      </c>
      <c r="AJ754">
        <v>0</v>
      </c>
      <c r="AK754">
        <v>40</v>
      </c>
      <c r="AL754" t="s">
        <v>92</v>
      </c>
      <c r="AM754" t="s">
        <v>93</v>
      </c>
      <c r="AN754" t="s">
        <v>94</v>
      </c>
      <c r="AO754" t="s">
        <v>7893</v>
      </c>
      <c r="AP754" t="s">
        <v>7894</v>
      </c>
      <c r="AQ754" t="s">
        <v>74</v>
      </c>
      <c r="AR754" t="s">
        <v>7895</v>
      </c>
      <c r="AS754" t="s">
        <v>7896</v>
      </c>
      <c r="AT754" t="s">
        <v>11820</v>
      </c>
      <c r="AU754">
        <v>2013</v>
      </c>
      <c r="AV754">
        <v>118</v>
      </c>
      <c r="AW754">
        <v>4</v>
      </c>
      <c r="AX754" t="s">
        <v>74</v>
      </c>
      <c r="AY754" t="s">
        <v>74</v>
      </c>
      <c r="AZ754" t="s">
        <v>74</v>
      </c>
      <c r="BA754" t="s">
        <v>74</v>
      </c>
      <c r="BB754">
        <v>1471</v>
      </c>
      <c r="BC754">
        <v>1482</v>
      </c>
      <c r="BD754" t="s">
        <v>74</v>
      </c>
      <c r="BE754" t="s">
        <v>13888</v>
      </c>
      <c r="BF754" t="str">
        <f>HYPERLINK("http://dx.doi.org/10.1029/2012JB009582","http://dx.doi.org/10.1029/2012JB009582")</f>
        <v>http://dx.doi.org/10.1029/2012JB009582</v>
      </c>
      <c r="BG754" t="s">
        <v>74</v>
      </c>
      <c r="BH754" t="s">
        <v>74</v>
      </c>
      <c r="BI754">
        <v>12</v>
      </c>
      <c r="BJ754" t="s">
        <v>766</v>
      </c>
      <c r="BK754" t="s">
        <v>102</v>
      </c>
      <c r="BL754" t="s">
        <v>766</v>
      </c>
      <c r="BM754" t="s">
        <v>13889</v>
      </c>
      <c r="BN754" t="s">
        <v>74</v>
      </c>
      <c r="BO754" t="s">
        <v>4895</v>
      </c>
      <c r="BP754" t="s">
        <v>74</v>
      </c>
      <c r="BQ754" t="s">
        <v>74</v>
      </c>
      <c r="BR754" t="s">
        <v>105</v>
      </c>
      <c r="BS754" t="s">
        <v>13890</v>
      </c>
      <c r="BT754" t="str">
        <f>HYPERLINK("https%3A%2F%2Fwww.webofscience.com%2Fwos%2Fwoscc%2Ffull-record%2FWOS:000319926600010","View Full Record in Web of Science")</f>
        <v>View Full Record in Web of Science</v>
      </c>
    </row>
    <row r="755" spans="1:72" x14ac:dyDescent="0.15">
      <c r="A755" t="s">
        <v>72</v>
      </c>
      <c r="B755" t="s">
        <v>13891</v>
      </c>
      <c r="C755" t="s">
        <v>74</v>
      </c>
      <c r="D755" t="s">
        <v>74</v>
      </c>
      <c r="E755" t="s">
        <v>74</v>
      </c>
      <c r="F755" t="s">
        <v>13892</v>
      </c>
      <c r="G755" t="s">
        <v>74</v>
      </c>
      <c r="H755" t="s">
        <v>74</v>
      </c>
      <c r="I755" t="s">
        <v>13893</v>
      </c>
      <c r="J755" t="s">
        <v>11863</v>
      </c>
      <c r="K755" t="s">
        <v>74</v>
      </c>
      <c r="L755" t="s">
        <v>74</v>
      </c>
      <c r="M755" t="s">
        <v>78</v>
      </c>
      <c r="N755" t="s">
        <v>79</v>
      </c>
      <c r="O755" t="s">
        <v>74</v>
      </c>
      <c r="P755" t="s">
        <v>74</v>
      </c>
      <c r="Q755" t="s">
        <v>74</v>
      </c>
      <c r="R755" t="s">
        <v>74</v>
      </c>
      <c r="S755" t="s">
        <v>74</v>
      </c>
      <c r="T755" t="s">
        <v>13894</v>
      </c>
      <c r="U755" t="s">
        <v>13895</v>
      </c>
      <c r="V755" t="s">
        <v>13896</v>
      </c>
      <c r="W755" t="s">
        <v>13897</v>
      </c>
      <c r="X755" t="s">
        <v>1300</v>
      </c>
      <c r="Y755" t="s">
        <v>13898</v>
      </c>
      <c r="Z755" t="s">
        <v>13899</v>
      </c>
      <c r="AA755" t="s">
        <v>74</v>
      </c>
      <c r="AB755" t="s">
        <v>13900</v>
      </c>
      <c r="AC755" t="s">
        <v>2334</v>
      </c>
      <c r="AD755" t="s">
        <v>995</v>
      </c>
      <c r="AE755" t="s">
        <v>74</v>
      </c>
      <c r="AF755" t="s">
        <v>74</v>
      </c>
      <c r="AG755">
        <v>59</v>
      </c>
      <c r="AH755">
        <v>22</v>
      </c>
      <c r="AI755">
        <v>25</v>
      </c>
      <c r="AJ755">
        <v>0</v>
      </c>
      <c r="AK755">
        <v>44</v>
      </c>
      <c r="AL755" t="s">
        <v>3724</v>
      </c>
      <c r="AM755" t="s">
        <v>3725</v>
      </c>
      <c r="AN755" t="s">
        <v>3726</v>
      </c>
      <c r="AO755" t="s">
        <v>11875</v>
      </c>
      <c r="AP755" t="s">
        <v>11876</v>
      </c>
      <c r="AQ755" t="s">
        <v>74</v>
      </c>
      <c r="AR755" t="s">
        <v>11877</v>
      </c>
      <c r="AS755" t="s">
        <v>11878</v>
      </c>
      <c r="AT755" t="s">
        <v>11820</v>
      </c>
      <c r="AU755">
        <v>2013</v>
      </c>
      <c r="AV755">
        <v>154</v>
      </c>
      <c r="AW755">
        <v>2</v>
      </c>
      <c r="AX755" t="s">
        <v>74</v>
      </c>
      <c r="AY755" t="s">
        <v>74</v>
      </c>
      <c r="AZ755" t="s">
        <v>74</v>
      </c>
      <c r="BA755" t="s">
        <v>74</v>
      </c>
      <c r="BB755">
        <v>411</v>
      </c>
      <c r="BC755">
        <v>422</v>
      </c>
      <c r="BD755" t="s">
        <v>74</v>
      </c>
      <c r="BE755" t="s">
        <v>13901</v>
      </c>
      <c r="BF755" t="str">
        <f>HYPERLINK("http://dx.doi.org/10.1007/s10336-012-0905-4","http://dx.doi.org/10.1007/s10336-012-0905-4")</f>
        <v>http://dx.doi.org/10.1007/s10336-012-0905-4</v>
      </c>
      <c r="BG755" t="s">
        <v>74</v>
      </c>
      <c r="BH755" t="s">
        <v>74</v>
      </c>
      <c r="BI755">
        <v>12</v>
      </c>
      <c r="BJ755" t="s">
        <v>7792</v>
      </c>
      <c r="BK755" t="s">
        <v>102</v>
      </c>
      <c r="BL755" t="s">
        <v>2120</v>
      </c>
      <c r="BM755" t="s">
        <v>11880</v>
      </c>
      <c r="BN755" t="s">
        <v>74</v>
      </c>
      <c r="BO755" t="s">
        <v>1063</v>
      </c>
      <c r="BP755" t="s">
        <v>74</v>
      </c>
      <c r="BQ755" t="s">
        <v>74</v>
      </c>
      <c r="BR755" t="s">
        <v>105</v>
      </c>
      <c r="BS755" t="s">
        <v>13902</v>
      </c>
      <c r="BT755" t="str">
        <f>HYPERLINK("https%3A%2F%2Fwww.webofscience.com%2Fwos%2Fwoscc%2Ffull-record%2FWOS:000323929100010","View Full Record in Web of Science")</f>
        <v>View Full Record in Web of Science</v>
      </c>
    </row>
    <row r="756" spans="1:72" x14ac:dyDescent="0.15">
      <c r="A756" t="s">
        <v>72</v>
      </c>
      <c r="B756" t="s">
        <v>13903</v>
      </c>
      <c r="C756" t="s">
        <v>74</v>
      </c>
      <c r="D756" t="s">
        <v>74</v>
      </c>
      <c r="E756" t="s">
        <v>74</v>
      </c>
      <c r="F756" t="s">
        <v>13904</v>
      </c>
      <c r="G756" t="s">
        <v>74</v>
      </c>
      <c r="H756" t="s">
        <v>74</v>
      </c>
      <c r="I756" t="s">
        <v>13905</v>
      </c>
      <c r="J756" t="s">
        <v>11863</v>
      </c>
      <c r="K756" t="s">
        <v>74</v>
      </c>
      <c r="L756" t="s">
        <v>74</v>
      </c>
      <c r="M756" t="s">
        <v>78</v>
      </c>
      <c r="N756" t="s">
        <v>79</v>
      </c>
      <c r="O756" t="s">
        <v>74</v>
      </c>
      <c r="P756" t="s">
        <v>74</v>
      </c>
      <c r="Q756" t="s">
        <v>74</v>
      </c>
      <c r="R756" t="s">
        <v>74</v>
      </c>
      <c r="S756" t="s">
        <v>74</v>
      </c>
      <c r="T756" t="s">
        <v>13906</v>
      </c>
      <c r="U756" t="s">
        <v>13907</v>
      </c>
      <c r="V756" t="s">
        <v>13908</v>
      </c>
      <c r="W756" t="s">
        <v>13909</v>
      </c>
      <c r="X756" t="s">
        <v>13910</v>
      </c>
      <c r="Y756" t="s">
        <v>1024</v>
      </c>
      <c r="Z756" t="s">
        <v>1025</v>
      </c>
      <c r="AA756" t="s">
        <v>13911</v>
      </c>
      <c r="AB756" t="s">
        <v>13912</v>
      </c>
      <c r="AC756" t="s">
        <v>13913</v>
      </c>
      <c r="AD756" t="s">
        <v>13914</v>
      </c>
      <c r="AE756" t="s">
        <v>13915</v>
      </c>
      <c r="AF756" t="s">
        <v>74</v>
      </c>
      <c r="AG756">
        <v>51</v>
      </c>
      <c r="AH756">
        <v>19</v>
      </c>
      <c r="AI756">
        <v>20</v>
      </c>
      <c r="AJ756">
        <v>1</v>
      </c>
      <c r="AK756">
        <v>35</v>
      </c>
      <c r="AL756" t="s">
        <v>3724</v>
      </c>
      <c r="AM756" t="s">
        <v>3725</v>
      </c>
      <c r="AN756" t="s">
        <v>3726</v>
      </c>
      <c r="AO756" t="s">
        <v>11875</v>
      </c>
      <c r="AP756" t="s">
        <v>11876</v>
      </c>
      <c r="AQ756" t="s">
        <v>74</v>
      </c>
      <c r="AR756" t="s">
        <v>11877</v>
      </c>
      <c r="AS756" t="s">
        <v>11878</v>
      </c>
      <c r="AT756" t="s">
        <v>11820</v>
      </c>
      <c r="AU756">
        <v>2013</v>
      </c>
      <c r="AV756">
        <v>154</v>
      </c>
      <c r="AW756">
        <v>2</v>
      </c>
      <c r="AX756" t="s">
        <v>74</v>
      </c>
      <c r="AY756" t="s">
        <v>74</v>
      </c>
      <c r="AZ756" t="s">
        <v>74</v>
      </c>
      <c r="BA756" t="s">
        <v>74</v>
      </c>
      <c r="BB756">
        <v>441</v>
      </c>
      <c r="BC756">
        <v>453</v>
      </c>
      <c r="BD756" t="s">
        <v>74</v>
      </c>
      <c r="BE756" t="s">
        <v>13916</v>
      </c>
      <c r="BF756" t="str">
        <f>HYPERLINK("http://dx.doi.org/10.1007/s10336-012-0909-0","http://dx.doi.org/10.1007/s10336-012-0909-0")</f>
        <v>http://dx.doi.org/10.1007/s10336-012-0909-0</v>
      </c>
      <c r="BG756" t="s">
        <v>74</v>
      </c>
      <c r="BH756" t="s">
        <v>74</v>
      </c>
      <c r="BI756">
        <v>13</v>
      </c>
      <c r="BJ756" t="s">
        <v>7792</v>
      </c>
      <c r="BK756" t="s">
        <v>102</v>
      </c>
      <c r="BL756" t="s">
        <v>2120</v>
      </c>
      <c r="BM756" t="s">
        <v>11880</v>
      </c>
      <c r="BN756" t="s">
        <v>74</v>
      </c>
      <c r="BO756" t="s">
        <v>74</v>
      </c>
      <c r="BP756" t="s">
        <v>74</v>
      </c>
      <c r="BQ756" t="s">
        <v>74</v>
      </c>
      <c r="BR756" t="s">
        <v>105</v>
      </c>
      <c r="BS756" t="s">
        <v>13917</v>
      </c>
      <c r="BT756" t="str">
        <f>HYPERLINK("https%3A%2F%2Fwww.webofscience.com%2Fwos%2Fwoscc%2Ffull-record%2FWOS:000323929100013","View Full Record in Web of Science")</f>
        <v>View Full Record in Web of Science</v>
      </c>
    </row>
    <row r="757" spans="1:72" x14ac:dyDescent="0.15">
      <c r="A757" t="s">
        <v>72</v>
      </c>
      <c r="B757" t="s">
        <v>13918</v>
      </c>
      <c r="C757" t="s">
        <v>74</v>
      </c>
      <c r="D757" t="s">
        <v>74</v>
      </c>
      <c r="E757" t="s">
        <v>74</v>
      </c>
      <c r="F757" t="s">
        <v>13919</v>
      </c>
      <c r="G757" t="s">
        <v>74</v>
      </c>
      <c r="H757" t="s">
        <v>74</v>
      </c>
      <c r="I757" t="s">
        <v>13920</v>
      </c>
      <c r="J757" t="s">
        <v>1769</v>
      </c>
      <c r="K757" t="s">
        <v>74</v>
      </c>
      <c r="L757" t="s">
        <v>74</v>
      </c>
      <c r="M757" t="s">
        <v>1816</v>
      </c>
      <c r="N757" t="s">
        <v>79</v>
      </c>
      <c r="O757" t="s">
        <v>74</v>
      </c>
      <c r="P757" t="s">
        <v>74</v>
      </c>
      <c r="Q757" t="s">
        <v>74</v>
      </c>
      <c r="R757" t="s">
        <v>74</v>
      </c>
      <c r="S757" t="s">
        <v>74</v>
      </c>
      <c r="T757" t="s">
        <v>13921</v>
      </c>
      <c r="U757" t="s">
        <v>74</v>
      </c>
      <c r="V757" t="s">
        <v>13922</v>
      </c>
      <c r="W757" t="s">
        <v>13923</v>
      </c>
      <c r="X757" t="s">
        <v>1773</v>
      </c>
      <c r="Y757" t="s">
        <v>1774</v>
      </c>
      <c r="Z757" t="s">
        <v>1775</v>
      </c>
      <c r="AA757" t="s">
        <v>74</v>
      </c>
      <c r="AB757" t="s">
        <v>74</v>
      </c>
      <c r="AC757" t="s">
        <v>74</v>
      </c>
      <c r="AD757" t="s">
        <v>74</v>
      </c>
      <c r="AE757" t="s">
        <v>74</v>
      </c>
      <c r="AF757" t="s">
        <v>74</v>
      </c>
      <c r="AG757">
        <v>46</v>
      </c>
      <c r="AH757">
        <v>2</v>
      </c>
      <c r="AI757">
        <v>2</v>
      </c>
      <c r="AJ757">
        <v>0</v>
      </c>
      <c r="AK757">
        <v>0</v>
      </c>
      <c r="AL757" t="s">
        <v>1779</v>
      </c>
      <c r="AM757" t="s">
        <v>1780</v>
      </c>
      <c r="AN757" t="s">
        <v>1781</v>
      </c>
      <c r="AO757" t="s">
        <v>1782</v>
      </c>
      <c r="AP757" t="s">
        <v>1783</v>
      </c>
      <c r="AQ757" t="s">
        <v>74</v>
      </c>
      <c r="AR757" t="s">
        <v>1784</v>
      </c>
      <c r="AS757" t="s">
        <v>1785</v>
      </c>
      <c r="AT757" t="s">
        <v>11820</v>
      </c>
      <c r="AU757">
        <v>2013</v>
      </c>
      <c r="AV757">
        <v>34</v>
      </c>
      <c r="AW757">
        <v>2</v>
      </c>
      <c r="AX757" t="s">
        <v>74</v>
      </c>
      <c r="AY757" t="s">
        <v>74</v>
      </c>
      <c r="AZ757" t="s">
        <v>74</v>
      </c>
      <c r="BA757" t="s">
        <v>74</v>
      </c>
      <c r="BB757">
        <v>136</v>
      </c>
      <c r="BC757">
        <v>147</v>
      </c>
      <c r="BD757" t="s">
        <v>74</v>
      </c>
      <c r="BE757" t="s">
        <v>13924</v>
      </c>
      <c r="BF757" t="str">
        <f>HYPERLINK("http://dx.doi.org/10.5467/JKESS.2013.34.2.136","http://dx.doi.org/10.5467/JKESS.2013.34.2.136")</f>
        <v>http://dx.doi.org/10.5467/JKESS.2013.34.2.136</v>
      </c>
      <c r="BG757" t="s">
        <v>74</v>
      </c>
      <c r="BH757" t="s">
        <v>74</v>
      </c>
      <c r="BI757">
        <v>12</v>
      </c>
      <c r="BJ757" t="s">
        <v>1426</v>
      </c>
      <c r="BK757" t="s">
        <v>1452</v>
      </c>
      <c r="BL757" t="s">
        <v>219</v>
      </c>
      <c r="BM757" t="s">
        <v>13925</v>
      </c>
      <c r="BN757" t="s">
        <v>74</v>
      </c>
      <c r="BO757" t="s">
        <v>104</v>
      </c>
      <c r="BP757" t="s">
        <v>74</v>
      </c>
      <c r="BQ757" t="s">
        <v>74</v>
      </c>
      <c r="BR757" t="s">
        <v>105</v>
      </c>
      <c r="BS757" t="s">
        <v>13926</v>
      </c>
      <c r="BT757" t="str">
        <f>HYPERLINK("https%3A%2F%2Fwww.webofscience.com%2Fwos%2Fwoscc%2Ffull-record%2FWOS:000439526200003","View Full Record in Web of Science")</f>
        <v>View Full Record in Web of Science</v>
      </c>
    </row>
    <row r="758" spans="1:72" x14ac:dyDescent="0.15">
      <c r="A758" t="s">
        <v>72</v>
      </c>
      <c r="B758" t="s">
        <v>13927</v>
      </c>
      <c r="C758" t="s">
        <v>74</v>
      </c>
      <c r="D758" t="s">
        <v>74</v>
      </c>
      <c r="E758" t="s">
        <v>74</v>
      </c>
      <c r="F758" t="s">
        <v>13928</v>
      </c>
      <c r="G758" t="s">
        <v>74</v>
      </c>
      <c r="H758" t="s">
        <v>74</v>
      </c>
      <c r="I758" t="s">
        <v>13929</v>
      </c>
      <c r="J758" t="s">
        <v>7981</v>
      </c>
      <c r="K758" t="s">
        <v>74</v>
      </c>
      <c r="L758" t="s">
        <v>74</v>
      </c>
      <c r="M758" t="s">
        <v>78</v>
      </c>
      <c r="N758" t="s">
        <v>79</v>
      </c>
      <c r="O758" t="s">
        <v>74</v>
      </c>
      <c r="P758" t="s">
        <v>74</v>
      </c>
      <c r="Q758" t="s">
        <v>74</v>
      </c>
      <c r="R758" t="s">
        <v>74</v>
      </c>
      <c r="S758" t="s">
        <v>74</v>
      </c>
      <c r="T758" t="s">
        <v>13930</v>
      </c>
      <c r="U758" t="s">
        <v>13931</v>
      </c>
      <c r="V758" t="s">
        <v>13932</v>
      </c>
      <c r="W758" t="s">
        <v>13933</v>
      </c>
      <c r="X758" t="s">
        <v>13934</v>
      </c>
      <c r="Y758" t="s">
        <v>13935</v>
      </c>
      <c r="Z758" t="s">
        <v>13936</v>
      </c>
      <c r="AA758" t="s">
        <v>13937</v>
      </c>
      <c r="AB758" t="s">
        <v>13938</v>
      </c>
      <c r="AC758" t="s">
        <v>13939</v>
      </c>
      <c r="AD758" t="s">
        <v>13940</v>
      </c>
      <c r="AE758" t="s">
        <v>13941</v>
      </c>
      <c r="AF758" t="s">
        <v>74</v>
      </c>
      <c r="AG758">
        <v>36</v>
      </c>
      <c r="AH758">
        <v>27</v>
      </c>
      <c r="AI758">
        <v>27</v>
      </c>
      <c r="AJ758">
        <v>0</v>
      </c>
      <c r="AK758">
        <v>35</v>
      </c>
      <c r="AL758" t="s">
        <v>7630</v>
      </c>
      <c r="AM758" t="s">
        <v>7631</v>
      </c>
      <c r="AN758" t="s">
        <v>7632</v>
      </c>
      <c r="AO758" t="s">
        <v>7994</v>
      </c>
      <c r="AP758" t="s">
        <v>74</v>
      </c>
      <c r="AQ758" t="s">
        <v>74</v>
      </c>
      <c r="AR758" t="s">
        <v>7995</v>
      </c>
      <c r="AS758" t="s">
        <v>7996</v>
      </c>
      <c r="AT758" t="s">
        <v>11820</v>
      </c>
      <c r="AU758">
        <v>2013</v>
      </c>
      <c r="AV758">
        <v>11</v>
      </c>
      <c r="AW758">
        <v>4</v>
      </c>
      <c r="AX758" t="s">
        <v>74</v>
      </c>
      <c r="AY758" t="s">
        <v>74</v>
      </c>
      <c r="AZ758" t="s">
        <v>74</v>
      </c>
      <c r="BA758" t="s">
        <v>74</v>
      </c>
      <c r="BB758">
        <v>1126</v>
      </c>
      <c r="BC758">
        <v>1139</v>
      </c>
      <c r="BD758" t="s">
        <v>74</v>
      </c>
      <c r="BE758" t="s">
        <v>13942</v>
      </c>
      <c r="BF758" t="str">
        <f>HYPERLINK("http://dx.doi.org/10.3390/md11041126","http://dx.doi.org/10.3390/md11041126")</f>
        <v>http://dx.doi.org/10.3390/md11041126</v>
      </c>
      <c r="BG758" t="s">
        <v>74</v>
      </c>
      <c r="BH758" t="s">
        <v>74</v>
      </c>
      <c r="BI758">
        <v>14</v>
      </c>
      <c r="BJ758" t="s">
        <v>7998</v>
      </c>
      <c r="BK758" t="s">
        <v>102</v>
      </c>
      <c r="BL758" t="s">
        <v>7999</v>
      </c>
      <c r="BM758" t="s">
        <v>13943</v>
      </c>
      <c r="BN758">
        <v>23549284</v>
      </c>
      <c r="BO758" t="s">
        <v>2248</v>
      </c>
      <c r="BP758" t="s">
        <v>74</v>
      </c>
      <c r="BQ758" t="s">
        <v>74</v>
      </c>
      <c r="BR758" t="s">
        <v>105</v>
      </c>
      <c r="BS758" t="s">
        <v>13944</v>
      </c>
      <c r="BT758" t="str">
        <f>HYPERLINK("https%3A%2F%2Fwww.webofscience.com%2Fwos%2Fwoscc%2Ffull-record%2FWOS:000318018700011","View Full Record in Web of Science")</f>
        <v>View Full Record in Web of Science</v>
      </c>
    </row>
    <row r="759" spans="1:72" x14ac:dyDescent="0.15">
      <c r="A759" t="s">
        <v>72</v>
      </c>
      <c r="B759" t="s">
        <v>13945</v>
      </c>
      <c r="C759" t="s">
        <v>74</v>
      </c>
      <c r="D759" t="s">
        <v>74</v>
      </c>
      <c r="E759" t="s">
        <v>74</v>
      </c>
      <c r="F759" t="s">
        <v>13946</v>
      </c>
      <c r="G759" t="s">
        <v>74</v>
      </c>
      <c r="H759" t="s">
        <v>74</v>
      </c>
      <c r="I759" t="s">
        <v>13947</v>
      </c>
      <c r="J759" t="s">
        <v>7981</v>
      </c>
      <c r="K759" t="s">
        <v>74</v>
      </c>
      <c r="L759" t="s">
        <v>74</v>
      </c>
      <c r="M759" t="s">
        <v>78</v>
      </c>
      <c r="N759" t="s">
        <v>79</v>
      </c>
      <c r="O759" t="s">
        <v>74</v>
      </c>
      <c r="P759" t="s">
        <v>74</v>
      </c>
      <c r="Q759" t="s">
        <v>74</v>
      </c>
      <c r="R759" t="s">
        <v>74</v>
      </c>
      <c r="S759" t="s">
        <v>74</v>
      </c>
      <c r="T759" t="s">
        <v>13948</v>
      </c>
      <c r="U759" t="s">
        <v>13949</v>
      </c>
      <c r="V759" t="s">
        <v>13950</v>
      </c>
      <c r="W759" t="s">
        <v>13951</v>
      </c>
      <c r="X759" t="s">
        <v>13952</v>
      </c>
      <c r="Y759" t="s">
        <v>13953</v>
      </c>
      <c r="Z759" t="s">
        <v>13954</v>
      </c>
      <c r="AA759" t="s">
        <v>13955</v>
      </c>
      <c r="AB759" t="s">
        <v>13956</v>
      </c>
      <c r="AC759" t="s">
        <v>13957</v>
      </c>
      <c r="AD759" t="s">
        <v>13958</v>
      </c>
      <c r="AE759" t="s">
        <v>13959</v>
      </c>
      <c r="AF759" t="s">
        <v>74</v>
      </c>
      <c r="AG759">
        <v>24</v>
      </c>
      <c r="AH759">
        <v>58</v>
      </c>
      <c r="AI759">
        <v>64</v>
      </c>
      <c r="AJ759">
        <v>3</v>
      </c>
      <c r="AK759">
        <v>51</v>
      </c>
      <c r="AL759" t="s">
        <v>7630</v>
      </c>
      <c r="AM759" t="s">
        <v>7631</v>
      </c>
      <c r="AN759" t="s">
        <v>7632</v>
      </c>
      <c r="AO759" t="s">
        <v>74</v>
      </c>
      <c r="AP759" t="s">
        <v>7994</v>
      </c>
      <c r="AQ759" t="s">
        <v>74</v>
      </c>
      <c r="AR759" t="s">
        <v>7995</v>
      </c>
      <c r="AS759" t="s">
        <v>7996</v>
      </c>
      <c r="AT759" t="s">
        <v>11820</v>
      </c>
      <c r="AU759">
        <v>2013</v>
      </c>
      <c r="AV759">
        <v>11</v>
      </c>
      <c r="AW759">
        <v>4</v>
      </c>
      <c r="AX759" t="s">
        <v>74</v>
      </c>
      <c r="AY759" t="s">
        <v>74</v>
      </c>
      <c r="AZ759" t="s">
        <v>74</v>
      </c>
      <c r="BA759" t="s">
        <v>74</v>
      </c>
      <c r="BB759">
        <v>1399</v>
      </c>
      <c r="BC759">
        <v>1408</v>
      </c>
      <c r="BD759" t="s">
        <v>74</v>
      </c>
      <c r="BE759" t="s">
        <v>13960</v>
      </c>
      <c r="BF759" t="str">
        <f>HYPERLINK("http://dx.doi.org/10.3390/md11041399","http://dx.doi.org/10.3390/md11041399")</f>
        <v>http://dx.doi.org/10.3390/md11041399</v>
      </c>
      <c r="BG759" t="s">
        <v>74</v>
      </c>
      <c r="BH759" t="s">
        <v>74</v>
      </c>
      <c r="BI759">
        <v>10</v>
      </c>
      <c r="BJ759" t="s">
        <v>7998</v>
      </c>
      <c r="BK759" t="s">
        <v>102</v>
      </c>
      <c r="BL759" t="s">
        <v>7999</v>
      </c>
      <c r="BM759" t="s">
        <v>13943</v>
      </c>
      <c r="BN759">
        <v>23612371</v>
      </c>
      <c r="BO759" t="s">
        <v>2248</v>
      </c>
      <c r="BP759" t="s">
        <v>74</v>
      </c>
      <c r="BQ759" t="s">
        <v>74</v>
      </c>
      <c r="BR759" t="s">
        <v>105</v>
      </c>
      <c r="BS759" t="s">
        <v>13961</v>
      </c>
      <c r="BT759" t="str">
        <f>HYPERLINK("https%3A%2F%2Fwww.webofscience.com%2Fwos%2Fwoscc%2Ffull-record%2FWOS:000318018700028","View Full Record in Web of Science")</f>
        <v>View Full Record in Web of Science</v>
      </c>
    </row>
    <row r="760" spans="1:72" x14ac:dyDescent="0.15">
      <c r="A760" t="s">
        <v>72</v>
      </c>
      <c r="B760" t="s">
        <v>13962</v>
      </c>
      <c r="C760" t="s">
        <v>74</v>
      </c>
      <c r="D760" t="s">
        <v>74</v>
      </c>
      <c r="E760" t="s">
        <v>74</v>
      </c>
      <c r="F760" t="s">
        <v>13963</v>
      </c>
      <c r="G760" t="s">
        <v>74</v>
      </c>
      <c r="H760" t="s">
        <v>74</v>
      </c>
      <c r="I760" t="s">
        <v>13964</v>
      </c>
      <c r="J760" t="s">
        <v>13965</v>
      </c>
      <c r="K760" t="s">
        <v>74</v>
      </c>
      <c r="L760" t="s">
        <v>74</v>
      </c>
      <c r="M760" t="s">
        <v>78</v>
      </c>
      <c r="N760" t="s">
        <v>79</v>
      </c>
      <c r="O760" t="s">
        <v>74</v>
      </c>
      <c r="P760" t="s">
        <v>74</v>
      </c>
      <c r="Q760" t="s">
        <v>74</v>
      </c>
      <c r="R760" t="s">
        <v>74</v>
      </c>
      <c r="S760" t="s">
        <v>74</v>
      </c>
      <c r="T760" t="s">
        <v>13966</v>
      </c>
      <c r="U760" t="s">
        <v>13967</v>
      </c>
      <c r="V760" t="s">
        <v>13968</v>
      </c>
      <c r="W760" t="s">
        <v>13969</v>
      </c>
      <c r="X760" t="s">
        <v>13970</v>
      </c>
      <c r="Y760" t="s">
        <v>13971</v>
      </c>
      <c r="Z760" t="s">
        <v>13972</v>
      </c>
      <c r="AA760" t="s">
        <v>13973</v>
      </c>
      <c r="AB760" t="s">
        <v>13974</v>
      </c>
      <c r="AC760" t="s">
        <v>13975</v>
      </c>
      <c r="AD760" t="s">
        <v>13976</v>
      </c>
      <c r="AE760" t="s">
        <v>13977</v>
      </c>
      <c r="AF760" t="s">
        <v>74</v>
      </c>
      <c r="AG760">
        <v>42</v>
      </c>
      <c r="AH760">
        <v>9</v>
      </c>
      <c r="AI760">
        <v>9</v>
      </c>
      <c r="AJ760">
        <v>0</v>
      </c>
      <c r="AK760">
        <v>34</v>
      </c>
      <c r="AL760" t="s">
        <v>2961</v>
      </c>
      <c r="AM760" t="s">
        <v>369</v>
      </c>
      <c r="AN760" t="s">
        <v>370</v>
      </c>
      <c r="AO760" t="s">
        <v>13978</v>
      </c>
      <c r="AP760" t="s">
        <v>74</v>
      </c>
      <c r="AQ760" t="s">
        <v>74</v>
      </c>
      <c r="AR760" t="s">
        <v>13979</v>
      </c>
      <c r="AS760" t="s">
        <v>13980</v>
      </c>
      <c r="AT760" t="s">
        <v>11820</v>
      </c>
      <c r="AU760">
        <v>2013</v>
      </c>
      <c r="AV760">
        <v>29</v>
      </c>
      <c r="AW760">
        <v>2</v>
      </c>
      <c r="AX760" t="s">
        <v>74</v>
      </c>
      <c r="AY760" t="s">
        <v>74</v>
      </c>
      <c r="AZ760" t="s">
        <v>74</v>
      </c>
      <c r="BA760" t="s">
        <v>74</v>
      </c>
      <c r="BB760">
        <v>241</v>
      </c>
      <c r="BC760">
        <v>260</v>
      </c>
      <c r="BD760" t="s">
        <v>74</v>
      </c>
      <c r="BE760" t="s">
        <v>13981</v>
      </c>
      <c r="BF760" t="str">
        <f>HYPERLINK("http://dx.doi.org/10.1111/j.1748-7692.2011.00553.x","http://dx.doi.org/10.1111/j.1748-7692.2011.00553.x")</f>
        <v>http://dx.doi.org/10.1111/j.1748-7692.2011.00553.x</v>
      </c>
      <c r="BG760" t="s">
        <v>74</v>
      </c>
      <c r="BH760" t="s">
        <v>74</v>
      </c>
      <c r="BI760">
        <v>20</v>
      </c>
      <c r="BJ760" t="s">
        <v>5092</v>
      </c>
      <c r="BK760" t="s">
        <v>102</v>
      </c>
      <c r="BL760" t="s">
        <v>5092</v>
      </c>
      <c r="BM760" t="s">
        <v>13982</v>
      </c>
      <c r="BN760" t="s">
        <v>74</v>
      </c>
      <c r="BO760" t="s">
        <v>74</v>
      </c>
      <c r="BP760" t="s">
        <v>74</v>
      </c>
      <c r="BQ760" t="s">
        <v>74</v>
      </c>
      <c r="BR760" t="s">
        <v>105</v>
      </c>
      <c r="BS760" t="s">
        <v>13983</v>
      </c>
      <c r="BT760" t="str">
        <f>HYPERLINK("https%3A%2F%2Fwww.webofscience.com%2Fwos%2Fwoscc%2Ffull-record%2FWOS:000317288600011","View Full Record in Web of Science")</f>
        <v>View Full Record in Web of Science</v>
      </c>
    </row>
    <row r="761" spans="1:72" x14ac:dyDescent="0.15">
      <c r="A761" t="s">
        <v>72</v>
      </c>
      <c r="B761" t="s">
        <v>13984</v>
      </c>
      <c r="C761" t="s">
        <v>74</v>
      </c>
      <c r="D761" t="s">
        <v>74</v>
      </c>
      <c r="E761" t="s">
        <v>74</v>
      </c>
      <c r="F761" t="s">
        <v>13985</v>
      </c>
      <c r="G761" t="s">
        <v>74</v>
      </c>
      <c r="H761" t="s">
        <v>74</v>
      </c>
      <c r="I761" t="s">
        <v>13986</v>
      </c>
      <c r="J761" t="s">
        <v>13987</v>
      </c>
      <c r="K761" t="s">
        <v>74</v>
      </c>
      <c r="L761" t="s">
        <v>74</v>
      </c>
      <c r="M761" t="s">
        <v>78</v>
      </c>
      <c r="N761" t="s">
        <v>79</v>
      </c>
      <c r="O761" t="s">
        <v>74</v>
      </c>
      <c r="P761" t="s">
        <v>74</v>
      </c>
      <c r="Q761" t="s">
        <v>74</v>
      </c>
      <c r="R761" t="s">
        <v>74</v>
      </c>
      <c r="S761" t="s">
        <v>74</v>
      </c>
      <c r="T761" t="s">
        <v>74</v>
      </c>
      <c r="U761" t="s">
        <v>13988</v>
      </c>
      <c r="V761" t="s">
        <v>13989</v>
      </c>
      <c r="W761" t="s">
        <v>13990</v>
      </c>
      <c r="X761" t="s">
        <v>13991</v>
      </c>
      <c r="Y761" t="s">
        <v>13992</v>
      </c>
      <c r="Z761" t="s">
        <v>13993</v>
      </c>
      <c r="AA761" t="s">
        <v>13994</v>
      </c>
      <c r="AB761" t="s">
        <v>13995</v>
      </c>
      <c r="AC761" t="s">
        <v>13996</v>
      </c>
      <c r="AD761" t="s">
        <v>13997</v>
      </c>
      <c r="AE761" t="s">
        <v>13998</v>
      </c>
      <c r="AF761" t="s">
        <v>74</v>
      </c>
      <c r="AG761">
        <v>85</v>
      </c>
      <c r="AH761">
        <v>56</v>
      </c>
      <c r="AI761">
        <v>61</v>
      </c>
      <c r="AJ761">
        <v>0</v>
      </c>
      <c r="AK761">
        <v>50</v>
      </c>
      <c r="AL761" t="s">
        <v>529</v>
      </c>
      <c r="AM761" t="s">
        <v>391</v>
      </c>
      <c r="AN761" t="s">
        <v>530</v>
      </c>
      <c r="AO761" t="s">
        <v>13999</v>
      </c>
      <c r="AP761" t="s">
        <v>14000</v>
      </c>
      <c r="AQ761" t="s">
        <v>74</v>
      </c>
      <c r="AR761" t="s">
        <v>14001</v>
      </c>
      <c r="AS761" t="s">
        <v>14002</v>
      </c>
      <c r="AT761" t="s">
        <v>11820</v>
      </c>
      <c r="AU761">
        <v>2013</v>
      </c>
      <c r="AV761">
        <v>65</v>
      </c>
      <c r="AW761">
        <v>3</v>
      </c>
      <c r="AX761" t="s">
        <v>74</v>
      </c>
      <c r="AY761" t="s">
        <v>74</v>
      </c>
      <c r="AZ761" t="s">
        <v>74</v>
      </c>
      <c r="BA761" t="s">
        <v>74</v>
      </c>
      <c r="BB761">
        <v>638</v>
      </c>
      <c r="BC761">
        <v>651</v>
      </c>
      <c r="BD761" t="s">
        <v>74</v>
      </c>
      <c r="BE761" t="s">
        <v>14003</v>
      </c>
      <c r="BF761" t="str">
        <f>HYPERLINK("http://dx.doi.org/10.1007/s00248-013-0193-4","http://dx.doi.org/10.1007/s00248-013-0193-4")</f>
        <v>http://dx.doi.org/10.1007/s00248-013-0193-4</v>
      </c>
      <c r="BG761" t="s">
        <v>74</v>
      </c>
      <c r="BH761" t="s">
        <v>74</v>
      </c>
      <c r="BI761">
        <v>14</v>
      </c>
      <c r="BJ761" t="s">
        <v>14004</v>
      </c>
      <c r="BK761" t="s">
        <v>102</v>
      </c>
      <c r="BL761" t="s">
        <v>14005</v>
      </c>
      <c r="BM761" t="s">
        <v>14006</v>
      </c>
      <c r="BN761">
        <v>23411852</v>
      </c>
      <c r="BO761" t="s">
        <v>74</v>
      </c>
      <c r="BP761" t="s">
        <v>74</v>
      </c>
      <c r="BQ761" t="s">
        <v>74</v>
      </c>
      <c r="BR761" t="s">
        <v>105</v>
      </c>
      <c r="BS761" t="s">
        <v>14007</v>
      </c>
      <c r="BT761" t="str">
        <f>HYPERLINK("https%3A%2F%2Fwww.webofscience.com%2Fwos%2Fwoscc%2Ffull-record%2FWOS:000317421000012","View Full Record in Web of Science")</f>
        <v>View Full Record in Web of Science</v>
      </c>
    </row>
    <row r="762" spans="1:72" x14ac:dyDescent="0.15">
      <c r="A762" t="s">
        <v>72</v>
      </c>
      <c r="B762" t="s">
        <v>14008</v>
      </c>
      <c r="C762" t="s">
        <v>74</v>
      </c>
      <c r="D762" t="s">
        <v>74</v>
      </c>
      <c r="E762" t="s">
        <v>74</v>
      </c>
      <c r="F762" t="s">
        <v>14009</v>
      </c>
      <c r="G762" t="s">
        <v>74</v>
      </c>
      <c r="H762" t="s">
        <v>74</v>
      </c>
      <c r="I762" t="s">
        <v>14010</v>
      </c>
      <c r="J762" t="s">
        <v>14011</v>
      </c>
      <c r="K762" t="s">
        <v>74</v>
      </c>
      <c r="L762" t="s">
        <v>74</v>
      </c>
      <c r="M762" t="s">
        <v>78</v>
      </c>
      <c r="N762" t="s">
        <v>79</v>
      </c>
      <c r="O762" t="s">
        <v>74</v>
      </c>
      <c r="P762" t="s">
        <v>74</v>
      </c>
      <c r="Q762" t="s">
        <v>74</v>
      </c>
      <c r="R762" t="s">
        <v>74</v>
      </c>
      <c r="S762" t="s">
        <v>74</v>
      </c>
      <c r="T762" t="s">
        <v>74</v>
      </c>
      <c r="U762" t="s">
        <v>14012</v>
      </c>
      <c r="V762" t="s">
        <v>14013</v>
      </c>
      <c r="W762" t="s">
        <v>14014</v>
      </c>
      <c r="X762" t="s">
        <v>14015</v>
      </c>
      <c r="Y762" t="s">
        <v>14016</v>
      </c>
      <c r="Z762" t="s">
        <v>74</v>
      </c>
      <c r="AA762" t="s">
        <v>14017</v>
      </c>
      <c r="AB762" t="s">
        <v>14018</v>
      </c>
      <c r="AC762" t="s">
        <v>14019</v>
      </c>
      <c r="AD762" t="s">
        <v>14019</v>
      </c>
      <c r="AE762" t="s">
        <v>14020</v>
      </c>
      <c r="AF762" t="s">
        <v>74</v>
      </c>
      <c r="AG762">
        <v>31</v>
      </c>
      <c r="AH762">
        <v>12</v>
      </c>
      <c r="AI762">
        <v>13</v>
      </c>
      <c r="AJ762">
        <v>0</v>
      </c>
      <c r="AK762">
        <v>12</v>
      </c>
      <c r="AL762" t="s">
        <v>441</v>
      </c>
      <c r="AM762" t="s">
        <v>442</v>
      </c>
      <c r="AN762" t="s">
        <v>443</v>
      </c>
      <c r="AO762" t="s">
        <v>14021</v>
      </c>
      <c r="AP762" t="s">
        <v>14022</v>
      </c>
      <c r="AQ762" t="s">
        <v>74</v>
      </c>
      <c r="AR762" t="s">
        <v>14023</v>
      </c>
      <c r="AS762" t="s">
        <v>14024</v>
      </c>
      <c r="AT762" t="s">
        <v>11820</v>
      </c>
      <c r="AU762">
        <v>2013</v>
      </c>
      <c r="AV762">
        <v>178</v>
      </c>
      <c r="AW762">
        <v>4</v>
      </c>
      <c r="AX762" t="s">
        <v>74</v>
      </c>
      <c r="AY762" t="s">
        <v>74</v>
      </c>
      <c r="AZ762" t="s">
        <v>74</v>
      </c>
      <c r="BA762" t="s">
        <v>74</v>
      </c>
      <c r="BB762">
        <v>438</v>
      </c>
      <c r="BC762">
        <v>444</v>
      </c>
      <c r="BD762" t="s">
        <v>74</v>
      </c>
      <c r="BE762" t="s">
        <v>14025</v>
      </c>
      <c r="BF762" t="str">
        <f>HYPERLINK("http://dx.doi.org/10.7205/MILMED-D-12-00447","http://dx.doi.org/10.7205/MILMED-D-12-00447")</f>
        <v>http://dx.doi.org/10.7205/MILMED-D-12-00447</v>
      </c>
      <c r="BG762" t="s">
        <v>74</v>
      </c>
      <c r="BH762" t="s">
        <v>74</v>
      </c>
      <c r="BI762">
        <v>7</v>
      </c>
      <c r="BJ762" t="s">
        <v>14026</v>
      </c>
      <c r="BK762" t="s">
        <v>3246</v>
      </c>
      <c r="BL762" t="s">
        <v>14027</v>
      </c>
      <c r="BM762" t="s">
        <v>14028</v>
      </c>
      <c r="BN762">
        <v>23707831</v>
      </c>
      <c r="BO762" t="s">
        <v>104</v>
      </c>
      <c r="BP762" t="s">
        <v>74</v>
      </c>
      <c r="BQ762" t="s">
        <v>74</v>
      </c>
      <c r="BR762" t="s">
        <v>105</v>
      </c>
      <c r="BS762" t="s">
        <v>14029</v>
      </c>
      <c r="BT762" t="str">
        <f>HYPERLINK("https%3A%2F%2Fwww.webofscience.com%2Fwos%2Fwoscc%2Ffull-record%2FWOS:000340805100017","View Full Record in Web of Science")</f>
        <v>View Full Record in Web of Science</v>
      </c>
    </row>
    <row r="763" spans="1:72" x14ac:dyDescent="0.15">
      <c r="A763" t="s">
        <v>72</v>
      </c>
      <c r="B763" t="s">
        <v>14030</v>
      </c>
      <c r="C763" t="s">
        <v>74</v>
      </c>
      <c r="D763" t="s">
        <v>74</v>
      </c>
      <c r="E763" t="s">
        <v>74</v>
      </c>
      <c r="F763" t="s">
        <v>14031</v>
      </c>
      <c r="G763" t="s">
        <v>74</v>
      </c>
      <c r="H763" t="s">
        <v>74</v>
      </c>
      <c r="I763" t="s">
        <v>14032</v>
      </c>
      <c r="J763" t="s">
        <v>14033</v>
      </c>
      <c r="K763" t="s">
        <v>74</v>
      </c>
      <c r="L763" t="s">
        <v>74</v>
      </c>
      <c r="M763" t="s">
        <v>78</v>
      </c>
      <c r="N763" t="s">
        <v>1459</v>
      </c>
      <c r="O763" t="s">
        <v>74</v>
      </c>
      <c r="P763" t="s">
        <v>74</v>
      </c>
      <c r="Q763" t="s">
        <v>74</v>
      </c>
      <c r="R763" t="s">
        <v>74</v>
      </c>
      <c r="S763" t="s">
        <v>74</v>
      </c>
      <c r="T763" t="s">
        <v>14034</v>
      </c>
      <c r="U763" t="s">
        <v>14035</v>
      </c>
      <c r="V763" t="s">
        <v>14036</v>
      </c>
      <c r="W763" t="s">
        <v>14037</v>
      </c>
      <c r="X763" t="s">
        <v>14038</v>
      </c>
      <c r="Y763" t="s">
        <v>14039</v>
      </c>
      <c r="Z763" t="s">
        <v>14040</v>
      </c>
      <c r="AA763" t="s">
        <v>14041</v>
      </c>
      <c r="AB763" t="s">
        <v>74</v>
      </c>
      <c r="AC763" t="s">
        <v>14042</v>
      </c>
      <c r="AD763" t="s">
        <v>14043</v>
      </c>
      <c r="AE763" t="s">
        <v>14044</v>
      </c>
      <c r="AF763" t="s">
        <v>74</v>
      </c>
      <c r="AG763">
        <v>41</v>
      </c>
      <c r="AH763">
        <v>38</v>
      </c>
      <c r="AI763">
        <v>50</v>
      </c>
      <c r="AJ763">
        <v>1</v>
      </c>
      <c r="AK763">
        <v>76</v>
      </c>
      <c r="AL763" t="s">
        <v>14045</v>
      </c>
      <c r="AM763" t="s">
        <v>14046</v>
      </c>
      <c r="AN763" t="s">
        <v>14047</v>
      </c>
      <c r="AO763" t="s">
        <v>14048</v>
      </c>
      <c r="AP763" t="s">
        <v>14049</v>
      </c>
      <c r="AQ763" t="s">
        <v>74</v>
      </c>
      <c r="AR763" t="s">
        <v>14050</v>
      </c>
      <c r="AS763" t="s">
        <v>14051</v>
      </c>
      <c r="AT763" t="s">
        <v>11820</v>
      </c>
      <c r="AU763">
        <v>2013</v>
      </c>
      <c r="AV763">
        <v>13</v>
      </c>
      <c r="AW763">
        <v>4</v>
      </c>
      <c r="AX763" t="s">
        <v>74</v>
      </c>
      <c r="AY763" t="s">
        <v>74</v>
      </c>
      <c r="AZ763" t="s">
        <v>74</v>
      </c>
      <c r="BA763" t="s">
        <v>74</v>
      </c>
      <c r="BB763">
        <v>617</v>
      </c>
      <c r="BC763">
        <v>626</v>
      </c>
      <c r="BD763" t="s">
        <v>74</v>
      </c>
      <c r="BE763" t="s">
        <v>14052</v>
      </c>
      <c r="BF763" t="str">
        <f>HYPERLINK("http://dx.doi.org/10.2174/1389557511313040013","http://dx.doi.org/10.2174/1389557511313040013")</f>
        <v>http://dx.doi.org/10.2174/1389557511313040013</v>
      </c>
      <c r="BG763" t="s">
        <v>74</v>
      </c>
      <c r="BH763" t="s">
        <v>74</v>
      </c>
      <c r="BI763">
        <v>10</v>
      </c>
      <c r="BJ763" t="s">
        <v>14053</v>
      </c>
      <c r="BK763" t="s">
        <v>102</v>
      </c>
      <c r="BL763" t="s">
        <v>7999</v>
      </c>
      <c r="BM763" t="s">
        <v>14054</v>
      </c>
      <c r="BN763">
        <v>23373650</v>
      </c>
      <c r="BO763" t="s">
        <v>74</v>
      </c>
      <c r="BP763" t="s">
        <v>74</v>
      </c>
      <c r="BQ763" t="s">
        <v>74</v>
      </c>
      <c r="BR763" t="s">
        <v>105</v>
      </c>
      <c r="BS763" t="s">
        <v>14055</v>
      </c>
      <c r="BT763" t="str">
        <f>HYPERLINK("https%3A%2F%2Fwww.webofscience.com%2Fwos%2Fwoscc%2Ffull-record%2FWOS:000317209300013","View Full Record in Web of Science")</f>
        <v>View Full Record in Web of Science</v>
      </c>
    </row>
    <row r="764" spans="1:72" x14ac:dyDescent="0.15">
      <c r="A764" t="s">
        <v>72</v>
      </c>
      <c r="B764" t="s">
        <v>14056</v>
      </c>
      <c r="C764" t="s">
        <v>74</v>
      </c>
      <c r="D764" t="s">
        <v>74</v>
      </c>
      <c r="E764" t="s">
        <v>74</v>
      </c>
      <c r="F764" t="s">
        <v>14057</v>
      </c>
      <c r="G764" t="s">
        <v>74</v>
      </c>
      <c r="H764" t="s">
        <v>74</v>
      </c>
      <c r="I764" t="s">
        <v>14058</v>
      </c>
      <c r="J764" t="s">
        <v>606</v>
      </c>
      <c r="K764" t="s">
        <v>74</v>
      </c>
      <c r="L764" t="s">
        <v>74</v>
      </c>
      <c r="M764" t="s">
        <v>78</v>
      </c>
      <c r="N764" t="s">
        <v>79</v>
      </c>
      <c r="O764" t="s">
        <v>74</v>
      </c>
      <c r="P764" t="s">
        <v>74</v>
      </c>
      <c r="Q764" t="s">
        <v>74</v>
      </c>
      <c r="R764" t="s">
        <v>74</v>
      </c>
      <c r="S764" t="s">
        <v>74</v>
      </c>
      <c r="T764" t="s">
        <v>14059</v>
      </c>
      <c r="U764" t="s">
        <v>14060</v>
      </c>
      <c r="V764" t="s">
        <v>14061</v>
      </c>
      <c r="W764" t="s">
        <v>14062</v>
      </c>
      <c r="X764" t="s">
        <v>14063</v>
      </c>
      <c r="Y764" t="s">
        <v>4413</v>
      </c>
      <c r="Z764" t="s">
        <v>4414</v>
      </c>
      <c r="AA764" t="s">
        <v>14064</v>
      </c>
      <c r="AB764" t="s">
        <v>14065</v>
      </c>
      <c r="AC764" t="s">
        <v>14066</v>
      </c>
      <c r="AD764" t="s">
        <v>14067</v>
      </c>
      <c r="AE764" t="s">
        <v>14068</v>
      </c>
      <c r="AF764" t="s">
        <v>74</v>
      </c>
      <c r="AG764">
        <v>61</v>
      </c>
      <c r="AH764">
        <v>51</v>
      </c>
      <c r="AI764">
        <v>55</v>
      </c>
      <c r="AJ764">
        <v>1</v>
      </c>
      <c r="AK764">
        <v>130</v>
      </c>
      <c r="AL764" t="s">
        <v>368</v>
      </c>
      <c r="AM764" t="s">
        <v>369</v>
      </c>
      <c r="AN764" t="s">
        <v>370</v>
      </c>
      <c r="AO764" t="s">
        <v>618</v>
      </c>
      <c r="AP764" t="s">
        <v>619</v>
      </c>
      <c r="AQ764" t="s">
        <v>74</v>
      </c>
      <c r="AR764" t="s">
        <v>620</v>
      </c>
      <c r="AS764" t="s">
        <v>621</v>
      </c>
      <c r="AT764" t="s">
        <v>11820</v>
      </c>
      <c r="AU764">
        <v>2013</v>
      </c>
      <c r="AV764">
        <v>22</v>
      </c>
      <c r="AW764">
        <v>7</v>
      </c>
      <c r="AX764" t="s">
        <v>74</v>
      </c>
      <c r="AY764" t="s">
        <v>74</v>
      </c>
      <c r="AZ764" t="s">
        <v>74</v>
      </c>
      <c r="BA764" t="s">
        <v>74</v>
      </c>
      <c r="BB764">
        <v>1917</v>
      </c>
      <c r="BC764">
        <v>1932</v>
      </c>
      <c r="BD764" t="s">
        <v>74</v>
      </c>
      <c r="BE764" t="s">
        <v>14069</v>
      </c>
      <c r="BF764" t="str">
        <f>HYPERLINK("http://dx.doi.org/10.1111/mec.12215","http://dx.doi.org/10.1111/mec.12215")</f>
        <v>http://dx.doi.org/10.1111/mec.12215</v>
      </c>
      <c r="BG764" t="s">
        <v>74</v>
      </c>
      <c r="BH764" t="s">
        <v>74</v>
      </c>
      <c r="BI764">
        <v>16</v>
      </c>
      <c r="BJ764" t="s">
        <v>623</v>
      </c>
      <c r="BK764" t="s">
        <v>102</v>
      </c>
      <c r="BL764" t="s">
        <v>624</v>
      </c>
      <c r="BM764" t="s">
        <v>14070</v>
      </c>
      <c r="BN764">
        <v>23452150</v>
      </c>
      <c r="BO764" t="s">
        <v>4895</v>
      </c>
      <c r="BP764" t="s">
        <v>74</v>
      </c>
      <c r="BQ764" t="s">
        <v>74</v>
      </c>
      <c r="BR764" t="s">
        <v>105</v>
      </c>
      <c r="BS764" t="s">
        <v>14071</v>
      </c>
      <c r="BT764" t="str">
        <f>HYPERLINK("https%3A%2F%2Fwww.webofscience.com%2Fwos%2Fwoscc%2Ffull-record%2FWOS:000316575800012","View Full Record in Web of Science")</f>
        <v>View Full Record in Web of Science</v>
      </c>
    </row>
    <row r="765" spans="1:72" x14ac:dyDescent="0.15">
      <c r="A765" t="s">
        <v>72</v>
      </c>
      <c r="B765" t="s">
        <v>14072</v>
      </c>
      <c r="C765" t="s">
        <v>74</v>
      </c>
      <c r="D765" t="s">
        <v>74</v>
      </c>
      <c r="E765" t="s">
        <v>74</v>
      </c>
      <c r="F765" t="s">
        <v>14073</v>
      </c>
      <c r="G765" t="s">
        <v>74</v>
      </c>
      <c r="H765" t="s">
        <v>74</v>
      </c>
      <c r="I765" t="s">
        <v>14074</v>
      </c>
      <c r="J765" t="s">
        <v>606</v>
      </c>
      <c r="K765" t="s">
        <v>74</v>
      </c>
      <c r="L765" t="s">
        <v>74</v>
      </c>
      <c r="M765" t="s">
        <v>78</v>
      </c>
      <c r="N765" t="s">
        <v>1459</v>
      </c>
      <c r="O765" t="s">
        <v>74</v>
      </c>
      <c r="P765" t="s">
        <v>74</v>
      </c>
      <c r="Q765" t="s">
        <v>74</v>
      </c>
      <c r="R765" t="s">
        <v>74</v>
      </c>
      <c r="S765" t="s">
        <v>74</v>
      </c>
      <c r="T765" t="s">
        <v>14075</v>
      </c>
      <c r="U765" t="s">
        <v>14076</v>
      </c>
      <c r="V765" t="s">
        <v>14077</v>
      </c>
      <c r="W765" t="s">
        <v>14078</v>
      </c>
      <c r="X765" t="s">
        <v>2106</v>
      </c>
      <c r="Y765" t="s">
        <v>14079</v>
      </c>
      <c r="Z765" t="s">
        <v>14080</v>
      </c>
      <c r="AA765" t="s">
        <v>14081</v>
      </c>
      <c r="AB765" t="s">
        <v>14082</v>
      </c>
      <c r="AC765" t="s">
        <v>14083</v>
      </c>
      <c r="AD765" t="s">
        <v>14084</v>
      </c>
      <c r="AE765" t="s">
        <v>14085</v>
      </c>
      <c r="AF765" t="s">
        <v>74</v>
      </c>
      <c r="AG765">
        <v>119</v>
      </c>
      <c r="AH765">
        <v>61</v>
      </c>
      <c r="AI765">
        <v>66</v>
      </c>
      <c r="AJ765">
        <v>0</v>
      </c>
      <c r="AK765">
        <v>52</v>
      </c>
      <c r="AL765" t="s">
        <v>368</v>
      </c>
      <c r="AM765" t="s">
        <v>369</v>
      </c>
      <c r="AN765" t="s">
        <v>370</v>
      </c>
      <c r="AO765" t="s">
        <v>618</v>
      </c>
      <c r="AP765" t="s">
        <v>619</v>
      </c>
      <c r="AQ765" t="s">
        <v>74</v>
      </c>
      <c r="AR765" t="s">
        <v>620</v>
      </c>
      <c r="AS765" t="s">
        <v>621</v>
      </c>
      <c r="AT765" t="s">
        <v>11820</v>
      </c>
      <c r="AU765">
        <v>2013</v>
      </c>
      <c r="AV765">
        <v>22</v>
      </c>
      <c r="AW765">
        <v>7</v>
      </c>
      <c r="AX765" t="s">
        <v>74</v>
      </c>
      <c r="AY765" t="s">
        <v>74</v>
      </c>
      <c r="AZ765" t="s">
        <v>74</v>
      </c>
      <c r="BA765" t="s">
        <v>74</v>
      </c>
      <c r="BB765">
        <v>1961</v>
      </c>
      <c r="BC765">
        <v>1983</v>
      </c>
      <c r="BD765" t="s">
        <v>74</v>
      </c>
      <c r="BE765" t="s">
        <v>14086</v>
      </c>
      <c r="BF765" t="str">
        <f>HYPERLINK("http://dx.doi.org/10.1111/mec.12210","http://dx.doi.org/10.1111/mec.12210")</f>
        <v>http://dx.doi.org/10.1111/mec.12210</v>
      </c>
      <c r="BG765" t="s">
        <v>74</v>
      </c>
      <c r="BH765" t="s">
        <v>74</v>
      </c>
      <c r="BI765">
        <v>23</v>
      </c>
      <c r="BJ765" t="s">
        <v>623</v>
      </c>
      <c r="BK765" t="s">
        <v>102</v>
      </c>
      <c r="BL765" t="s">
        <v>624</v>
      </c>
      <c r="BM765" t="s">
        <v>14070</v>
      </c>
      <c r="BN765">
        <v>23402222</v>
      </c>
      <c r="BO765" t="s">
        <v>74</v>
      </c>
      <c r="BP765" t="s">
        <v>74</v>
      </c>
      <c r="BQ765" t="s">
        <v>74</v>
      </c>
      <c r="BR765" t="s">
        <v>105</v>
      </c>
      <c r="BS765" t="s">
        <v>14087</v>
      </c>
      <c r="BT765" t="str">
        <f>HYPERLINK("https%3A%2F%2Fwww.webofscience.com%2Fwos%2Fwoscc%2Ffull-record%2FWOS:000316575800015","View Full Record in Web of Science")</f>
        <v>View Full Record in Web of Science</v>
      </c>
    </row>
    <row r="766" spans="1:72" x14ac:dyDescent="0.15">
      <c r="A766" t="s">
        <v>72</v>
      </c>
      <c r="B766" t="s">
        <v>14088</v>
      </c>
      <c r="C766" t="s">
        <v>74</v>
      </c>
      <c r="D766" t="s">
        <v>74</v>
      </c>
      <c r="E766" t="s">
        <v>74</v>
      </c>
      <c r="F766" t="s">
        <v>14089</v>
      </c>
      <c r="G766" t="s">
        <v>74</v>
      </c>
      <c r="H766" t="s">
        <v>74</v>
      </c>
      <c r="I766" t="s">
        <v>14090</v>
      </c>
      <c r="J766" t="s">
        <v>8034</v>
      </c>
      <c r="K766" t="s">
        <v>74</v>
      </c>
      <c r="L766" t="s">
        <v>74</v>
      </c>
      <c r="M766" t="s">
        <v>78</v>
      </c>
      <c r="N766" t="s">
        <v>79</v>
      </c>
      <c r="O766" t="s">
        <v>74</v>
      </c>
      <c r="P766" t="s">
        <v>74</v>
      </c>
      <c r="Q766" t="s">
        <v>74</v>
      </c>
      <c r="R766" t="s">
        <v>74</v>
      </c>
      <c r="S766" t="s">
        <v>74</v>
      </c>
      <c r="T766" t="s">
        <v>74</v>
      </c>
      <c r="U766" t="s">
        <v>14091</v>
      </c>
      <c r="V766" t="s">
        <v>14092</v>
      </c>
      <c r="W766" t="s">
        <v>14093</v>
      </c>
      <c r="X766" t="s">
        <v>14094</v>
      </c>
      <c r="Y766" t="s">
        <v>14095</v>
      </c>
      <c r="Z766" t="s">
        <v>14096</v>
      </c>
      <c r="AA766" t="s">
        <v>14097</v>
      </c>
      <c r="AB766" t="s">
        <v>14098</v>
      </c>
      <c r="AC766" t="s">
        <v>14099</v>
      </c>
      <c r="AD766" t="s">
        <v>14100</v>
      </c>
      <c r="AE766" t="s">
        <v>14101</v>
      </c>
      <c r="AF766" t="s">
        <v>74</v>
      </c>
      <c r="AG766">
        <v>26</v>
      </c>
      <c r="AH766">
        <v>163</v>
      </c>
      <c r="AI766">
        <v>167</v>
      </c>
      <c r="AJ766">
        <v>3</v>
      </c>
      <c r="AK766">
        <v>48</v>
      </c>
      <c r="AL766" t="s">
        <v>670</v>
      </c>
      <c r="AM766" t="s">
        <v>643</v>
      </c>
      <c r="AN766" t="s">
        <v>671</v>
      </c>
      <c r="AO766" t="s">
        <v>8046</v>
      </c>
      <c r="AP766" t="s">
        <v>74</v>
      </c>
      <c r="AQ766" t="s">
        <v>74</v>
      </c>
      <c r="AR766" t="s">
        <v>8047</v>
      </c>
      <c r="AS766" t="s">
        <v>8048</v>
      </c>
      <c r="AT766" t="s">
        <v>11820</v>
      </c>
      <c r="AU766">
        <v>2013</v>
      </c>
      <c r="AV766">
        <v>4</v>
      </c>
      <c r="AW766" t="s">
        <v>74</v>
      </c>
      <c r="AX766" t="s">
        <v>74</v>
      </c>
      <c r="AY766" t="s">
        <v>74</v>
      </c>
      <c r="AZ766" t="s">
        <v>74</v>
      </c>
      <c r="BA766" t="s">
        <v>74</v>
      </c>
      <c r="BB766" t="s">
        <v>74</v>
      </c>
      <c r="BC766" t="s">
        <v>74</v>
      </c>
      <c r="BD766">
        <v>1748</v>
      </c>
      <c r="BE766" t="s">
        <v>14102</v>
      </c>
      <c r="BF766" t="str">
        <f>HYPERLINK("http://dx.doi.org/10.1038/ncomms2783","http://dx.doi.org/10.1038/ncomms2783")</f>
        <v>http://dx.doi.org/10.1038/ncomms2783</v>
      </c>
      <c r="BG766" t="s">
        <v>74</v>
      </c>
      <c r="BH766" t="s">
        <v>74</v>
      </c>
      <c r="BI766">
        <v>5</v>
      </c>
      <c r="BJ766" t="s">
        <v>1880</v>
      </c>
      <c r="BK766" t="s">
        <v>102</v>
      </c>
      <c r="BL766" t="s">
        <v>1881</v>
      </c>
      <c r="BM766" t="s">
        <v>14103</v>
      </c>
      <c r="BN766">
        <v>23612289</v>
      </c>
      <c r="BO766" t="s">
        <v>104</v>
      </c>
      <c r="BP766" t="s">
        <v>74</v>
      </c>
      <c r="BQ766" t="s">
        <v>74</v>
      </c>
      <c r="BR766" t="s">
        <v>105</v>
      </c>
      <c r="BS766" t="s">
        <v>14104</v>
      </c>
      <c r="BT766" t="str">
        <f>HYPERLINK("https%3A%2F%2Fwww.webofscience.com%2Fwos%2Fwoscc%2Ffull-record%2FWOS:000318872100105","View Full Record in Web of Science")</f>
        <v>View Full Record in Web of Science</v>
      </c>
    </row>
    <row r="767" spans="1:72" x14ac:dyDescent="0.15">
      <c r="A767" t="s">
        <v>72</v>
      </c>
      <c r="B767" t="s">
        <v>14105</v>
      </c>
      <c r="C767" t="s">
        <v>74</v>
      </c>
      <c r="D767" t="s">
        <v>74</v>
      </c>
      <c r="E767" t="s">
        <v>74</v>
      </c>
      <c r="F767" t="s">
        <v>14106</v>
      </c>
      <c r="G767" t="s">
        <v>74</v>
      </c>
      <c r="H767" t="s">
        <v>74</v>
      </c>
      <c r="I767" t="s">
        <v>14107</v>
      </c>
      <c r="J767" t="s">
        <v>1909</v>
      </c>
      <c r="K767" t="s">
        <v>74</v>
      </c>
      <c r="L767" t="s">
        <v>74</v>
      </c>
      <c r="M767" t="s">
        <v>78</v>
      </c>
      <c r="N767" t="s">
        <v>79</v>
      </c>
      <c r="O767" t="s">
        <v>74</v>
      </c>
      <c r="P767" t="s">
        <v>74</v>
      </c>
      <c r="Q767" t="s">
        <v>74</v>
      </c>
      <c r="R767" t="s">
        <v>74</v>
      </c>
      <c r="S767" t="s">
        <v>74</v>
      </c>
      <c r="T767" t="s">
        <v>14108</v>
      </c>
      <c r="U767" t="s">
        <v>14109</v>
      </c>
      <c r="V767" t="s">
        <v>14110</v>
      </c>
      <c r="W767" t="s">
        <v>14111</v>
      </c>
      <c r="X767" t="s">
        <v>14112</v>
      </c>
      <c r="Y767" t="s">
        <v>14113</v>
      </c>
      <c r="Z767" t="s">
        <v>14114</v>
      </c>
      <c r="AA767" t="s">
        <v>14115</v>
      </c>
      <c r="AB767" t="s">
        <v>14116</v>
      </c>
      <c r="AC767" t="s">
        <v>14117</v>
      </c>
      <c r="AD767" t="s">
        <v>14118</v>
      </c>
      <c r="AE767" t="s">
        <v>14119</v>
      </c>
      <c r="AF767" t="s">
        <v>74</v>
      </c>
      <c r="AG767">
        <v>26</v>
      </c>
      <c r="AH767">
        <v>16</v>
      </c>
      <c r="AI767">
        <v>19</v>
      </c>
      <c r="AJ767">
        <v>0</v>
      </c>
      <c r="AK767">
        <v>16</v>
      </c>
      <c r="AL767" t="s">
        <v>1515</v>
      </c>
      <c r="AM767" t="s">
        <v>442</v>
      </c>
      <c r="AN767" t="s">
        <v>1516</v>
      </c>
      <c r="AO767" t="s">
        <v>1922</v>
      </c>
      <c r="AP767" t="s">
        <v>1923</v>
      </c>
      <c r="AQ767" t="s">
        <v>74</v>
      </c>
      <c r="AR767" t="s">
        <v>1924</v>
      </c>
      <c r="AS767" t="s">
        <v>1925</v>
      </c>
      <c r="AT767" t="s">
        <v>11820</v>
      </c>
      <c r="AU767">
        <v>2013</v>
      </c>
      <c r="AV767">
        <v>64</v>
      </c>
      <c r="AW767" t="s">
        <v>74</v>
      </c>
      <c r="AX767" t="s">
        <v>74</v>
      </c>
      <c r="AY767" t="s">
        <v>74</v>
      </c>
      <c r="AZ767" t="s">
        <v>74</v>
      </c>
      <c r="BA767" t="s">
        <v>74</v>
      </c>
      <c r="BB767">
        <v>46</v>
      </c>
      <c r="BC767">
        <v>55</v>
      </c>
      <c r="BD767" t="s">
        <v>74</v>
      </c>
      <c r="BE767" t="s">
        <v>14120</v>
      </c>
      <c r="BF767" t="str">
        <f>HYPERLINK("http://dx.doi.org/10.1016/j.ocemod.2013.01.005","http://dx.doi.org/10.1016/j.ocemod.2013.01.005")</f>
        <v>http://dx.doi.org/10.1016/j.ocemod.2013.01.005</v>
      </c>
      <c r="BG767" t="s">
        <v>74</v>
      </c>
      <c r="BH767" t="s">
        <v>74</v>
      </c>
      <c r="BI767">
        <v>10</v>
      </c>
      <c r="BJ767" t="s">
        <v>1927</v>
      </c>
      <c r="BK767" t="s">
        <v>102</v>
      </c>
      <c r="BL767" t="s">
        <v>1927</v>
      </c>
      <c r="BM767" t="s">
        <v>14121</v>
      </c>
      <c r="BN767" t="s">
        <v>74</v>
      </c>
      <c r="BO767" t="s">
        <v>74</v>
      </c>
      <c r="BP767" t="s">
        <v>74</v>
      </c>
      <c r="BQ767" t="s">
        <v>74</v>
      </c>
      <c r="BR767" t="s">
        <v>105</v>
      </c>
      <c r="BS767" t="s">
        <v>14122</v>
      </c>
      <c r="BT767" t="str">
        <f>HYPERLINK("https%3A%2F%2Fwww.webofscience.com%2Fwos%2Fwoscc%2Ffull-record%2FWOS:000316193600004","View Full Record in Web of Science")</f>
        <v>View Full Record in Web of Science</v>
      </c>
    </row>
    <row r="768" spans="1:72" x14ac:dyDescent="0.15">
      <c r="A768" t="s">
        <v>72</v>
      </c>
      <c r="B768" t="s">
        <v>14123</v>
      </c>
      <c r="C768" t="s">
        <v>74</v>
      </c>
      <c r="D768" t="s">
        <v>74</v>
      </c>
      <c r="E768" t="s">
        <v>74</v>
      </c>
      <c r="F768" t="s">
        <v>14124</v>
      </c>
      <c r="G768" t="s">
        <v>74</v>
      </c>
      <c r="H768" t="s">
        <v>74</v>
      </c>
      <c r="I768" t="s">
        <v>14125</v>
      </c>
      <c r="J768" t="s">
        <v>1909</v>
      </c>
      <c r="K768" t="s">
        <v>74</v>
      </c>
      <c r="L768" t="s">
        <v>74</v>
      </c>
      <c r="M768" t="s">
        <v>78</v>
      </c>
      <c r="N768" t="s">
        <v>79</v>
      </c>
      <c r="O768" t="s">
        <v>74</v>
      </c>
      <c r="P768" t="s">
        <v>74</v>
      </c>
      <c r="Q768" t="s">
        <v>74</v>
      </c>
      <c r="R768" t="s">
        <v>74</v>
      </c>
      <c r="S768" t="s">
        <v>74</v>
      </c>
      <c r="T768" t="s">
        <v>14126</v>
      </c>
      <c r="U768" t="s">
        <v>14127</v>
      </c>
      <c r="V768" t="s">
        <v>14128</v>
      </c>
      <c r="W768" t="s">
        <v>14129</v>
      </c>
      <c r="X768" t="s">
        <v>14130</v>
      </c>
      <c r="Y768" t="s">
        <v>14131</v>
      </c>
      <c r="Z768" t="s">
        <v>14132</v>
      </c>
      <c r="AA768" t="s">
        <v>14133</v>
      </c>
      <c r="AB768" t="s">
        <v>14134</v>
      </c>
      <c r="AC768" t="s">
        <v>14135</v>
      </c>
      <c r="AD768" t="s">
        <v>14136</v>
      </c>
      <c r="AE768" t="s">
        <v>14137</v>
      </c>
      <c r="AF768" t="s">
        <v>74</v>
      </c>
      <c r="AG768">
        <v>69</v>
      </c>
      <c r="AH768">
        <v>66</v>
      </c>
      <c r="AI768">
        <v>68</v>
      </c>
      <c r="AJ768">
        <v>3</v>
      </c>
      <c r="AK768">
        <v>55</v>
      </c>
      <c r="AL768" t="s">
        <v>1515</v>
      </c>
      <c r="AM768" t="s">
        <v>442</v>
      </c>
      <c r="AN768" t="s">
        <v>1516</v>
      </c>
      <c r="AO768" t="s">
        <v>1922</v>
      </c>
      <c r="AP768" t="s">
        <v>1923</v>
      </c>
      <c r="AQ768" t="s">
        <v>74</v>
      </c>
      <c r="AR768" t="s">
        <v>1924</v>
      </c>
      <c r="AS768" t="s">
        <v>1925</v>
      </c>
      <c r="AT768" t="s">
        <v>11820</v>
      </c>
      <c r="AU768">
        <v>2013</v>
      </c>
      <c r="AV768">
        <v>64</v>
      </c>
      <c r="AW768" t="s">
        <v>74</v>
      </c>
      <c r="AX768" t="s">
        <v>74</v>
      </c>
      <c r="AY768" t="s">
        <v>74</v>
      </c>
      <c r="AZ768" t="s">
        <v>74</v>
      </c>
      <c r="BA768" t="s">
        <v>74</v>
      </c>
      <c r="BB768">
        <v>67</v>
      </c>
      <c r="BC768">
        <v>75</v>
      </c>
      <c r="BD768" t="s">
        <v>74</v>
      </c>
      <c r="BE768" t="s">
        <v>14138</v>
      </c>
      <c r="BF768" t="str">
        <f>HYPERLINK("http://dx.doi.org/10.1016/j.ocemod.2013.01.003","http://dx.doi.org/10.1016/j.ocemod.2013.01.003")</f>
        <v>http://dx.doi.org/10.1016/j.ocemod.2013.01.003</v>
      </c>
      <c r="BG768" t="s">
        <v>74</v>
      </c>
      <c r="BH768" t="s">
        <v>74</v>
      </c>
      <c r="BI768">
        <v>9</v>
      </c>
      <c r="BJ768" t="s">
        <v>1927</v>
      </c>
      <c r="BK768" t="s">
        <v>102</v>
      </c>
      <c r="BL768" t="s">
        <v>1927</v>
      </c>
      <c r="BM768" t="s">
        <v>14121</v>
      </c>
      <c r="BN768" t="s">
        <v>74</v>
      </c>
      <c r="BO768" t="s">
        <v>1063</v>
      </c>
      <c r="BP768" t="s">
        <v>74</v>
      </c>
      <c r="BQ768" t="s">
        <v>74</v>
      </c>
      <c r="BR768" t="s">
        <v>105</v>
      </c>
      <c r="BS768" t="s">
        <v>14139</v>
      </c>
      <c r="BT768" t="str">
        <f>HYPERLINK("https%3A%2F%2Fwww.webofscience.com%2Fwos%2Fwoscc%2Ffull-record%2FWOS:000316193600006","View Full Record in Web of Science")</f>
        <v>View Full Record in Web of Science</v>
      </c>
    </row>
    <row r="769" spans="1:72" x14ac:dyDescent="0.15">
      <c r="A769" t="s">
        <v>72</v>
      </c>
      <c r="B769" t="s">
        <v>14140</v>
      </c>
      <c r="C769" t="s">
        <v>74</v>
      </c>
      <c r="D769" t="s">
        <v>74</v>
      </c>
      <c r="E769" t="s">
        <v>74</v>
      </c>
      <c r="F769" t="s">
        <v>14141</v>
      </c>
      <c r="G769" t="s">
        <v>74</v>
      </c>
      <c r="H769" t="s">
        <v>74</v>
      </c>
      <c r="I769" t="s">
        <v>14142</v>
      </c>
      <c r="J769" t="s">
        <v>14143</v>
      </c>
      <c r="K769" t="s">
        <v>74</v>
      </c>
      <c r="L769" t="s">
        <v>74</v>
      </c>
      <c r="M769" t="s">
        <v>78</v>
      </c>
      <c r="N769" t="s">
        <v>79</v>
      </c>
      <c r="O769" t="s">
        <v>74</v>
      </c>
      <c r="P769" t="s">
        <v>74</v>
      </c>
      <c r="Q769" t="s">
        <v>74</v>
      </c>
      <c r="R769" t="s">
        <v>74</v>
      </c>
      <c r="S769" t="s">
        <v>74</v>
      </c>
      <c r="T769" t="s">
        <v>14144</v>
      </c>
      <c r="U769" t="s">
        <v>14145</v>
      </c>
      <c r="V769" t="s">
        <v>14146</v>
      </c>
      <c r="W769" t="s">
        <v>14147</v>
      </c>
      <c r="X769" t="s">
        <v>14148</v>
      </c>
      <c r="Y769" t="s">
        <v>14149</v>
      </c>
      <c r="Z769" t="s">
        <v>14150</v>
      </c>
      <c r="AA769" t="s">
        <v>14151</v>
      </c>
      <c r="AB769" t="s">
        <v>14152</v>
      </c>
      <c r="AC769" t="s">
        <v>14148</v>
      </c>
      <c r="AD769" t="s">
        <v>14148</v>
      </c>
      <c r="AE769" t="s">
        <v>14153</v>
      </c>
      <c r="AF769" t="s">
        <v>74</v>
      </c>
      <c r="AG769">
        <v>47</v>
      </c>
      <c r="AH769">
        <v>22</v>
      </c>
      <c r="AI769">
        <v>24</v>
      </c>
      <c r="AJ769">
        <v>1</v>
      </c>
      <c r="AK769">
        <v>52</v>
      </c>
      <c r="AL769" t="s">
        <v>390</v>
      </c>
      <c r="AM769" t="s">
        <v>391</v>
      </c>
      <c r="AN769" t="s">
        <v>392</v>
      </c>
      <c r="AO769" t="s">
        <v>14154</v>
      </c>
      <c r="AP769" t="s">
        <v>14155</v>
      </c>
      <c r="AQ769" t="s">
        <v>74</v>
      </c>
      <c r="AR769" t="s">
        <v>14143</v>
      </c>
      <c r="AS769" t="s">
        <v>5794</v>
      </c>
      <c r="AT769" t="s">
        <v>11820</v>
      </c>
      <c r="AU769">
        <v>2013</v>
      </c>
      <c r="AV769">
        <v>140</v>
      </c>
      <c r="AW769">
        <v>5</v>
      </c>
      <c r="AX769" t="s">
        <v>74</v>
      </c>
      <c r="AY769" t="s">
        <v>74</v>
      </c>
      <c r="AZ769" t="s">
        <v>74</v>
      </c>
      <c r="BA769" t="s">
        <v>74</v>
      </c>
      <c r="BB769">
        <v>672</v>
      </c>
      <c r="BC769">
        <v>682</v>
      </c>
      <c r="BD769" t="s">
        <v>74</v>
      </c>
      <c r="BE769" t="s">
        <v>14156</v>
      </c>
      <c r="BF769" t="str">
        <f>HYPERLINK("http://dx.doi.org/10.1017/S0031182012002089","http://dx.doi.org/10.1017/S0031182012002089")</f>
        <v>http://dx.doi.org/10.1017/S0031182012002089</v>
      </c>
      <c r="BG769" t="s">
        <v>74</v>
      </c>
      <c r="BH769" t="s">
        <v>74</v>
      </c>
      <c r="BI769">
        <v>11</v>
      </c>
      <c r="BJ769" t="s">
        <v>5794</v>
      </c>
      <c r="BK769" t="s">
        <v>102</v>
      </c>
      <c r="BL769" t="s">
        <v>5794</v>
      </c>
      <c r="BM769" t="s">
        <v>14157</v>
      </c>
      <c r="BN769">
        <v>23361092</v>
      </c>
      <c r="BO769" t="s">
        <v>74</v>
      </c>
      <c r="BP769" t="s">
        <v>74</v>
      </c>
      <c r="BQ769" t="s">
        <v>74</v>
      </c>
      <c r="BR769" t="s">
        <v>105</v>
      </c>
      <c r="BS769" t="s">
        <v>14158</v>
      </c>
      <c r="BT769" t="str">
        <f>HYPERLINK("https%3A%2F%2Fwww.webofscience.com%2Fwos%2Fwoscc%2Ffull-record%2FWOS:000316229100013","View Full Record in Web of Science")</f>
        <v>View Full Record in Web of Science</v>
      </c>
    </row>
    <row r="770" spans="1:72" x14ac:dyDescent="0.15">
      <c r="A770" t="s">
        <v>72</v>
      </c>
      <c r="B770" t="s">
        <v>14159</v>
      </c>
      <c r="C770" t="s">
        <v>74</v>
      </c>
      <c r="D770" t="s">
        <v>74</v>
      </c>
      <c r="E770" t="s">
        <v>74</v>
      </c>
      <c r="F770" t="s">
        <v>14160</v>
      </c>
      <c r="G770" t="s">
        <v>74</v>
      </c>
      <c r="H770" t="s">
        <v>74</v>
      </c>
      <c r="I770" t="s">
        <v>14161</v>
      </c>
      <c r="J770" t="s">
        <v>3345</v>
      </c>
      <c r="K770" t="s">
        <v>74</v>
      </c>
      <c r="L770" t="s">
        <v>74</v>
      </c>
      <c r="M770" t="s">
        <v>78</v>
      </c>
      <c r="N770" t="s">
        <v>79</v>
      </c>
      <c r="O770" t="s">
        <v>74</v>
      </c>
      <c r="P770" t="s">
        <v>74</v>
      </c>
      <c r="Q770" t="s">
        <v>74</v>
      </c>
      <c r="R770" t="s">
        <v>74</v>
      </c>
      <c r="S770" t="s">
        <v>74</v>
      </c>
      <c r="T770" t="s">
        <v>14162</v>
      </c>
      <c r="U770" t="s">
        <v>14163</v>
      </c>
      <c r="V770" t="s">
        <v>14164</v>
      </c>
      <c r="W770" t="s">
        <v>14165</v>
      </c>
      <c r="X770" t="s">
        <v>14166</v>
      </c>
      <c r="Y770" t="s">
        <v>14167</v>
      </c>
      <c r="Z770" t="s">
        <v>14168</v>
      </c>
      <c r="AA770" t="s">
        <v>14169</v>
      </c>
      <c r="AB770" t="s">
        <v>14170</v>
      </c>
      <c r="AC770" t="s">
        <v>14171</v>
      </c>
      <c r="AD770" t="s">
        <v>14172</v>
      </c>
      <c r="AE770" t="s">
        <v>14173</v>
      </c>
      <c r="AF770" t="s">
        <v>74</v>
      </c>
      <c r="AG770">
        <v>58</v>
      </c>
      <c r="AH770">
        <v>20</v>
      </c>
      <c r="AI770">
        <v>21</v>
      </c>
      <c r="AJ770">
        <v>0</v>
      </c>
      <c r="AK770">
        <v>45</v>
      </c>
      <c r="AL770" t="s">
        <v>529</v>
      </c>
      <c r="AM770" t="s">
        <v>391</v>
      </c>
      <c r="AN770" t="s">
        <v>530</v>
      </c>
      <c r="AO770" t="s">
        <v>3358</v>
      </c>
      <c r="AP770" t="s">
        <v>3359</v>
      </c>
      <c r="AQ770" t="s">
        <v>74</v>
      </c>
      <c r="AR770" t="s">
        <v>3360</v>
      </c>
      <c r="AS770" t="s">
        <v>3361</v>
      </c>
      <c r="AT770" t="s">
        <v>11820</v>
      </c>
      <c r="AU770">
        <v>2013</v>
      </c>
      <c r="AV770">
        <v>36</v>
      </c>
      <c r="AW770">
        <v>4</v>
      </c>
      <c r="AX770" t="s">
        <v>74</v>
      </c>
      <c r="AY770" t="s">
        <v>74</v>
      </c>
      <c r="AZ770" t="s">
        <v>74</v>
      </c>
      <c r="BA770" t="s">
        <v>74</v>
      </c>
      <c r="BB770">
        <v>579</v>
      </c>
      <c r="BC770">
        <v>592</v>
      </c>
      <c r="BD770" t="s">
        <v>74</v>
      </c>
      <c r="BE770" t="s">
        <v>14174</v>
      </c>
      <c r="BF770" t="str">
        <f>HYPERLINK("http://dx.doi.org/10.1007/s00300-013-1287-7","http://dx.doi.org/10.1007/s00300-013-1287-7")</f>
        <v>http://dx.doi.org/10.1007/s00300-013-1287-7</v>
      </c>
      <c r="BG770" t="s">
        <v>74</v>
      </c>
      <c r="BH770" t="s">
        <v>74</v>
      </c>
      <c r="BI770">
        <v>14</v>
      </c>
      <c r="BJ770" t="s">
        <v>1158</v>
      </c>
      <c r="BK770" t="s">
        <v>102</v>
      </c>
      <c r="BL770" t="s">
        <v>1159</v>
      </c>
      <c r="BM770" t="s">
        <v>13123</v>
      </c>
      <c r="BN770" t="s">
        <v>74</v>
      </c>
      <c r="BO770" t="s">
        <v>1063</v>
      </c>
      <c r="BP770" t="s">
        <v>74</v>
      </c>
      <c r="BQ770" t="s">
        <v>74</v>
      </c>
      <c r="BR770" t="s">
        <v>105</v>
      </c>
      <c r="BS770" t="s">
        <v>14175</v>
      </c>
      <c r="BT770" t="str">
        <f>HYPERLINK("https%3A%2F%2Fwww.webofscience.com%2Fwos%2Fwoscc%2Ffull-record%2FWOS:000316331600010","View Full Record in Web of Science")</f>
        <v>View Full Record in Web of Science</v>
      </c>
    </row>
    <row r="771" spans="1:72" x14ac:dyDescent="0.15">
      <c r="A771" t="s">
        <v>72</v>
      </c>
      <c r="B771" t="s">
        <v>14176</v>
      </c>
      <c r="C771" t="s">
        <v>74</v>
      </c>
      <c r="D771" t="s">
        <v>74</v>
      </c>
      <c r="E771" t="s">
        <v>74</v>
      </c>
      <c r="F771" t="s">
        <v>14177</v>
      </c>
      <c r="G771" t="s">
        <v>74</v>
      </c>
      <c r="H771" t="s">
        <v>74</v>
      </c>
      <c r="I771" t="s">
        <v>14178</v>
      </c>
      <c r="J771" t="s">
        <v>3345</v>
      </c>
      <c r="K771" t="s">
        <v>74</v>
      </c>
      <c r="L771" t="s">
        <v>74</v>
      </c>
      <c r="M771" t="s">
        <v>78</v>
      </c>
      <c r="N771" t="s">
        <v>79</v>
      </c>
      <c r="O771" t="s">
        <v>74</v>
      </c>
      <c r="P771" t="s">
        <v>74</v>
      </c>
      <c r="Q771" t="s">
        <v>74</v>
      </c>
      <c r="R771" t="s">
        <v>74</v>
      </c>
      <c r="S771" t="s">
        <v>74</v>
      </c>
      <c r="T771" t="s">
        <v>14179</v>
      </c>
      <c r="U771" t="s">
        <v>14180</v>
      </c>
      <c r="V771" t="s">
        <v>14181</v>
      </c>
      <c r="W771" t="s">
        <v>14182</v>
      </c>
      <c r="X771" t="s">
        <v>14183</v>
      </c>
      <c r="Y771" t="s">
        <v>14184</v>
      </c>
      <c r="Z771" t="s">
        <v>14185</v>
      </c>
      <c r="AA771" t="s">
        <v>14186</v>
      </c>
      <c r="AB771" t="s">
        <v>14187</v>
      </c>
      <c r="AC771" t="s">
        <v>14188</v>
      </c>
      <c r="AD771" t="s">
        <v>14189</v>
      </c>
      <c r="AE771" t="s">
        <v>14190</v>
      </c>
      <c r="AF771" t="s">
        <v>74</v>
      </c>
      <c r="AG771">
        <v>22</v>
      </c>
      <c r="AH771">
        <v>17</v>
      </c>
      <c r="AI771">
        <v>20</v>
      </c>
      <c r="AJ771">
        <v>0</v>
      </c>
      <c r="AK771">
        <v>21</v>
      </c>
      <c r="AL771" t="s">
        <v>529</v>
      </c>
      <c r="AM771" t="s">
        <v>391</v>
      </c>
      <c r="AN771" t="s">
        <v>530</v>
      </c>
      <c r="AO771" t="s">
        <v>3358</v>
      </c>
      <c r="AP771" t="s">
        <v>74</v>
      </c>
      <c r="AQ771" t="s">
        <v>74</v>
      </c>
      <c r="AR771" t="s">
        <v>3360</v>
      </c>
      <c r="AS771" t="s">
        <v>3361</v>
      </c>
      <c r="AT771" t="s">
        <v>11820</v>
      </c>
      <c r="AU771">
        <v>2013</v>
      </c>
      <c r="AV771">
        <v>36</v>
      </c>
      <c r="AW771">
        <v>4</v>
      </c>
      <c r="AX771" t="s">
        <v>74</v>
      </c>
      <c r="AY771" t="s">
        <v>74</v>
      </c>
      <c r="AZ771" t="s">
        <v>74</v>
      </c>
      <c r="BA771" t="s">
        <v>74</v>
      </c>
      <c r="BB771">
        <v>603</v>
      </c>
      <c r="BC771">
        <v>606</v>
      </c>
      <c r="BD771" t="s">
        <v>74</v>
      </c>
      <c r="BE771" t="s">
        <v>14191</v>
      </c>
      <c r="BF771" t="str">
        <f>HYPERLINK("http://dx.doi.org/10.1007/s00300-012-1277-1","http://dx.doi.org/10.1007/s00300-012-1277-1")</f>
        <v>http://dx.doi.org/10.1007/s00300-012-1277-1</v>
      </c>
      <c r="BG771" t="s">
        <v>74</v>
      </c>
      <c r="BH771" t="s">
        <v>74</v>
      </c>
      <c r="BI771">
        <v>4</v>
      </c>
      <c r="BJ771" t="s">
        <v>1158</v>
      </c>
      <c r="BK771" t="s">
        <v>102</v>
      </c>
      <c r="BL771" t="s">
        <v>1159</v>
      </c>
      <c r="BM771" t="s">
        <v>13123</v>
      </c>
      <c r="BN771" t="s">
        <v>74</v>
      </c>
      <c r="BO771" t="s">
        <v>74</v>
      </c>
      <c r="BP771" t="s">
        <v>74</v>
      </c>
      <c r="BQ771" t="s">
        <v>74</v>
      </c>
      <c r="BR771" t="s">
        <v>105</v>
      </c>
      <c r="BS771" t="s">
        <v>14192</v>
      </c>
      <c r="BT771" t="str">
        <f>HYPERLINK("https%3A%2F%2Fwww.webofscience.com%2Fwos%2Fwoscc%2Ffull-record%2FWOS:000316331600012","View Full Record in Web of Science")</f>
        <v>View Full Record in Web of Science</v>
      </c>
    </row>
    <row r="772" spans="1:72" x14ac:dyDescent="0.15">
      <c r="A772" t="s">
        <v>72</v>
      </c>
      <c r="B772" t="s">
        <v>14193</v>
      </c>
      <c r="C772" t="s">
        <v>74</v>
      </c>
      <c r="D772" t="s">
        <v>74</v>
      </c>
      <c r="E772" t="s">
        <v>74</v>
      </c>
      <c r="F772" t="s">
        <v>14194</v>
      </c>
      <c r="G772" t="s">
        <v>74</v>
      </c>
      <c r="H772" t="s">
        <v>74</v>
      </c>
      <c r="I772" t="s">
        <v>14195</v>
      </c>
      <c r="J772" t="s">
        <v>3234</v>
      </c>
      <c r="K772" t="s">
        <v>74</v>
      </c>
      <c r="L772" t="s">
        <v>74</v>
      </c>
      <c r="M772" t="s">
        <v>78</v>
      </c>
      <c r="N772" t="s">
        <v>79</v>
      </c>
      <c r="O772" t="s">
        <v>74</v>
      </c>
      <c r="P772" t="s">
        <v>74</v>
      </c>
      <c r="Q772" t="s">
        <v>74</v>
      </c>
      <c r="R772" t="s">
        <v>74</v>
      </c>
      <c r="S772" t="s">
        <v>74</v>
      </c>
      <c r="T772" t="s">
        <v>74</v>
      </c>
      <c r="U772" t="s">
        <v>14196</v>
      </c>
      <c r="V772" t="s">
        <v>14197</v>
      </c>
      <c r="W772" t="s">
        <v>14198</v>
      </c>
      <c r="X772" t="s">
        <v>14199</v>
      </c>
      <c r="Y772" t="s">
        <v>14200</v>
      </c>
      <c r="Z772" t="s">
        <v>14201</v>
      </c>
      <c r="AA772" t="s">
        <v>74</v>
      </c>
      <c r="AB772" t="s">
        <v>14202</v>
      </c>
      <c r="AC772" t="s">
        <v>74</v>
      </c>
      <c r="AD772" t="s">
        <v>74</v>
      </c>
      <c r="AE772" t="s">
        <v>74</v>
      </c>
      <c r="AF772" t="s">
        <v>74</v>
      </c>
      <c r="AG772">
        <v>85</v>
      </c>
      <c r="AH772">
        <v>31</v>
      </c>
      <c r="AI772">
        <v>31</v>
      </c>
      <c r="AJ772">
        <v>1</v>
      </c>
      <c r="AK772">
        <v>67</v>
      </c>
      <c r="AL772" t="s">
        <v>390</v>
      </c>
      <c r="AM772" t="s">
        <v>391</v>
      </c>
      <c r="AN772" t="s">
        <v>392</v>
      </c>
      <c r="AO772" t="s">
        <v>3241</v>
      </c>
      <c r="AP772" t="s">
        <v>3242</v>
      </c>
      <c r="AQ772" t="s">
        <v>74</v>
      </c>
      <c r="AR772" t="s">
        <v>3243</v>
      </c>
      <c r="AS772" t="s">
        <v>3244</v>
      </c>
      <c r="AT772" t="s">
        <v>11820</v>
      </c>
      <c r="AU772">
        <v>2013</v>
      </c>
      <c r="AV772">
        <v>49</v>
      </c>
      <c r="AW772">
        <v>249</v>
      </c>
      <c r="AX772" t="s">
        <v>74</v>
      </c>
      <c r="AY772" t="s">
        <v>74</v>
      </c>
      <c r="AZ772" t="s">
        <v>74</v>
      </c>
      <c r="BA772" t="s">
        <v>74</v>
      </c>
      <c r="BB772">
        <v>97</v>
      </c>
      <c r="BC772">
        <v>109</v>
      </c>
      <c r="BD772" t="s">
        <v>74</v>
      </c>
      <c r="BE772" t="s">
        <v>14203</v>
      </c>
      <c r="BF772" t="str">
        <f>HYPERLINK("http://dx.doi.org/10.1017/S0032247411000763","http://dx.doi.org/10.1017/S0032247411000763")</f>
        <v>http://dx.doi.org/10.1017/S0032247411000763</v>
      </c>
      <c r="BG772" t="s">
        <v>74</v>
      </c>
      <c r="BH772" t="s">
        <v>74</v>
      </c>
      <c r="BI772">
        <v>13</v>
      </c>
      <c r="BJ772" t="s">
        <v>261</v>
      </c>
      <c r="BK772" t="s">
        <v>102</v>
      </c>
      <c r="BL772" t="s">
        <v>262</v>
      </c>
      <c r="BM772" t="s">
        <v>13188</v>
      </c>
      <c r="BN772" t="s">
        <v>74</v>
      </c>
      <c r="BO772" t="s">
        <v>74</v>
      </c>
      <c r="BP772" t="s">
        <v>74</v>
      </c>
      <c r="BQ772" t="s">
        <v>74</v>
      </c>
      <c r="BR772" t="s">
        <v>105</v>
      </c>
      <c r="BS772" t="s">
        <v>14204</v>
      </c>
      <c r="BT772" t="str">
        <f>HYPERLINK("https%3A%2F%2Fwww.webofscience.com%2Fwos%2Fwoscc%2Ffull-record%2FWOS:000316068900002","View Full Record in Web of Science")</f>
        <v>View Full Record in Web of Science</v>
      </c>
    </row>
    <row r="773" spans="1:72" x14ac:dyDescent="0.15">
      <c r="A773" t="s">
        <v>72</v>
      </c>
      <c r="B773" t="s">
        <v>14205</v>
      </c>
      <c r="C773" t="s">
        <v>74</v>
      </c>
      <c r="D773" t="s">
        <v>74</v>
      </c>
      <c r="E773" t="s">
        <v>74</v>
      </c>
      <c r="F773" t="s">
        <v>14206</v>
      </c>
      <c r="G773" t="s">
        <v>74</v>
      </c>
      <c r="H773" t="s">
        <v>74</v>
      </c>
      <c r="I773" t="s">
        <v>14207</v>
      </c>
      <c r="J773" t="s">
        <v>14208</v>
      </c>
      <c r="K773" t="s">
        <v>74</v>
      </c>
      <c r="L773" t="s">
        <v>74</v>
      </c>
      <c r="M773" t="s">
        <v>78</v>
      </c>
      <c r="N773" t="s">
        <v>79</v>
      </c>
      <c r="O773" t="s">
        <v>74</v>
      </c>
      <c r="P773" t="s">
        <v>74</v>
      </c>
      <c r="Q773" t="s">
        <v>74</v>
      </c>
      <c r="R773" t="s">
        <v>74</v>
      </c>
      <c r="S773" t="s">
        <v>74</v>
      </c>
      <c r="T773" t="s">
        <v>14209</v>
      </c>
      <c r="U773" t="s">
        <v>14210</v>
      </c>
      <c r="V773" t="s">
        <v>14211</v>
      </c>
      <c r="W773" t="s">
        <v>14212</v>
      </c>
      <c r="X773" t="s">
        <v>14213</v>
      </c>
      <c r="Y773" t="s">
        <v>14214</v>
      </c>
      <c r="Z773" t="s">
        <v>14215</v>
      </c>
      <c r="AA773" t="s">
        <v>14216</v>
      </c>
      <c r="AB773" t="s">
        <v>14217</v>
      </c>
      <c r="AC773" t="s">
        <v>74</v>
      </c>
      <c r="AD773" t="s">
        <v>74</v>
      </c>
      <c r="AE773" t="s">
        <v>74</v>
      </c>
      <c r="AF773" t="s">
        <v>74</v>
      </c>
      <c r="AG773">
        <v>24</v>
      </c>
      <c r="AH773">
        <v>4</v>
      </c>
      <c r="AI773">
        <v>6</v>
      </c>
      <c r="AJ773">
        <v>2</v>
      </c>
      <c r="AK773">
        <v>99</v>
      </c>
      <c r="AL773" t="s">
        <v>14218</v>
      </c>
      <c r="AM773" t="s">
        <v>14219</v>
      </c>
      <c r="AN773" t="s">
        <v>14220</v>
      </c>
      <c r="AO773" t="s">
        <v>14221</v>
      </c>
      <c r="AP773" t="s">
        <v>14222</v>
      </c>
      <c r="AQ773" t="s">
        <v>74</v>
      </c>
      <c r="AR773" t="s">
        <v>14223</v>
      </c>
      <c r="AS773" t="s">
        <v>14224</v>
      </c>
      <c r="AT773" t="s">
        <v>11820</v>
      </c>
      <c r="AU773">
        <v>2013</v>
      </c>
      <c r="AV773">
        <v>43</v>
      </c>
      <c r="AW773">
        <v>1</v>
      </c>
      <c r="AX773" t="s">
        <v>74</v>
      </c>
      <c r="AY773" t="s">
        <v>74</v>
      </c>
      <c r="AZ773" t="s">
        <v>74</v>
      </c>
      <c r="BA773" t="s">
        <v>74</v>
      </c>
      <c r="BB773">
        <v>84</v>
      </c>
      <c r="BC773">
        <v>86</v>
      </c>
      <c r="BD773" t="s">
        <v>74</v>
      </c>
      <c r="BE773" t="s">
        <v>14225</v>
      </c>
      <c r="BF773" t="str">
        <f>HYPERLINK("http://dx.doi.org/10.3957/056.043.0101","http://dx.doi.org/10.3957/056.043.0101")</f>
        <v>http://dx.doi.org/10.3957/056.043.0101</v>
      </c>
      <c r="BG773" t="s">
        <v>74</v>
      </c>
      <c r="BH773" t="s">
        <v>74</v>
      </c>
      <c r="BI773">
        <v>3</v>
      </c>
      <c r="BJ773" t="s">
        <v>3860</v>
      </c>
      <c r="BK773" t="s">
        <v>102</v>
      </c>
      <c r="BL773" t="s">
        <v>3861</v>
      </c>
      <c r="BM773" t="s">
        <v>14226</v>
      </c>
      <c r="BN773" t="s">
        <v>74</v>
      </c>
      <c r="BO773" t="s">
        <v>74</v>
      </c>
      <c r="BP773" t="s">
        <v>74</v>
      </c>
      <c r="BQ773" t="s">
        <v>74</v>
      </c>
      <c r="BR773" t="s">
        <v>105</v>
      </c>
      <c r="BS773" t="s">
        <v>14227</v>
      </c>
      <c r="BT773" t="str">
        <f>HYPERLINK("https%3A%2F%2Fwww.webofscience.com%2Fwos%2Fwoscc%2Ffull-record%2FWOS:000321679100011","View Full Record in Web of Science")</f>
        <v>View Full Record in Web of Science</v>
      </c>
    </row>
    <row r="774" spans="1:72" x14ac:dyDescent="0.15">
      <c r="A774" t="s">
        <v>72</v>
      </c>
      <c r="B774" t="s">
        <v>14228</v>
      </c>
      <c r="C774" t="s">
        <v>74</v>
      </c>
      <c r="D774" t="s">
        <v>74</v>
      </c>
      <c r="E774" t="s">
        <v>74</v>
      </c>
      <c r="F774" t="s">
        <v>14229</v>
      </c>
      <c r="G774" t="s">
        <v>74</v>
      </c>
      <c r="H774" t="s">
        <v>74</v>
      </c>
      <c r="I774" t="s">
        <v>14230</v>
      </c>
      <c r="J774" t="s">
        <v>14231</v>
      </c>
      <c r="K774" t="s">
        <v>74</v>
      </c>
      <c r="L774" t="s">
        <v>74</v>
      </c>
      <c r="M774" t="s">
        <v>78</v>
      </c>
      <c r="N774" t="s">
        <v>79</v>
      </c>
      <c r="O774" t="s">
        <v>74</v>
      </c>
      <c r="P774" t="s">
        <v>74</v>
      </c>
      <c r="Q774" t="s">
        <v>74</v>
      </c>
      <c r="R774" t="s">
        <v>74</v>
      </c>
      <c r="S774" t="s">
        <v>74</v>
      </c>
      <c r="T774" t="s">
        <v>74</v>
      </c>
      <c r="U774" t="s">
        <v>14232</v>
      </c>
      <c r="V774" t="s">
        <v>14233</v>
      </c>
      <c r="W774" t="s">
        <v>14234</v>
      </c>
      <c r="X774" t="s">
        <v>1300</v>
      </c>
      <c r="Y774" t="s">
        <v>14235</v>
      </c>
      <c r="Z774" t="s">
        <v>14236</v>
      </c>
      <c r="AA774" t="s">
        <v>14237</v>
      </c>
      <c r="AB774" t="s">
        <v>14238</v>
      </c>
      <c r="AC774" t="s">
        <v>14239</v>
      </c>
      <c r="AD774" t="s">
        <v>14240</v>
      </c>
      <c r="AE774" t="s">
        <v>14241</v>
      </c>
      <c r="AF774" t="s">
        <v>74</v>
      </c>
      <c r="AG774">
        <v>83</v>
      </c>
      <c r="AH774">
        <v>139</v>
      </c>
      <c r="AI774">
        <v>149</v>
      </c>
      <c r="AJ774">
        <v>0</v>
      </c>
      <c r="AK774">
        <v>27</v>
      </c>
      <c r="AL774" t="s">
        <v>92</v>
      </c>
      <c r="AM774" t="s">
        <v>93</v>
      </c>
      <c r="AN774" t="s">
        <v>94</v>
      </c>
      <c r="AO774" t="s">
        <v>74</v>
      </c>
      <c r="AP774" t="s">
        <v>14242</v>
      </c>
      <c r="AQ774" t="s">
        <v>74</v>
      </c>
      <c r="AR774" t="s">
        <v>14243</v>
      </c>
      <c r="AS774" t="s">
        <v>14244</v>
      </c>
      <c r="AT774" t="s">
        <v>11820</v>
      </c>
      <c r="AU774">
        <v>2013</v>
      </c>
      <c r="AV774">
        <v>11</v>
      </c>
      <c r="AW774">
        <v>4</v>
      </c>
      <c r="AX774" t="s">
        <v>74</v>
      </c>
      <c r="AY774" t="s">
        <v>74</v>
      </c>
      <c r="AZ774" t="s">
        <v>74</v>
      </c>
      <c r="BA774" t="s">
        <v>74</v>
      </c>
      <c r="BB774">
        <v>169</v>
      </c>
      <c r="BC774">
        <v>186</v>
      </c>
      <c r="BD774" t="s">
        <v>74</v>
      </c>
      <c r="BE774" t="s">
        <v>14245</v>
      </c>
      <c r="BF774" t="str">
        <f>HYPERLINK("http://dx.doi.org/10.1002/swe.20023","http://dx.doi.org/10.1002/swe.20023")</f>
        <v>http://dx.doi.org/10.1002/swe.20023</v>
      </c>
      <c r="BG774" t="s">
        <v>74</v>
      </c>
      <c r="BH774" t="s">
        <v>74</v>
      </c>
      <c r="BI774">
        <v>18</v>
      </c>
      <c r="BJ774" t="s">
        <v>14246</v>
      </c>
      <c r="BK774" t="s">
        <v>102</v>
      </c>
      <c r="BL774" t="s">
        <v>14246</v>
      </c>
      <c r="BM774" t="s">
        <v>14247</v>
      </c>
      <c r="BN774" t="s">
        <v>74</v>
      </c>
      <c r="BO774" t="s">
        <v>4146</v>
      </c>
      <c r="BP774" t="s">
        <v>74</v>
      </c>
      <c r="BQ774" t="s">
        <v>74</v>
      </c>
      <c r="BR774" t="s">
        <v>105</v>
      </c>
      <c r="BS774" t="s">
        <v>14248</v>
      </c>
      <c r="BT774" t="str">
        <f>HYPERLINK("https%3A%2F%2Fwww.webofscience.com%2Fwos%2Fwoscc%2Ffull-record%2FWOS:000318636700007","View Full Record in Web of Science")</f>
        <v>View Full Record in Web of Science</v>
      </c>
    </row>
    <row r="775" spans="1:72" x14ac:dyDescent="0.15">
      <c r="A775" t="s">
        <v>72</v>
      </c>
      <c r="B775" t="s">
        <v>14249</v>
      </c>
      <c r="C775" t="s">
        <v>74</v>
      </c>
      <c r="D775" t="s">
        <v>74</v>
      </c>
      <c r="E775" t="s">
        <v>74</v>
      </c>
      <c r="F775" t="s">
        <v>14250</v>
      </c>
      <c r="G775" t="s">
        <v>74</v>
      </c>
      <c r="H775" t="s">
        <v>74</v>
      </c>
      <c r="I775" t="s">
        <v>14251</v>
      </c>
      <c r="J775" t="s">
        <v>14252</v>
      </c>
      <c r="K775" t="s">
        <v>74</v>
      </c>
      <c r="L775" t="s">
        <v>74</v>
      </c>
      <c r="M775" t="s">
        <v>78</v>
      </c>
      <c r="N775" t="s">
        <v>79</v>
      </c>
      <c r="O775" t="s">
        <v>74</v>
      </c>
      <c r="P775" t="s">
        <v>74</v>
      </c>
      <c r="Q775" t="s">
        <v>74</v>
      </c>
      <c r="R775" t="s">
        <v>74</v>
      </c>
      <c r="S775" t="s">
        <v>74</v>
      </c>
      <c r="T775" t="s">
        <v>14253</v>
      </c>
      <c r="U775" t="s">
        <v>14254</v>
      </c>
      <c r="V775" t="s">
        <v>14255</v>
      </c>
      <c r="W775" t="s">
        <v>14256</v>
      </c>
      <c r="X775" t="s">
        <v>14257</v>
      </c>
      <c r="Y775" t="s">
        <v>14258</v>
      </c>
      <c r="Z775" t="s">
        <v>14259</v>
      </c>
      <c r="AA775" t="s">
        <v>14260</v>
      </c>
      <c r="AB775" t="s">
        <v>74</v>
      </c>
      <c r="AC775" t="s">
        <v>14261</v>
      </c>
      <c r="AD775" t="s">
        <v>14262</v>
      </c>
      <c r="AE775" t="s">
        <v>14263</v>
      </c>
      <c r="AF775" t="s">
        <v>74</v>
      </c>
      <c r="AG775">
        <v>51</v>
      </c>
      <c r="AH775">
        <v>54</v>
      </c>
      <c r="AI775">
        <v>59</v>
      </c>
      <c r="AJ775">
        <v>1</v>
      </c>
      <c r="AK775">
        <v>85</v>
      </c>
      <c r="AL775" t="s">
        <v>529</v>
      </c>
      <c r="AM775" t="s">
        <v>1151</v>
      </c>
      <c r="AN775" t="s">
        <v>1152</v>
      </c>
      <c r="AO775" t="s">
        <v>14264</v>
      </c>
      <c r="AP775" t="s">
        <v>14265</v>
      </c>
      <c r="AQ775" t="s">
        <v>74</v>
      </c>
      <c r="AR775" t="s">
        <v>14266</v>
      </c>
      <c r="AS775" t="s">
        <v>14267</v>
      </c>
      <c r="AT775" t="s">
        <v>11820</v>
      </c>
      <c r="AU775">
        <v>2013</v>
      </c>
      <c r="AV775">
        <v>35</v>
      </c>
      <c r="AW775">
        <v>2</v>
      </c>
      <c r="AX775" t="s">
        <v>74</v>
      </c>
      <c r="AY775" t="s">
        <v>74</v>
      </c>
      <c r="AZ775" t="s">
        <v>74</v>
      </c>
      <c r="BA775" t="s">
        <v>74</v>
      </c>
      <c r="BB775">
        <v>257</v>
      </c>
      <c r="BC775">
        <v>269</v>
      </c>
      <c r="BD775" t="s">
        <v>74</v>
      </c>
      <c r="BE775" t="s">
        <v>14268</v>
      </c>
      <c r="BF775" t="str">
        <f>HYPERLINK("http://dx.doi.org/10.1007/s10653-012-9481-z","http://dx.doi.org/10.1007/s10653-012-9481-z")</f>
        <v>http://dx.doi.org/10.1007/s10653-012-9481-z</v>
      </c>
      <c r="BG775" t="s">
        <v>74</v>
      </c>
      <c r="BH775" t="s">
        <v>74</v>
      </c>
      <c r="BI775">
        <v>13</v>
      </c>
      <c r="BJ775" t="s">
        <v>14269</v>
      </c>
      <c r="BK775" t="s">
        <v>102</v>
      </c>
      <c r="BL775" t="s">
        <v>14270</v>
      </c>
      <c r="BM775" t="s">
        <v>14271</v>
      </c>
      <c r="BN775">
        <v>22965895</v>
      </c>
      <c r="BO775" t="s">
        <v>74</v>
      </c>
      <c r="BP775" t="s">
        <v>74</v>
      </c>
      <c r="BQ775" t="s">
        <v>74</v>
      </c>
      <c r="BR775" t="s">
        <v>105</v>
      </c>
      <c r="BS775" t="s">
        <v>14272</v>
      </c>
      <c r="BT775" t="str">
        <f>HYPERLINK("https%3A%2F%2Fwww.webofscience.com%2Fwos%2Fwoscc%2Ffull-record%2FWOS:000315596900009","View Full Record in Web of Science")</f>
        <v>View Full Record in Web of Science</v>
      </c>
    </row>
    <row r="776" spans="1:72" x14ac:dyDescent="0.15">
      <c r="A776" t="s">
        <v>72</v>
      </c>
      <c r="B776" t="s">
        <v>14273</v>
      </c>
      <c r="C776" t="s">
        <v>74</v>
      </c>
      <c r="D776" t="s">
        <v>74</v>
      </c>
      <c r="E776" t="s">
        <v>74</v>
      </c>
      <c r="F776" t="s">
        <v>14274</v>
      </c>
      <c r="G776" t="s">
        <v>74</v>
      </c>
      <c r="H776" t="s">
        <v>74</v>
      </c>
      <c r="I776" t="s">
        <v>14275</v>
      </c>
      <c r="J776" t="s">
        <v>2343</v>
      </c>
      <c r="K776" t="s">
        <v>74</v>
      </c>
      <c r="L776" t="s">
        <v>74</v>
      </c>
      <c r="M776" t="s">
        <v>78</v>
      </c>
      <c r="N776" t="s">
        <v>79</v>
      </c>
      <c r="O776" t="s">
        <v>74</v>
      </c>
      <c r="P776" t="s">
        <v>74</v>
      </c>
      <c r="Q776" t="s">
        <v>74</v>
      </c>
      <c r="R776" t="s">
        <v>74</v>
      </c>
      <c r="S776" t="s">
        <v>74</v>
      </c>
      <c r="T776" t="s">
        <v>74</v>
      </c>
      <c r="U776" t="s">
        <v>14276</v>
      </c>
      <c r="V776" t="s">
        <v>14277</v>
      </c>
      <c r="W776" t="s">
        <v>14278</v>
      </c>
      <c r="X776" t="s">
        <v>1300</v>
      </c>
      <c r="Y776" t="s">
        <v>14279</v>
      </c>
      <c r="Z776" t="s">
        <v>14280</v>
      </c>
      <c r="AA776" t="s">
        <v>14281</v>
      </c>
      <c r="AB776" t="s">
        <v>14282</v>
      </c>
      <c r="AC776" t="s">
        <v>14283</v>
      </c>
      <c r="AD776" t="s">
        <v>14284</v>
      </c>
      <c r="AE776" t="s">
        <v>14285</v>
      </c>
      <c r="AF776" t="s">
        <v>74</v>
      </c>
      <c r="AG776">
        <v>22</v>
      </c>
      <c r="AH776">
        <v>11</v>
      </c>
      <c r="AI776">
        <v>11</v>
      </c>
      <c r="AJ776">
        <v>0</v>
      </c>
      <c r="AK776">
        <v>45</v>
      </c>
      <c r="AL776" t="s">
        <v>2355</v>
      </c>
      <c r="AM776" t="s">
        <v>2356</v>
      </c>
      <c r="AN776" t="s">
        <v>2357</v>
      </c>
      <c r="AO776" t="s">
        <v>2358</v>
      </c>
      <c r="AP776" t="s">
        <v>74</v>
      </c>
      <c r="AQ776" t="s">
        <v>74</v>
      </c>
      <c r="AR776" t="s">
        <v>2343</v>
      </c>
      <c r="AS776" t="s">
        <v>2359</v>
      </c>
      <c r="AT776" t="s">
        <v>14286</v>
      </c>
      <c r="AU776">
        <v>2013</v>
      </c>
      <c r="AV776">
        <v>8</v>
      </c>
      <c r="AW776">
        <v>3</v>
      </c>
      <c r="AX776" t="s">
        <v>74</v>
      </c>
      <c r="AY776" t="s">
        <v>74</v>
      </c>
      <c r="AZ776" t="s">
        <v>74</v>
      </c>
      <c r="BA776" t="s">
        <v>74</v>
      </c>
      <c r="BB776" t="s">
        <v>74</v>
      </c>
      <c r="BC776" t="s">
        <v>74</v>
      </c>
      <c r="BD776" t="s">
        <v>14287</v>
      </c>
      <c r="BE776" t="s">
        <v>14288</v>
      </c>
      <c r="BF776" t="str">
        <f>HYPERLINK("http://dx.doi.org/10.1371/journal.pone.0060389","http://dx.doi.org/10.1371/journal.pone.0060389")</f>
        <v>http://dx.doi.org/10.1371/journal.pone.0060389</v>
      </c>
      <c r="BG776" t="s">
        <v>74</v>
      </c>
      <c r="BH776" t="s">
        <v>74</v>
      </c>
      <c r="BI776">
        <v>6</v>
      </c>
      <c r="BJ776" t="s">
        <v>1880</v>
      </c>
      <c r="BK776" t="s">
        <v>102</v>
      </c>
      <c r="BL776" t="s">
        <v>1881</v>
      </c>
      <c r="BM776" t="s">
        <v>14289</v>
      </c>
      <c r="BN776">
        <v>23555965</v>
      </c>
      <c r="BO776" t="s">
        <v>8995</v>
      </c>
      <c r="BP776" t="s">
        <v>74</v>
      </c>
      <c r="BQ776" t="s">
        <v>74</v>
      </c>
      <c r="BR776" t="s">
        <v>105</v>
      </c>
      <c r="BS776" t="s">
        <v>14290</v>
      </c>
      <c r="BT776" t="str">
        <f>HYPERLINK("https%3A%2F%2Fwww.webofscience.com%2Fwos%2Fwoscc%2Ffull-record%2FWOS:000317263900072","View Full Record in Web of Science")</f>
        <v>View Full Record in Web of Science</v>
      </c>
    </row>
    <row r="777" spans="1:72" x14ac:dyDescent="0.15">
      <c r="A777" t="s">
        <v>72</v>
      </c>
      <c r="B777" t="s">
        <v>14291</v>
      </c>
      <c r="C777" t="s">
        <v>74</v>
      </c>
      <c r="D777" t="s">
        <v>74</v>
      </c>
      <c r="E777" t="s">
        <v>74</v>
      </c>
      <c r="F777" t="s">
        <v>14292</v>
      </c>
      <c r="G777" t="s">
        <v>74</v>
      </c>
      <c r="H777" t="s">
        <v>74</v>
      </c>
      <c r="I777" t="s">
        <v>14293</v>
      </c>
      <c r="J777" t="s">
        <v>1957</v>
      </c>
      <c r="K777" t="s">
        <v>74</v>
      </c>
      <c r="L777" t="s">
        <v>74</v>
      </c>
      <c r="M777" t="s">
        <v>78</v>
      </c>
      <c r="N777" t="s">
        <v>79</v>
      </c>
      <c r="O777" t="s">
        <v>74</v>
      </c>
      <c r="P777" t="s">
        <v>74</v>
      </c>
      <c r="Q777" t="s">
        <v>74</v>
      </c>
      <c r="R777" t="s">
        <v>74</v>
      </c>
      <c r="S777" t="s">
        <v>74</v>
      </c>
      <c r="T777" t="s">
        <v>74</v>
      </c>
      <c r="U777" t="s">
        <v>14294</v>
      </c>
      <c r="V777" t="s">
        <v>14295</v>
      </c>
      <c r="W777" t="s">
        <v>14296</v>
      </c>
      <c r="X777" t="s">
        <v>14297</v>
      </c>
      <c r="Y777" t="s">
        <v>14298</v>
      </c>
      <c r="Z777" t="s">
        <v>14299</v>
      </c>
      <c r="AA777" t="s">
        <v>14300</v>
      </c>
      <c r="AB777" t="s">
        <v>14301</v>
      </c>
      <c r="AC777" t="s">
        <v>14302</v>
      </c>
      <c r="AD777" t="s">
        <v>14303</v>
      </c>
      <c r="AE777" t="s">
        <v>14304</v>
      </c>
      <c r="AF777" t="s">
        <v>74</v>
      </c>
      <c r="AG777">
        <v>22</v>
      </c>
      <c r="AH777">
        <v>26</v>
      </c>
      <c r="AI777">
        <v>27</v>
      </c>
      <c r="AJ777">
        <v>0</v>
      </c>
      <c r="AK777">
        <v>16</v>
      </c>
      <c r="AL777" t="s">
        <v>92</v>
      </c>
      <c r="AM777" t="s">
        <v>93</v>
      </c>
      <c r="AN777" t="s">
        <v>94</v>
      </c>
      <c r="AO777" t="s">
        <v>1970</v>
      </c>
      <c r="AP777" t="s">
        <v>1971</v>
      </c>
      <c r="AQ777" t="s">
        <v>74</v>
      </c>
      <c r="AR777" t="s">
        <v>1972</v>
      </c>
      <c r="AS777" t="s">
        <v>1973</v>
      </c>
      <c r="AT777" t="s">
        <v>14305</v>
      </c>
      <c r="AU777">
        <v>2013</v>
      </c>
      <c r="AV777">
        <v>40</v>
      </c>
      <c r="AW777">
        <v>6</v>
      </c>
      <c r="AX777" t="s">
        <v>74</v>
      </c>
      <c r="AY777" t="s">
        <v>74</v>
      </c>
      <c r="AZ777" t="s">
        <v>74</v>
      </c>
      <c r="BA777" t="s">
        <v>74</v>
      </c>
      <c r="BB777">
        <v>1231</v>
      </c>
      <c r="BC777">
        <v>1236</v>
      </c>
      <c r="BD777" t="s">
        <v>74</v>
      </c>
      <c r="BE777" t="s">
        <v>14306</v>
      </c>
      <c r="BF777" t="str">
        <f>HYPERLINK("http://dx.doi.org/10.1002/grl.50246","http://dx.doi.org/10.1002/grl.50246")</f>
        <v>http://dx.doi.org/10.1002/grl.50246</v>
      </c>
      <c r="BG777" t="s">
        <v>74</v>
      </c>
      <c r="BH777" t="s">
        <v>74</v>
      </c>
      <c r="BI777">
        <v>6</v>
      </c>
      <c r="BJ777" t="s">
        <v>1426</v>
      </c>
      <c r="BK777" t="s">
        <v>102</v>
      </c>
      <c r="BL777" t="s">
        <v>219</v>
      </c>
      <c r="BM777" t="s">
        <v>14307</v>
      </c>
      <c r="BN777" t="s">
        <v>74</v>
      </c>
      <c r="BO777" t="s">
        <v>104</v>
      </c>
      <c r="BP777" t="s">
        <v>74</v>
      </c>
      <c r="BQ777" t="s">
        <v>74</v>
      </c>
      <c r="BR777" t="s">
        <v>105</v>
      </c>
      <c r="BS777" t="s">
        <v>14308</v>
      </c>
      <c r="BT777" t="str">
        <f>HYPERLINK("https%3A%2F%2Fwww.webofscience.com%2Fwos%2Fwoscc%2Ffull-record%2FWOS:000319215700038","View Full Record in Web of Science")</f>
        <v>View Full Record in Web of Science</v>
      </c>
    </row>
    <row r="778" spans="1:72" x14ac:dyDescent="0.15">
      <c r="A778" t="s">
        <v>72</v>
      </c>
      <c r="B778" t="s">
        <v>14309</v>
      </c>
      <c r="C778" t="s">
        <v>74</v>
      </c>
      <c r="D778" t="s">
        <v>74</v>
      </c>
      <c r="E778" t="s">
        <v>74</v>
      </c>
      <c r="F778" t="s">
        <v>14310</v>
      </c>
      <c r="G778" t="s">
        <v>74</v>
      </c>
      <c r="H778" t="s">
        <v>74</v>
      </c>
      <c r="I778" t="s">
        <v>14311</v>
      </c>
      <c r="J778" t="s">
        <v>5531</v>
      </c>
      <c r="K778" t="s">
        <v>74</v>
      </c>
      <c r="L778" t="s">
        <v>74</v>
      </c>
      <c r="M778" t="s">
        <v>78</v>
      </c>
      <c r="N778" t="s">
        <v>79</v>
      </c>
      <c r="O778" t="s">
        <v>74</v>
      </c>
      <c r="P778" t="s">
        <v>74</v>
      </c>
      <c r="Q778" t="s">
        <v>74</v>
      </c>
      <c r="R778" t="s">
        <v>74</v>
      </c>
      <c r="S778" t="s">
        <v>74</v>
      </c>
      <c r="T778" t="s">
        <v>74</v>
      </c>
      <c r="U778" t="s">
        <v>14312</v>
      </c>
      <c r="V778" t="s">
        <v>14313</v>
      </c>
      <c r="W778" t="s">
        <v>14314</v>
      </c>
      <c r="X778" t="s">
        <v>14315</v>
      </c>
      <c r="Y778" t="s">
        <v>14316</v>
      </c>
      <c r="Z778" t="s">
        <v>14317</v>
      </c>
      <c r="AA778" t="s">
        <v>14318</v>
      </c>
      <c r="AB778" t="s">
        <v>14319</v>
      </c>
      <c r="AC778" t="s">
        <v>14320</v>
      </c>
      <c r="AD778" t="s">
        <v>14321</v>
      </c>
      <c r="AE778" t="s">
        <v>14322</v>
      </c>
      <c r="AF778" t="s">
        <v>74</v>
      </c>
      <c r="AG778">
        <v>38</v>
      </c>
      <c r="AH778">
        <v>68</v>
      </c>
      <c r="AI778">
        <v>76</v>
      </c>
      <c r="AJ778">
        <v>0</v>
      </c>
      <c r="AK778">
        <v>123</v>
      </c>
      <c r="AL778" t="s">
        <v>670</v>
      </c>
      <c r="AM778" t="s">
        <v>643</v>
      </c>
      <c r="AN778" t="s">
        <v>671</v>
      </c>
      <c r="AO778" t="s">
        <v>5543</v>
      </c>
      <c r="AP778" t="s">
        <v>5544</v>
      </c>
      <c r="AQ778" t="s">
        <v>74</v>
      </c>
      <c r="AR778" t="s">
        <v>5531</v>
      </c>
      <c r="AS778" t="s">
        <v>5545</v>
      </c>
      <c r="AT778" t="s">
        <v>14305</v>
      </c>
      <c r="AU778">
        <v>2013</v>
      </c>
      <c r="AV778">
        <v>495</v>
      </c>
      <c r="AW778">
        <v>7442</v>
      </c>
      <c r="AX778" t="s">
        <v>74</v>
      </c>
      <c r="AY778" t="s">
        <v>74</v>
      </c>
      <c r="AZ778" t="s">
        <v>74</v>
      </c>
      <c r="BA778" t="s">
        <v>74</v>
      </c>
      <c r="BB778">
        <v>495</v>
      </c>
      <c r="BC778" t="s">
        <v>7715</v>
      </c>
      <c r="BD778" t="s">
        <v>74</v>
      </c>
      <c r="BE778" t="s">
        <v>14323</v>
      </c>
      <c r="BF778" t="str">
        <f>HYPERLINK("http://dx.doi.org/10.1038/nature12006","http://dx.doi.org/10.1038/nature12006")</f>
        <v>http://dx.doi.org/10.1038/nature12006</v>
      </c>
      <c r="BG778" t="s">
        <v>74</v>
      </c>
      <c r="BH778" t="s">
        <v>74</v>
      </c>
      <c r="BI778">
        <v>5</v>
      </c>
      <c r="BJ778" t="s">
        <v>1880</v>
      </c>
      <c r="BK778" t="s">
        <v>102</v>
      </c>
      <c r="BL778" t="s">
        <v>1881</v>
      </c>
      <c r="BM778" t="s">
        <v>14324</v>
      </c>
      <c r="BN778">
        <v>23538831</v>
      </c>
      <c r="BO778" t="s">
        <v>74</v>
      </c>
      <c r="BP778" t="s">
        <v>74</v>
      </c>
      <c r="BQ778" t="s">
        <v>74</v>
      </c>
      <c r="BR778" t="s">
        <v>105</v>
      </c>
      <c r="BS778" t="s">
        <v>14325</v>
      </c>
      <c r="BT778" t="str">
        <f>HYPERLINK("https%3A%2F%2Fwww.webofscience.com%2Fwos%2Fwoscc%2Ffull-record%2FWOS:000316682800042","View Full Record in Web of Science")</f>
        <v>View Full Record in Web of Science</v>
      </c>
    </row>
    <row r="779" spans="1:72" x14ac:dyDescent="0.15">
      <c r="A779" t="s">
        <v>72</v>
      </c>
      <c r="B779" t="s">
        <v>14326</v>
      </c>
      <c r="C779" t="s">
        <v>74</v>
      </c>
      <c r="D779" t="s">
        <v>74</v>
      </c>
      <c r="E779" t="s">
        <v>74</v>
      </c>
      <c r="F779" t="s">
        <v>14327</v>
      </c>
      <c r="G779" t="s">
        <v>74</v>
      </c>
      <c r="H779" t="s">
        <v>74</v>
      </c>
      <c r="I779" t="s">
        <v>14328</v>
      </c>
      <c r="J779" t="s">
        <v>5157</v>
      </c>
      <c r="K779" t="s">
        <v>74</v>
      </c>
      <c r="L779" t="s">
        <v>74</v>
      </c>
      <c r="M779" t="s">
        <v>78</v>
      </c>
      <c r="N779" t="s">
        <v>79</v>
      </c>
      <c r="O779" t="s">
        <v>74</v>
      </c>
      <c r="P779" t="s">
        <v>74</v>
      </c>
      <c r="Q779" t="s">
        <v>74</v>
      </c>
      <c r="R779" t="s">
        <v>74</v>
      </c>
      <c r="S779" t="s">
        <v>74</v>
      </c>
      <c r="T779" t="s">
        <v>74</v>
      </c>
      <c r="U779" t="s">
        <v>14329</v>
      </c>
      <c r="V779" t="s">
        <v>14330</v>
      </c>
      <c r="W779" t="s">
        <v>14331</v>
      </c>
      <c r="X779" t="s">
        <v>14332</v>
      </c>
      <c r="Y779" t="s">
        <v>14333</v>
      </c>
      <c r="Z779" t="s">
        <v>14334</v>
      </c>
      <c r="AA779" t="s">
        <v>14335</v>
      </c>
      <c r="AB779" t="s">
        <v>14336</v>
      </c>
      <c r="AC779" t="s">
        <v>14337</v>
      </c>
      <c r="AD779" t="s">
        <v>14338</v>
      </c>
      <c r="AE779" t="s">
        <v>14339</v>
      </c>
      <c r="AF779" t="s">
        <v>74</v>
      </c>
      <c r="AG779">
        <v>42</v>
      </c>
      <c r="AH779">
        <v>27</v>
      </c>
      <c r="AI779">
        <v>30</v>
      </c>
      <c r="AJ779">
        <v>0</v>
      </c>
      <c r="AK779">
        <v>15</v>
      </c>
      <c r="AL779" t="s">
        <v>506</v>
      </c>
      <c r="AM779" t="s">
        <v>442</v>
      </c>
      <c r="AN779" t="s">
        <v>507</v>
      </c>
      <c r="AO779" t="s">
        <v>5167</v>
      </c>
      <c r="AP779" t="s">
        <v>74</v>
      </c>
      <c r="AQ779" t="s">
        <v>74</v>
      </c>
      <c r="AR779" t="s">
        <v>5169</v>
      </c>
      <c r="AS779" t="s">
        <v>5170</v>
      </c>
      <c r="AT779" t="s">
        <v>14305</v>
      </c>
      <c r="AU779">
        <v>2013</v>
      </c>
      <c r="AV779">
        <v>292</v>
      </c>
      <c r="AW779" t="s">
        <v>74</v>
      </c>
      <c r="AX779" t="s">
        <v>74</v>
      </c>
      <c r="AY779" t="s">
        <v>74</v>
      </c>
      <c r="AZ779" t="s">
        <v>74</v>
      </c>
      <c r="BA779" t="s">
        <v>74</v>
      </c>
      <c r="BB779">
        <v>205</v>
      </c>
      <c r="BC779">
        <v>216</v>
      </c>
      <c r="BD779" t="s">
        <v>74</v>
      </c>
      <c r="BE779" t="s">
        <v>14340</v>
      </c>
      <c r="BF779" t="str">
        <f>HYPERLINK("http://dx.doi.org/10.1016/j.quaint.2012.07.028","http://dx.doi.org/10.1016/j.quaint.2012.07.028")</f>
        <v>http://dx.doi.org/10.1016/j.quaint.2012.07.028</v>
      </c>
      <c r="BG779" t="s">
        <v>74</v>
      </c>
      <c r="BH779" t="s">
        <v>74</v>
      </c>
      <c r="BI779">
        <v>12</v>
      </c>
      <c r="BJ779" t="s">
        <v>650</v>
      </c>
      <c r="BK779" t="s">
        <v>102</v>
      </c>
      <c r="BL779" t="s">
        <v>651</v>
      </c>
      <c r="BM779" t="s">
        <v>14341</v>
      </c>
      <c r="BN779" t="s">
        <v>74</v>
      </c>
      <c r="BO779" t="s">
        <v>74</v>
      </c>
      <c r="BP779" t="s">
        <v>74</v>
      </c>
      <c r="BQ779" t="s">
        <v>74</v>
      </c>
      <c r="BR779" t="s">
        <v>105</v>
      </c>
      <c r="BS779" t="s">
        <v>14342</v>
      </c>
      <c r="BT779" t="str">
        <f>HYPERLINK("https%3A%2F%2Fwww.webofscience.com%2Fwos%2Fwoscc%2Ffull-record%2FWOS:000317166300017","View Full Record in Web of Science")</f>
        <v>View Full Record in Web of Science</v>
      </c>
    </row>
    <row r="780" spans="1:72" x14ac:dyDescent="0.15">
      <c r="A780" t="s">
        <v>72</v>
      </c>
      <c r="B780" t="s">
        <v>14343</v>
      </c>
      <c r="C780" t="s">
        <v>74</v>
      </c>
      <c r="D780" t="s">
        <v>74</v>
      </c>
      <c r="E780" t="s">
        <v>74</v>
      </c>
      <c r="F780" t="s">
        <v>14344</v>
      </c>
      <c r="G780" t="s">
        <v>74</v>
      </c>
      <c r="H780" t="s">
        <v>74</v>
      </c>
      <c r="I780" t="s">
        <v>14345</v>
      </c>
      <c r="J780" t="s">
        <v>2101</v>
      </c>
      <c r="K780" t="s">
        <v>74</v>
      </c>
      <c r="L780" t="s">
        <v>74</v>
      </c>
      <c r="M780" t="s">
        <v>78</v>
      </c>
      <c r="N780" t="s">
        <v>79</v>
      </c>
      <c r="O780" t="s">
        <v>74</v>
      </c>
      <c r="P780" t="s">
        <v>74</v>
      </c>
      <c r="Q780" t="s">
        <v>74</v>
      </c>
      <c r="R780" t="s">
        <v>74</v>
      </c>
      <c r="S780" t="s">
        <v>74</v>
      </c>
      <c r="T780" t="s">
        <v>14346</v>
      </c>
      <c r="U780" t="s">
        <v>14347</v>
      </c>
      <c r="V780" t="s">
        <v>14348</v>
      </c>
      <c r="W780" t="s">
        <v>14349</v>
      </c>
      <c r="X780" t="s">
        <v>14350</v>
      </c>
      <c r="Y780" t="s">
        <v>14351</v>
      </c>
      <c r="Z780" t="s">
        <v>14352</v>
      </c>
      <c r="AA780" t="s">
        <v>14353</v>
      </c>
      <c r="AB780" t="s">
        <v>14354</v>
      </c>
      <c r="AC780" t="s">
        <v>14355</v>
      </c>
      <c r="AD780" t="s">
        <v>14356</v>
      </c>
      <c r="AE780" t="s">
        <v>14357</v>
      </c>
      <c r="AF780" t="s">
        <v>74</v>
      </c>
      <c r="AG780">
        <v>32</v>
      </c>
      <c r="AH780">
        <v>6</v>
      </c>
      <c r="AI780">
        <v>6</v>
      </c>
      <c r="AJ780">
        <v>1</v>
      </c>
      <c r="AK780">
        <v>18</v>
      </c>
      <c r="AL780" t="s">
        <v>2112</v>
      </c>
      <c r="AM780" t="s">
        <v>2113</v>
      </c>
      <c r="AN780" t="s">
        <v>2114</v>
      </c>
      <c r="AO780" t="s">
        <v>2115</v>
      </c>
      <c r="AP780" t="s">
        <v>2116</v>
      </c>
      <c r="AQ780" t="s">
        <v>74</v>
      </c>
      <c r="AR780" t="s">
        <v>2101</v>
      </c>
      <c r="AS780" t="s">
        <v>2117</v>
      </c>
      <c r="AT780" t="s">
        <v>14358</v>
      </c>
      <c r="AU780">
        <v>2013</v>
      </c>
      <c r="AV780">
        <v>3635</v>
      </c>
      <c r="AW780">
        <v>3</v>
      </c>
      <c r="AX780" t="s">
        <v>74</v>
      </c>
      <c r="AY780" t="s">
        <v>74</v>
      </c>
      <c r="AZ780" t="s">
        <v>74</v>
      </c>
      <c r="BA780" t="s">
        <v>74</v>
      </c>
      <c r="BB780">
        <v>269</v>
      </c>
      <c r="BC780">
        <v>274</v>
      </c>
      <c r="BD780" t="s">
        <v>74</v>
      </c>
      <c r="BE780" t="s">
        <v>14359</v>
      </c>
      <c r="BF780" t="str">
        <f>HYPERLINK("http://dx.doi.org/10.11646/zootaxa.3635.3.6","http://dx.doi.org/10.11646/zootaxa.3635.3.6")</f>
        <v>http://dx.doi.org/10.11646/zootaxa.3635.3.6</v>
      </c>
      <c r="BG780" t="s">
        <v>74</v>
      </c>
      <c r="BH780" t="s">
        <v>74</v>
      </c>
      <c r="BI780">
        <v>6</v>
      </c>
      <c r="BJ780" t="s">
        <v>2120</v>
      </c>
      <c r="BK780" t="s">
        <v>102</v>
      </c>
      <c r="BL780" t="s">
        <v>2120</v>
      </c>
      <c r="BM780" t="s">
        <v>14360</v>
      </c>
      <c r="BN780">
        <v>26097948</v>
      </c>
      <c r="BO780" t="s">
        <v>104</v>
      </c>
      <c r="BP780" t="s">
        <v>74</v>
      </c>
      <c r="BQ780" t="s">
        <v>74</v>
      </c>
      <c r="BR780" t="s">
        <v>105</v>
      </c>
      <c r="BS780" t="s">
        <v>14361</v>
      </c>
      <c r="BT780" t="str">
        <f>HYPERLINK("https%3A%2F%2Fwww.webofscience.com%2Fwos%2Fwoscc%2Ffull-record%2FWOS:000316727600006","View Full Record in Web of Science")</f>
        <v>View Full Record in Web of Science</v>
      </c>
    </row>
    <row r="781" spans="1:72" x14ac:dyDescent="0.15">
      <c r="A781" t="s">
        <v>72</v>
      </c>
      <c r="B781" t="s">
        <v>14362</v>
      </c>
      <c r="C781" t="s">
        <v>74</v>
      </c>
      <c r="D781" t="s">
        <v>74</v>
      </c>
      <c r="E781" t="s">
        <v>74</v>
      </c>
      <c r="F781" t="s">
        <v>14363</v>
      </c>
      <c r="G781" t="s">
        <v>74</v>
      </c>
      <c r="H781" t="s">
        <v>74</v>
      </c>
      <c r="I781" t="s">
        <v>14364</v>
      </c>
      <c r="J781" t="s">
        <v>7323</v>
      </c>
      <c r="K781" t="s">
        <v>74</v>
      </c>
      <c r="L781" t="s">
        <v>74</v>
      </c>
      <c r="M781" t="s">
        <v>78</v>
      </c>
      <c r="N781" t="s">
        <v>79</v>
      </c>
      <c r="O781" t="s">
        <v>74</v>
      </c>
      <c r="P781" t="s">
        <v>74</v>
      </c>
      <c r="Q781" t="s">
        <v>74</v>
      </c>
      <c r="R781" t="s">
        <v>74</v>
      </c>
      <c r="S781" t="s">
        <v>74</v>
      </c>
      <c r="T781" t="s">
        <v>14365</v>
      </c>
      <c r="U781" t="s">
        <v>14366</v>
      </c>
      <c r="V781" t="s">
        <v>14367</v>
      </c>
      <c r="W781" t="s">
        <v>14368</v>
      </c>
      <c r="X781" t="s">
        <v>14369</v>
      </c>
      <c r="Y781" t="s">
        <v>14370</v>
      </c>
      <c r="Z781" t="s">
        <v>14371</v>
      </c>
      <c r="AA781" t="s">
        <v>14372</v>
      </c>
      <c r="AB781" t="s">
        <v>14373</v>
      </c>
      <c r="AC781" t="s">
        <v>14374</v>
      </c>
      <c r="AD781" t="s">
        <v>14374</v>
      </c>
      <c r="AE781" t="s">
        <v>14375</v>
      </c>
      <c r="AF781" t="s">
        <v>74</v>
      </c>
      <c r="AG781">
        <v>59</v>
      </c>
      <c r="AH781">
        <v>23</v>
      </c>
      <c r="AI781">
        <v>23</v>
      </c>
      <c r="AJ781">
        <v>0</v>
      </c>
      <c r="AK781">
        <v>33</v>
      </c>
      <c r="AL781" t="s">
        <v>154</v>
      </c>
      <c r="AM781" t="s">
        <v>155</v>
      </c>
      <c r="AN781" t="s">
        <v>156</v>
      </c>
      <c r="AO781" t="s">
        <v>7335</v>
      </c>
      <c r="AP781" t="s">
        <v>11556</v>
      </c>
      <c r="AQ781" t="s">
        <v>74</v>
      </c>
      <c r="AR781" t="s">
        <v>7323</v>
      </c>
      <c r="AS781" t="s">
        <v>7336</v>
      </c>
      <c r="AT781" t="s">
        <v>14376</v>
      </c>
      <c r="AU781">
        <v>2013</v>
      </c>
      <c r="AV781">
        <v>384</v>
      </c>
      <c r="AW781" t="s">
        <v>74</v>
      </c>
      <c r="AX781" t="s">
        <v>74</v>
      </c>
      <c r="AY781" t="s">
        <v>74</v>
      </c>
      <c r="AZ781" t="s">
        <v>74</v>
      </c>
      <c r="BA781" t="s">
        <v>74</v>
      </c>
      <c r="BB781">
        <v>111</v>
      </c>
      <c r="BC781">
        <v>118</v>
      </c>
      <c r="BD781" t="s">
        <v>74</v>
      </c>
      <c r="BE781" t="s">
        <v>14377</v>
      </c>
      <c r="BF781" t="str">
        <f>HYPERLINK("http://dx.doi.org/10.1016/j.aquaculture.2013.01.003","http://dx.doi.org/10.1016/j.aquaculture.2013.01.003")</f>
        <v>http://dx.doi.org/10.1016/j.aquaculture.2013.01.003</v>
      </c>
      <c r="BG781" t="s">
        <v>74</v>
      </c>
      <c r="BH781" t="s">
        <v>74</v>
      </c>
      <c r="BI781">
        <v>8</v>
      </c>
      <c r="BJ781" t="s">
        <v>487</v>
      </c>
      <c r="BK781" t="s">
        <v>102</v>
      </c>
      <c r="BL781" t="s">
        <v>487</v>
      </c>
      <c r="BM781" t="s">
        <v>14378</v>
      </c>
      <c r="BN781" t="s">
        <v>74</v>
      </c>
      <c r="BO781" t="s">
        <v>74</v>
      </c>
      <c r="BP781" t="s">
        <v>74</v>
      </c>
      <c r="BQ781" t="s">
        <v>74</v>
      </c>
      <c r="BR781" t="s">
        <v>105</v>
      </c>
      <c r="BS781" t="s">
        <v>14379</v>
      </c>
      <c r="BT781" t="str">
        <f>HYPERLINK("https%3A%2F%2Fwww.webofscience.com%2Fwos%2Fwoscc%2Ffull-record%2FWOS:000315587600015","View Full Record in Web of Science")</f>
        <v>View Full Record in Web of Science</v>
      </c>
    </row>
    <row r="782" spans="1:72" x14ac:dyDescent="0.15">
      <c r="A782" t="s">
        <v>72</v>
      </c>
      <c r="B782" t="s">
        <v>14380</v>
      </c>
      <c r="C782" t="s">
        <v>74</v>
      </c>
      <c r="D782" t="s">
        <v>74</v>
      </c>
      <c r="E782" t="s">
        <v>74</v>
      </c>
      <c r="F782" t="s">
        <v>14381</v>
      </c>
      <c r="G782" t="s">
        <v>74</v>
      </c>
      <c r="H782" t="s">
        <v>74</v>
      </c>
      <c r="I782" t="s">
        <v>14382</v>
      </c>
      <c r="J782" t="s">
        <v>14383</v>
      </c>
      <c r="K782" t="s">
        <v>74</v>
      </c>
      <c r="L782" t="s">
        <v>74</v>
      </c>
      <c r="M782" t="s">
        <v>78</v>
      </c>
      <c r="N782" t="s">
        <v>79</v>
      </c>
      <c r="O782" t="s">
        <v>74</v>
      </c>
      <c r="P782" t="s">
        <v>74</v>
      </c>
      <c r="Q782" t="s">
        <v>74</v>
      </c>
      <c r="R782" t="s">
        <v>74</v>
      </c>
      <c r="S782" t="s">
        <v>74</v>
      </c>
      <c r="T782" t="s">
        <v>74</v>
      </c>
      <c r="U782" t="s">
        <v>14384</v>
      </c>
      <c r="V782" t="s">
        <v>14385</v>
      </c>
      <c r="W782" t="s">
        <v>14386</v>
      </c>
      <c r="X782" t="s">
        <v>14387</v>
      </c>
      <c r="Y782" t="s">
        <v>14388</v>
      </c>
      <c r="Z782" t="s">
        <v>14389</v>
      </c>
      <c r="AA782" t="s">
        <v>14390</v>
      </c>
      <c r="AB782" t="s">
        <v>14391</v>
      </c>
      <c r="AC782" t="s">
        <v>14392</v>
      </c>
      <c r="AD782" t="s">
        <v>14393</v>
      </c>
      <c r="AE782" t="s">
        <v>14394</v>
      </c>
      <c r="AF782" t="s">
        <v>74</v>
      </c>
      <c r="AG782">
        <v>57</v>
      </c>
      <c r="AH782">
        <v>11</v>
      </c>
      <c r="AI782">
        <v>12</v>
      </c>
      <c r="AJ782">
        <v>0</v>
      </c>
      <c r="AK782">
        <v>22</v>
      </c>
      <c r="AL782" t="s">
        <v>14395</v>
      </c>
      <c r="AM782" t="s">
        <v>14396</v>
      </c>
      <c r="AN782" t="s">
        <v>14397</v>
      </c>
      <c r="AO782" t="s">
        <v>14398</v>
      </c>
      <c r="AP782" t="s">
        <v>14399</v>
      </c>
      <c r="AQ782" t="s">
        <v>74</v>
      </c>
      <c r="AR782" t="s">
        <v>14400</v>
      </c>
      <c r="AS782" t="s">
        <v>14401</v>
      </c>
      <c r="AT782" t="s">
        <v>14402</v>
      </c>
      <c r="AU782">
        <v>2013</v>
      </c>
      <c r="AV782">
        <v>110</v>
      </c>
      <c r="AW782">
        <v>12</v>
      </c>
      <c r="AX782" t="s">
        <v>74</v>
      </c>
      <c r="AY782" t="s">
        <v>74</v>
      </c>
      <c r="AZ782" t="s">
        <v>74</v>
      </c>
      <c r="BA782" t="s">
        <v>74</v>
      </c>
      <c r="BB782" t="s">
        <v>74</v>
      </c>
      <c r="BC782" t="s">
        <v>74</v>
      </c>
      <c r="BD782">
        <v>121803</v>
      </c>
      <c r="BE782" t="s">
        <v>14403</v>
      </c>
      <c r="BF782" t="str">
        <f>HYPERLINK("http://dx.doi.org/10.1103/PhysRevLett.110.121803","http://dx.doi.org/10.1103/PhysRevLett.110.121803")</f>
        <v>http://dx.doi.org/10.1103/PhysRevLett.110.121803</v>
      </c>
      <c r="BG782" t="s">
        <v>74</v>
      </c>
      <c r="BH782" t="s">
        <v>74</v>
      </c>
      <c r="BI782">
        <v>5</v>
      </c>
      <c r="BJ782" t="s">
        <v>4562</v>
      </c>
      <c r="BK782" t="s">
        <v>102</v>
      </c>
      <c r="BL782" t="s">
        <v>2683</v>
      </c>
      <c r="BM782" t="s">
        <v>14404</v>
      </c>
      <c r="BN782">
        <v>25166793</v>
      </c>
      <c r="BO782" t="s">
        <v>1014</v>
      </c>
      <c r="BP782" t="s">
        <v>74</v>
      </c>
      <c r="BQ782" t="s">
        <v>74</v>
      </c>
      <c r="BR782" t="s">
        <v>105</v>
      </c>
      <c r="BS782" t="s">
        <v>14405</v>
      </c>
      <c r="BT782" t="str">
        <f>HYPERLINK("https%3A%2F%2Fwww.webofscience.com%2Fwos%2Fwoscc%2Ffull-record%2FWOS:000316682600002","View Full Record in Web of Science")</f>
        <v>View Full Record in Web of Science</v>
      </c>
    </row>
    <row r="783" spans="1:72" x14ac:dyDescent="0.15">
      <c r="A783" t="s">
        <v>72</v>
      </c>
      <c r="B783" t="s">
        <v>14406</v>
      </c>
      <c r="C783" t="s">
        <v>74</v>
      </c>
      <c r="D783" t="s">
        <v>74</v>
      </c>
      <c r="E783" t="s">
        <v>74</v>
      </c>
      <c r="F783" t="s">
        <v>14407</v>
      </c>
      <c r="G783" t="s">
        <v>74</v>
      </c>
      <c r="H783" t="s">
        <v>74</v>
      </c>
      <c r="I783" t="s">
        <v>14408</v>
      </c>
      <c r="J783" t="s">
        <v>8622</v>
      </c>
      <c r="K783" t="s">
        <v>74</v>
      </c>
      <c r="L783" t="s">
        <v>74</v>
      </c>
      <c r="M783" t="s">
        <v>78</v>
      </c>
      <c r="N783" t="s">
        <v>1459</v>
      </c>
      <c r="O783" t="s">
        <v>74</v>
      </c>
      <c r="P783" t="s">
        <v>74</v>
      </c>
      <c r="Q783" t="s">
        <v>74</v>
      </c>
      <c r="R783" t="s">
        <v>74</v>
      </c>
      <c r="S783" t="s">
        <v>74</v>
      </c>
      <c r="T783" t="s">
        <v>14409</v>
      </c>
      <c r="U783" t="s">
        <v>14410</v>
      </c>
      <c r="V783" t="s">
        <v>14411</v>
      </c>
      <c r="W783" t="s">
        <v>14412</v>
      </c>
      <c r="X783" t="s">
        <v>2480</v>
      </c>
      <c r="Y783" t="s">
        <v>14413</v>
      </c>
      <c r="Z783" t="s">
        <v>14414</v>
      </c>
      <c r="AA783" t="s">
        <v>14415</v>
      </c>
      <c r="AB783" t="s">
        <v>14416</v>
      </c>
      <c r="AC783" t="s">
        <v>74</v>
      </c>
      <c r="AD783" t="s">
        <v>74</v>
      </c>
      <c r="AE783" t="s">
        <v>74</v>
      </c>
      <c r="AF783" t="s">
        <v>74</v>
      </c>
      <c r="AG783">
        <v>71</v>
      </c>
      <c r="AH783">
        <v>68</v>
      </c>
      <c r="AI783">
        <v>73</v>
      </c>
      <c r="AJ783">
        <v>2</v>
      </c>
      <c r="AK783">
        <v>214</v>
      </c>
      <c r="AL783" t="s">
        <v>2741</v>
      </c>
      <c r="AM783" t="s">
        <v>643</v>
      </c>
      <c r="AN783" t="s">
        <v>2742</v>
      </c>
      <c r="AO783" t="s">
        <v>8635</v>
      </c>
      <c r="AP783" t="s">
        <v>8636</v>
      </c>
      <c r="AQ783" t="s">
        <v>74</v>
      </c>
      <c r="AR783" t="s">
        <v>8637</v>
      </c>
      <c r="AS783" t="s">
        <v>8638</v>
      </c>
      <c r="AT783" t="s">
        <v>14402</v>
      </c>
      <c r="AU783">
        <v>2013</v>
      </c>
      <c r="AV783">
        <v>280</v>
      </c>
      <c r="AW783">
        <v>1755</v>
      </c>
      <c r="AX783" t="s">
        <v>74</v>
      </c>
      <c r="AY783" t="s">
        <v>74</v>
      </c>
      <c r="AZ783" t="s">
        <v>74</v>
      </c>
      <c r="BA783" t="s">
        <v>74</v>
      </c>
      <c r="BB783" t="s">
        <v>74</v>
      </c>
      <c r="BC783" t="s">
        <v>74</v>
      </c>
      <c r="BD783">
        <v>20122909</v>
      </c>
      <c r="BE783" t="s">
        <v>14417</v>
      </c>
      <c r="BF783" t="str">
        <f>HYPERLINK("http://dx.doi.org/10.1098/rspb.2012.2909","http://dx.doi.org/10.1098/rspb.2012.2909")</f>
        <v>http://dx.doi.org/10.1098/rspb.2012.2909</v>
      </c>
      <c r="BG783" t="s">
        <v>74</v>
      </c>
      <c r="BH783" t="s">
        <v>74</v>
      </c>
      <c r="BI783">
        <v>7</v>
      </c>
      <c r="BJ783" t="s">
        <v>5051</v>
      </c>
      <c r="BK783" t="s">
        <v>102</v>
      </c>
      <c r="BL783" t="s">
        <v>5052</v>
      </c>
      <c r="BM783" t="s">
        <v>14418</v>
      </c>
      <c r="BN783">
        <v>23345578</v>
      </c>
      <c r="BO783" t="s">
        <v>1589</v>
      </c>
      <c r="BP783" t="s">
        <v>74</v>
      </c>
      <c r="BQ783" t="s">
        <v>74</v>
      </c>
      <c r="BR783" t="s">
        <v>105</v>
      </c>
      <c r="BS783" t="s">
        <v>14419</v>
      </c>
      <c r="BT783" t="str">
        <f>HYPERLINK("https%3A%2F%2Fwww.webofscience.com%2Fwos%2Fwoscc%2Ffull-record%2FWOS:000314357600013","View Full Record in Web of Science")</f>
        <v>View Full Record in Web of Science</v>
      </c>
    </row>
    <row r="784" spans="1:72" x14ac:dyDescent="0.15">
      <c r="A784" t="s">
        <v>72</v>
      </c>
      <c r="B784" t="s">
        <v>14420</v>
      </c>
      <c r="C784" t="s">
        <v>74</v>
      </c>
      <c r="D784" t="s">
        <v>74</v>
      </c>
      <c r="E784" t="s">
        <v>74</v>
      </c>
      <c r="F784" t="s">
        <v>14421</v>
      </c>
      <c r="G784" t="s">
        <v>74</v>
      </c>
      <c r="H784" t="s">
        <v>74</v>
      </c>
      <c r="I784" t="s">
        <v>14422</v>
      </c>
      <c r="J784" t="s">
        <v>2090</v>
      </c>
      <c r="K784" t="s">
        <v>74</v>
      </c>
      <c r="L784" t="s">
        <v>74</v>
      </c>
      <c r="M784" t="s">
        <v>78</v>
      </c>
      <c r="N784" t="s">
        <v>79</v>
      </c>
      <c r="O784" t="s">
        <v>74</v>
      </c>
      <c r="P784" t="s">
        <v>74</v>
      </c>
      <c r="Q784" t="s">
        <v>74</v>
      </c>
      <c r="R784" t="s">
        <v>74</v>
      </c>
      <c r="S784" t="s">
        <v>74</v>
      </c>
      <c r="T784" t="s">
        <v>74</v>
      </c>
      <c r="U784" t="s">
        <v>14423</v>
      </c>
      <c r="V784" t="s">
        <v>14424</v>
      </c>
      <c r="W784" t="s">
        <v>14425</v>
      </c>
      <c r="X784" t="s">
        <v>14426</v>
      </c>
      <c r="Y784" t="s">
        <v>14427</v>
      </c>
      <c r="Z784" t="s">
        <v>14428</v>
      </c>
      <c r="AA784" t="s">
        <v>14429</v>
      </c>
      <c r="AB784" t="s">
        <v>14430</v>
      </c>
      <c r="AC784" t="s">
        <v>14431</v>
      </c>
      <c r="AD784" t="s">
        <v>14432</v>
      </c>
      <c r="AE784" t="s">
        <v>14433</v>
      </c>
      <c r="AF784" t="s">
        <v>74</v>
      </c>
      <c r="AG784">
        <v>37</v>
      </c>
      <c r="AH784">
        <v>184</v>
      </c>
      <c r="AI784">
        <v>206</v>
      </c>
      <c r="AJ784">
        <v>7</v>
      </c>
      <c r="AK784">
        <v>153</v>
      </c>
      <c r="AL784" t="s">
        <v>2091</v>
      </c>
      <c r="AM784" t="s">
        <v>93</v>
      </c>
      <c r="AN784" t="s">
        <v>2092</v>
      </c>
      <c r="AO784" t="s">
        <v>2093</v>
      </c>
      <c r="AP784" t="s">
        <v>4961</v>
      </c>
      <c r="AQ784" t="s">
        <v>74</v>
      </c>
      <c r="AR784" t="s">
        <v>2090</v>
      </c>
      <c r="AS784" t="s">
        <v>2094</v>
      </c>
      <c r="AT784" t="s">
        <v>14402</v>
      </c>
      <c r="AU784">
        <v>2013</v>
      </c>
      <c r="AV784">
        <v>339</v>
      </c>
      <c r="AW784">
        <v>6126</v>
      </c>
      <c r="AX784" t="s">
        <v>74</v>
      </c>
      <c r="AY784" t="s">
        <v>74</v>
      </c>
      <c r="AZ784" t="s">
        <v>74</v>
      </c>
      <c r="BA784" t="s">
        <v>74</v>
      </c>
      <c r="BB784">
        <v>1419</v>
      </c>
      <c r="BC784">
        <v>1423</v>
      </c>
      <c r="BD784" t="s">
        <v>74</v>
      </c>
      <c r="BE784" t="s">
        <v>14434</v>
      </c>
      <c r="BF784" t="str">
        <f>HYPERLINK("http://dx.doi.org/10.1126/science.1227545","http://dx.doi.org/10.1126/science.1227545")</f>
        <v>http://dx.doi.org/10.1126/science.1227545</v>
      </c>
      <c r="BG784" t="s">
        <v>74</v>
      </c>
      <c r="BH784" t="s">
        <v>74</v>
      </c>
      <c r="BI784">
        <v>5</v>
      </c>
      <c r="BJ784" t="s">
        <v>1880</v>
      </c>
      <c r="BK784" t="s">
        <v>102</v>
      </c>
      <c r="BL784" t="s">
        <v>1881</v>
      </c>
      <c r="BM784" t="s">
        <v>14435</v>
      </c>
      <c r="BN784">
        <v>23520109</v>
      </c>
      <c r="BO784" t="s">
        <v>1014</v>
      </c>
      <c r="BP784" t="s">
        <v>74</v>
      </c>
      <c r="BQ784" t="s">
        <v>74</v>
      </c>
      <c r="BR784" t="s">
        <v>105</v>
      </c>
      <c r="BS784" t="s">
        <v>14436</v>
      </c>
      <c r="BT784" t="str">
        <f>HYPERLINK("https%3A%2F%2Fwww.webofscience.com%2Fwos%2Fwoscc%2Ffull-record%2FWOS:000316740700039","View Full Record in Web of Science")</f>
        <v>View Full Record in Web of Science</v>
      </c>
    </row>
    <row r="785" spans="1:72" x14ac:dyDescent="0.15">
      <c r="A785" t="s">
        <v>72</v>
      </c>
      <c r="B785" t="s">
        <v>14437</v>
      </c>
      <c r="C785" t="s">
        <v>74</v>
      </c>
      <c r="D785" t="s">
        <v>74</v>
      </c>
      <c r="E785" t="s">
        <v>74</v>
      </c>
      <c r="F785" t="s">
        <v>14438</v>
      </c>
      <c r="G785" t="s">
        <v>74</v>
      </c>
      <c r="H785" t="s">
        <v>74</v>
      </c>
      <c r="I785" t="s">
        <v>14439</v>
      </c>
      <c r="J785" t="s">
        <v>2101</v>
      </c>
      <c r="K785" t="s">
        <v>74</v>
      </c>
      <c r="L785" t="s">
        <v>74</v>
      </c>
      <c r="M785" t="s">
        <v>78</v>
      </c>
      <c r="N785" t="s">
        <v>79</v>
      </c>
      <c r="O785" t="s">
        <v>74</v>
      </c>
      <c r="P785" t="s">
        <v>74</v>
      </c>
      <c r="Q785" t="s">
        <v>74</v>
      </c>
      <c r="R785" t="s">
        <v>74</v>
      </c>
      <c r="S785" t="s">
        <v>74</v>
      </c>
      <c r="T785" t="s">
        <v>14440</v>
      </c>
      <c r="U785" t="s">
        <v>14441</v>
      </c>
      <c r="V785" t="s">
        <v>14442</v>
      </c>
      <c r="W785" t="s">
        <v>14443</v>
      </c>
      <c r="X785" t="s">
        <v>14444</v>
      </c>
      <c r="Y785" t="s">
        <v>14445</v>
      </c>
      <c r="Z785" t="s">
        <v>14446</v>
      </c>
      <c r="AA785" t="s">
        <v>14447</v>
      </c>
      <c r="AB785" t="s">
        <v>14448</v>
      </c>
      <c r="AC785" t="s">
        <v>14449</v>
      </c>
      <c r="AD785" t="s">
        <v>4477</v>
      </c>
      <c r="AE785" t="s">
        <v>14450</v>
      </c>
      <c r="AF785" t="s">
        <v>74</v>
      </c>
      <c r="AG785">
        <v>26</v>
      </c>
      <c r="AH785">
        <v>7</v>
      </c>
      <c r="AI785">
        <v>10</v>
      </c>
      <c r="AJ785">
        <v>0</v>
      </c>
      <c r="AK785">
        <v>5</v>
      </c>
      <c r="AL785" t="s">
        <v>2112</v>
      </c>
      <c r="AM785" t="s">
        <v>2113</v>
      </c>
      <c r="AN785" t="s">
        <v>2114</v>
      </c>
      <c r="AO785" t="s">
        <v>2115</v>
      </c>
      <c r="AP785" t="s">
        <v>2116</v>
      </c>
      <c r="AQ785" t="s">
        <v>74</v>
      </c>
      <c r="AR785" t="s">
        <v>2101</v>
      </c>
      <c r="AS785" t="s">
        <v>2117</v>
      </c>
      <c r="AT785" t="s">
        <v>14451</v>
      </c>
      <c r="AU785">
        <v>2013</v>
      </c>
      <c r="AV785">
        <v>3630</v>
      </c>
      <c r="AW785">
        <v>3</v>
      </c>
      <c r="AX785" t="s">
        <v>74</v>
      </c>
      <c r="AY785" t="s">
        <v>74</v>
      </c>
      <c r="AZ785" t="s">
        <v>74</v>
      </c>
      <c r="BA785" t="s">
        <v>74</v>
      </c>
      <c r="BB785">
        <v>424</v>
      </c>
      <c r="BC785">
        <v>444</v>
      </c>
      <c r="BD785" t="s">
        <v>74</v>
      </c>
      <c r="BE785" t="s">
        <v>14452</v>
      </c>
      <c r="BF785" t="str">
        <f>HYPERLINK("http://dx.doi.org/10.11646/zootaxa.3630.3.2","http://dx.doi.org/10.11646/zootaxa.3630.3.2")</f>
        <v>http://dx.doi.org/10.11646/zootaxa.3630.3.2</v>
      </c>
      <c r="BG785" t="s">
        <v>74</v>
      </c>
      <c r="BH785" t="s">
        <v>74</v>
      </c>
      <c r="BI785">
        <v>21</v>
      </c>
      <c r="BJ785" t="s">
        <v>2120</v>
      </c>
      <c r="BK785" t="s">
        <v>102</v>
      </c>
      <c r="BL785" t="s">
        <v>2120</v>
      </c>
      <c r="BM785" t="s">
        <v>14453</v>
      </c>
      <c r="BN785">
        <v>26131524</v>
      </c>
      <c r="BO785" t="s">
        <v>74</v>
      </c>
      <c r="BP785" t="s">
        <v>74</v>
      </c>
      <c r="BQ785" t="s">
        <v>74</v>
      </c>
      <c r="BR785" t="s">
        <v>105</v>
      </c>
      <c r="BS785" t="s">
        <v>14454</v>
      </c>
      <c r="BT785" t="str">
        <f>HYPERLINK("https%3A%2F%2Fwww.webofscience.com%2Fwos%2Fwoscc%2Ffull-record%2FWOS:000317174600002","View Full Record in Web of Science")</f>
        <v>View Full Record in Web of Science</v>
      </c>
    </row>
    <row r="786" spans="1:72" x14ac:dyDescent="0.15">
      <c r="A786" t="s">
        <v>72</v>
      </c>
      <c r="B786" t="s">
        <v>14455</v>
      </c>
      <c r="C786" t="s">
        <v>74</v>
      </c>
      <c r="D786" t="s">
        <v>74</v>
      </c>
      <c r="E786" t="s">
        <v>74</v>
      </c>
      <c r="F786" t="s">
        <v>14456</v>
      </c>
      <c r="G786" t="s">
        <v>74</v>
      </c>
      <c r="H786" t="s">
        <v>74</v>
      </c>
      <c r="I786" t="s">
        <v>14457</v>
      </c>
      <c r="J786" t="s">
        <v>1887</v>
      </c>
      <c r="K786" t="s">
        <v>74</v>
      </c>
      <c r="L786" t="s">
        <v>74</v>
      </c>
      <c r="M786" t="s">
        <v>78</v>
      </c>
      <c r="N786" t="s">
        <v>79</v>
      </c>
      <c r="O786" t="s">
        <v>74</v>
      </c>
      <c r="P786" t="s">
        <v>74</v>
      </c>
      <c r="Q786" t="s">
        <v>74</v>
      </c>
      <c r="R786" t="s">
        <v>74</v>
      </c>
      <c r="S786" t="s">
        <v>74</v>
      </c>
      <c r="T786" t="s">
        <v>74</v>
      </c>
      <c r="U786" t="s">
        <v>14458</v>
      </c>
      <c r="V786" t="s">
        <v>14459</v>
      </c>
      <c r="W786" t="s">
        <v>14460</v>
      </c>
      <c r="X786" t="s">
        <v>14461</v>
      </c>
      <c r="Y786" t="s">
        <v>14462</v>
      </c>
      <c r="Z786" t="s">
        <v>14463</v>
      </c>
      <c r="AA786" t="s">
        <v>14464</v>
      </c>
      <c r="AB786" t="s">
        <v>14465</v>
      </c>
      <c r="AC786" t="s">
        <v>14466</v>
      </c>
      <c r="AD786" t="s">
        <v>14466</v>
      </c>
      <c r="AE786" t="s">
        <v>14467</v>
      </c>
      <c r="AF786" t="s">
        <v>74</v>
      </c>
      <c r="AG786">
        <v>31</v>
      </c>
      <c r="AH786">
        <v>41</v>
      </c>
      <c r="AI786">
        <v>43</v>
      </c>
      <c r="AJ786">
        <v>2</v>
      </c>
      <c r="AK786">
        <v>91</v>
      </c>
      <c r="AL786" t="s">
        <v>1850</v>
      </c>
      <c r="AM786" t="s">
        <v>1851</v>
      </c>
      <c r="AN786" t="s">
        <v>1852</v>
      </c>
      <c r="AO786" t="s">
        <v>1899</v>
      </c>
      <c r="AP786" t="s">
        <v>74</v>
      </c>
      <c r="AQ786" t="s">
        <v>74</v>
      </c>
      <c r="AR786" t="s">
        <v>1900</v>
      </c>
      <c r="AS786" t="s">
        <v>1901</v>
      </c>
      <c r="AT786" t="s">
        <v>14468</v>
      </c>
      <c r="AU786">
        <v>2013</v>
      </c>
      <c r="AV786">
        <v>3</v>
      </c>
      <c r="AW786" t="s">
        <v>74</v>
      </c>
      <c r="AX786" t="s">
        <v>74</v>
      </c>
      <c r="AY786" t="s">
        <v>74</v>
      </c>
      <c r="AZ786" t="s">
        <v>74</v>
      </c>
      <c r="BA786" t="s">
        <v>74</v>
      </c>
      <c r="BB786" t="s">
        <v>74</v>
      </c>
      <c r="BC786" t="s">
        <v>74</v>
      </c>
      <c r="BD786">
        <v>1471</v>
      </c>
      <c r="BE786" t="s">
        <v>14469</v>
      </c>
      <c r="BF786" t="str">
        <f>HYPERLINK("http://dx.doi.org/10.1038/srep01471","http://dx.doi.org/10.1038/srep01471")</f>
        <v>http://dx.doi.org/10.1038/srep01471</v>
      </c>
      <c r="BG786" t="s">
        <v>74</v>
      </c>
      <c r="BH786" t="s">
        <v>74</v>
      </c>
      <c r="BI786">
        <v>4</v>
      </c>
      <c r="BJ786" t="s">
        <v>1880</v>
      </c>
      <c r="BK786" t="s">
        <v>102</v>
      </c>
      <c r="BL786" t="s">
        <v>1881</v>
      </c>
      <c r="BM786" t="s">
        <v>14470</v>
      </c>
      <c r="BN786">
        <v>23503585</v>
      </c>
      <c r="BO786" t="s">
        <v>14471</v>
      </c>
      <c r="BP786" t="s">
        <v>74</v>
      </c>
      <c r="BQ786" t="s">
        <v>74</v>
      </c>
      <c r="BR786" t="s">
        <v>105</v>
      </c>
      <c r="BS786" t="s">
        <v>14472</v>
      </c>
      <c r="BT786" t="str">
        <f>HYPERLINK("https%3A%2F%2Fwww.webofscience.com%2Fwos%2Fwoscc%2Ffull-record%2FWOS:000316249300002","View Full Record in Web of Science")</f>
        <v>View Full Record in Web of Science</v>
      </c>
    </row>
    <row r="787" spans="1:72" x14ac:dyDescent="0.15">
      <c r="A787" t="s">
        <v>72</v>
      </c>
      <c r="B787" t="s">
        <v>6700</v>
      </c>
      <c r="C787" t="s">
        <v>74</v>
      </c>
      <c r="D787" t="s">
        <v>74</v>
      </c>
      <c r="E787" t="s">
        <v>74</v>
      </c>
      <c r="F787" t="s">
        <v>6701</v>
      </c>
      <c r="G787" t="s">
        <v>74</v>
      </c>
      <c r="H787" t="s">
        <v>74</v>
      </c>
      <c r="I787" t="s">
        <v>14473</v>
      </c>
      <c r="J787" t="s">
        <v>2016</v>
      </c>
      <c r="K787" t="s">
        <v>74</v>
      </c>
      <c r="L787" t="s">
        <v>74</v>
      </c>
      <c r="M787" t="s">
        <v>78</v>
      </c>
      <c r="N787" t="s">
        <v>79</v>
      </c>
      <c r="O787" t="s">
        <v>74</v>
      </c>
      <c r="P787" t="s">
        <v>74</v>
      </c>
      <c r="Q787" t="s">
        <v>74</v>
      </c>
      <c r="R787" t="s">
        <v>74</v>
      </c>
      <c r="S787" t="s">
        <v>74</v>
      </c>
      <c r="T787" t="s">
        <v>74</v>
      </c>
      <c r="U787" t="s">
        <v>14474</v>
      </c>
      <c r="V787" t="s">
        <v>14475</v>
      </c>
      <c r="W787" t="s">
        <v>14476</v>
      </c>
      <c r="X787" t="s">
        <v>14477</v>
      </c>
      <c r="Y787" t="s">
        <v>14478</v>
      </c>
      <c r="Z787" t="s">
        <v>6709</v>
      </c>
      <c r="AA787" t="s">
        <v>6710</v>
      </c>
      <c r="AB787" t="s">
        <v>14479</v>
      </c>
      <c r="AC787" t="s">
        <v>14480</v>
      </c>
      <c r="AD787" t="s">
        <v>14480</v>
      </c>
      <c r="AE787" t="s">
        <v>14481</v>
      </c>
      <c r="AF787" t="s">
        <v>74</v>
      </c>
      <c r="AG787">
        <v>65</v>
      </c>
      <c r="AH787">
        <v>2</v>
      </c>
      <c r="AI787">
        <v>2</v>
      </c>
      <c r="AJ787">
        <v>0</v>
      </c>
      <c r="AK787">
        <v>24</v>
      </c>
      <c r="AL787" t="s">
        <v>92</v>
      </c>
      <c r="AM787" t="s">
        <v>93</v>
      </c>
      <c r="AN787" t="s">
        <v>94</v>
      </c>
      <c r="AO787" t="s">
        <v>2029</v>
      </c>
      <c r="AP787" t="s">
        <v>2030</v>
      </c>
      <c r="AQ787" t="s">
        <v>74</v>
      </c>
      <c r="AR787" t="s">
        <v>2031</v>
      </c>
      <c r="AS787" t="s">
        <v>2032</v>
      </c>
      <c r="AT787" t="s">
        <v>14482</v>
      </c>
      <c r="AU787">
        <v>2013</v>
      </c>
      <c r="AV787">
        <v>118</v>
      </c>
      <c r="AW787">
        <v>5</v>
      </c>
      <c r="AX787" t="s">
        <v>74</v>
      </c>
      <c r="AY787" t="s">
        <v>74</v>
      </c>
      <c r="AZ787" t="s">
        <v>74</v>
      </c>
      <c r="BA787" t="s">
        <v>74</v>
      </c>
      <c r="BB787">
        <v>2119</v>
      </c>
      <c r="BC787">
        <v>2135</v>
      </c>
      <c r="BD787" t="s">
        <v>74</v>
      </c>
      <c r="BE787" t="s">
        <v>14483</v>
      </c>
      <c r="BF787" t="str">
        <f>HYPERLINK("http://dx.doi.org/10.1002/jgrd.50222","http://dx.doi.org/10.1002/jgrd.50222")</f>
        <v>http://dx.doi.org/10.1002/jgrd.50222</v>
      </c>
      <c r="BG787" t="s">
        <v>74</v>
      </c>
      <c r="BH787" t="s">
        <v>74</v>
      </c>
      <c r="BI787">
        <v>17</v>
      </c>
      <c r="BJ787" t="s">
        <v>305</v>
      </c>
      <c r="BK787" t="s">
        <v>102</v>
      </c>
      <c r="BL787" t="s">
        <v>305</v>
      </c>
      <c r="BM787" t="s">
        <v>14484</v>
      </c>
      <c r="BN787" t="s">
        <v>74</v>
      </c>
      <c r="BO787" t="s">
        <v>74</v>
      </c>
      <c r="BP787" t="s">
        <v>74</v>
      </c>
      <c r="BQ787" t="s">
        <v>74</v>
      </c>
      <c r="BR787" t="s">
        <v>105</v>
      </c>
      <c r="BS787" t="s">
        <v>14485</v>
      </c>
      <c r="BT787" t="str">
        <f>HYPERLINK("https%3A%2F%2Fwww.webofscience.com%2Fwos%2Fwoscc%2Ffull-record%2FWOS:000317842800003","View Full Record in Web of Science")</f>
        <v>View Full Record in Web of Science</v>
      </c>
    </row>
    <row r="788" spans="1:72" x14ac:dyDescent="0.15">
      <c r="A788" t="s">
        <v>72</v>
      </c>
      <c r="B788" t="s">
        <v>14486</v>
      </c>
      <c r="C788" t="s">
        <v>74</v>
      </c>
      <c r="D788" t="s">
        <v>74</v>
      </c>
      <c r="E788" t="s">
        <v>74</v>
      </c>
      <c r="F788" t="s">
        <v>14487</v>
      </c>
      <c r="G788" t="s">
        <v>74</v>
      </c>
      <c r="H788" t="s">
        <v>74</v>
      </c>
      <c r="I788" t="s">
        <v>14488</v>
      </c>
      <c r="J788" t="s">
        <v>2016</v>
      </c>
      <c r="K788" t="s">
        <v>74</v>
      </c>
      <c r="L788" t="s">
        <v>74</v>
      </c>
      <c r="M788" t="s">
        <v>78</v>
      </c>
      <c r="N788" t="s">
        <v>79</v>
      </c>
      <c r="O788" t="s">
        <v>74</v>
      </c>
      <c r="P788" t="s">
        <v>74</v>
      </c>
      <c r="Q788" t="s">
        <v>74</v>
      </c>
      <c r="R788" t="s">
        <v>74</v>
      </c>
      <c r="S788" t="s">
        <v>74</v>
      </c>
      <c r="T788" t="s">
        <v>74</v>
      </c>
      <c r="U788" t="s">
        <v>14489</v>
      </c>
      <c r="V788" t="s">
        <v>14490</v>
      </c>
      <c r="W788" t="s">
        <v>14491</v>
      </c>
      <c r="X788" t="s">
        <v>14492</v>
      </c>
      <c r="Y788" t="s">
        <v>14493</v>
      </c>
      <c r="Z788" t="s">
        <v>14494</v>
      </c>
      <c r="AA788" t="s">
        <v>14495</v>
      </c>
      <c r="AB788" t="s">
        <v>14496</v>
      </c>
      <c r="AC788" t="s">
        <v>14497</v>
      </c>
      <c r="AD788" t="s">
        <v>14498</v>
      </c>
      <c r="AE788" t="s">
        <v>14499</v>
      </c>
      <c r="AF788" t="s">
        <v>74</v>
      </c>
      <c r="AG788">
        <v>64</v>
      </c>
      <c r="AH788">
        <v>16</v>
      </c>
      <c r="AI788">
        <v>18</v>
      </c>
      <c r="AJ788">
        <v>1</v>
      </c>
      <c r="AK788">
        <v>29</v>
      </c>
      <c r="AL788" t="s">
        <v>92</v>
      </c>
      <c r="AM788" t="s">
        <v>93</v>
      </c>
      <c r="AN788" t="s">
        <v>94</v>
      </c>
      <c r="AO788" t="s">
        <v>2029</v>
      </c>
      <c r="AP788" t="s">
        <v>74</v>
      </c>
      <c r="AQ788" t="s">
        <v>74</v>
      </c>
      <c r="AR788" t="s">
        <v>2031</v>
      </c>
      <c r="AS788" t="s">
        <v>2032</v>
      </c>
      <c r="AT788" t="s">
        <v>14482</v>
      </c>
      <c r="AU788">
        <v>2013</v>
      </c>
      <c r="AV788">
        <v>118</v>
      </c>
      <c r="AW788">
        <v>5</v>
      </c>
      <c r="AX788" t="s">
        <v>74</v>
      </c>
      <c r="AY788" t="s">
        <v>74</v>
      </c>
      <c r="AZ788" t="s">
        <v>74</v>
      </c>
      <c r="BA788" t="s">
        <v>74</v>
      </c>
      <c r="BB788">
        <v>2241</v>
      </c>
      <c r="BC788">
        <v>2254</v>
      </c>
      <c r="BD788" t="s">
        <v>74</v>
      </c>
      <c r="BE788" t="s">
        <v>14500</v>
      </c>
      <c r="BF788" t="str">
        <f>HYPERLINK("http://dx.doi.org/10.1002/jgrd.50218","http://dx.doi.org/10.1002/jgrd.50218")</f>
        <v>http://dx.doi.org/10.1002/jgrd.50218</v>
      </c>
      <c r="BG788" t="s">
        <v>74</v>
      </c>
      <c r="BH788" t="s">
        <v>74</v>
      </c>
      <c r="BI788">
        <v>14</v>
      </c>
      <c r="BJ788" t="s">
        <v>305</v>
      </c>
      <c r="BK788" t="s">
        <v>102</v>
      </c>
      <c r="BL788" t="s">
        <v>305</v>
      </c>
      <c r="BM788" t="s">
        <v>14484</v>
      </c>
      <c r="BN788" t="s">
        <v>74</v>
      </c>
      <c r="BO788" t="s">
        <v>104</v>
      </c>
      <c r="BP788" t="s">
        <v>74</v>
      </c>
      <c r="BQ788" t="s">
        <v>74</v>
      </c>
      <c r="BR788" t="s">
        <v>105</v>
      </c>
      <c r="BS788" t="s">
        <v>14501</v>
      </c>
      <c r="BT788" t="str">
        <f>HYPERLINK("https%3A%2F%2Fwww.webofscience.com%2Fwos%2Fwoscc%2Ffull-record%2FWOS:000317842800013","View Full Record in Web of Science")</f>
        <v>View Full Record in Web of Science</v>
      </c>
    </row>
    <row r="789" spans="1:72" x14ac:dyDescent="0.15">
      <c r="A789" t="s">
        <v>72</v>
      </c>
      <c r="B789" t="s">
        <v>14502</v>
      </c>
      <c r="C789" t="s">
        <v>74</v>
      </c>
      <c r="D789" t="s">
        <v>74</v>
      </c>
      <c r="E789" t="s">
        <v>74</v>
      </c>
      <c r="F789" t="s">
        <v>14503</v>
      </c>
      <c r="G789" t="s">
        <v>74</v>
      </c>
      <c r="H789" t="s">
        <v>74</v>
      </c>
      <c r="I789" t="s">
        <v>14504</v>
      </c>
      <c r="J789" t="s">
        <v>1957</v>
      </c>
      <c r="K789" t="s">
        <v>74</v>
      </c>
      <c r="L789" t="s">
        <v>74</v>
      </c>
      <c r="M789" t="s">
        <v>78</v>
      </c>
      <c r="N789" t="s">
        <v>79</v>
      </c>
      <c r="O789" t="s">
        <v>74</v>
      </c>
      <c r="P789" t="s">
        <v>74</v>
      </c>
      <c r="Q789" t="s">
        <v>74</v>
      </c>
      <c r="R789" t="s">
        <v>74</v>
      </c>
      <c r="S789" t="s">
        <v>74</v>
      </c>
      <c r="T789" t="s">
        <v>14505</v>
      </c>
      <c r="U789" t="s">
        <v>14506</v>
      </c>
      <c r="V789" t="s">
        <v>14507</v>
      </c>
      <c r="W789" t="s">
        <v>14508</v>
      </c>
      <c r="X789" t="s">
        <v>14509</v>
      </c>
      <c r="Y789" t="s">
        <v>1892</v>
      </c>
      <c r="Z789" t="s">
        <v>1893</v>
      </c>
      <c r="AA789" t="s">
        <v>14510</v>
      </c>
      <c r="AB789" t="s">
        <v>14511</v>
      </c>
      <c r="AC789" t="s">
        <v>14512</v>
      </c>
      <c r="AD789" t="s">
        <v>14513</v>
      </c>
      <c r="AE789" t="s">
        <v>14514</v>
      </c>
      <c r="AF789" t="s">
        <v>74</v>
      </c>
      <c r="AG789">
        <v>42</v>
      </c>
      <c r="AH789">
        <v>64</v>
      </c>
      <c r="AI789">
        <v>70</v>
      </c>
      <c r="AJ789">
        <v>0</v>
      </c>
      <c r="AK789">
        <v>30</v>
      </c>
      <c r="AL789" t="s">
        <v>92</v>
      </c>
      <c r="AM789" t="s">
        <v>93</v>
      </c>
      <c r="AN789" t="s">
        <v>94</v>
      </c>
      <c r="AO789" t="s">
        <v>1970</v>
      </c>
      <c r="AP789" t="s">
        <v>1971</v>
      </c>
      <c r="AQ789" t="s">
        <v>74</v>
      </c>
      <c r="AR789" t="s">
        <v>1972</v>
      </c>
      <c r="AS789" t="s">
        <v>1973</v>
      </c>
      <c r="AT789" t="s">
        <v>14482</v>
      </c>
      <c r="AU789">
        <v>2013</v>
      </c>
      <c r="AV789">
        <v>40</v>
      </c>
      <c r="AW789">
        <v>5</v>
      </c>
      <c r="AX789" t="s">
        <v>74</v>
      </c>
      <c r="AY789" t="s">
        <v>74</v>
      </c>
      <c r="AZ789" t="s">
        <v>74</v>
      </c>
      <c r="BA789" t="s">
        <v>74</v>
      </c>
      <c r="BB789">
        <v>904</v>
      </c>
      <c r="BC789">
        <v>909</v>
      </c>
      <c r="BD789" t="s">
        <v>74</v>
      </c>
      <c r="BE789" t="s">
        <v>14515</v>
      </c>
      <c r="BF789" t="str">
        <f>HYPERLINK("http://dx.doi.org/10.1002/grl.50178","http://dx.doi.org/10.1002/grl.50178")</f>
        <v>http://dx.doi.org/10.1002/grl.50178</v>
      </c>
      <c r="BG789" t="s">
        <v>74</v>
      </c>
      <c r="BH789" t="s">
        <v>74</v>
      </c>
      <c r="BI789">
        <v>6</v>
      </c>
      <c r="BJ789" t="s">
        <v>1426</v>
      </c>
      <c r="BK789" t="s">
        <v>102</v>
      </c>
      <c r="BL789" t="s">
        <v>219</v>
      </c>
      <c r="BM789" t="s">
        <v>14516</v>
      </c>
      <c r="BN789" t="s">
        <v>74</v>
      </c>
      <c r="BO789" t="s">
        <v>104</v>
      </c>
      <c r="BP789" t="s">
        <v>74</v>
      </c>
      <c r="BQ789" t="s">
        <v>74</v>
      </c>
      <c r="BR789" t="s">
        <v>105</v>
      </c>
      <c r="BS789" t="s">
        <v>14517</v>
      </c>
      <c r="BT789" t="str">
        <f>HYPERLINK("https%3A%2F%2Fwww.webofscience.com%2Fwos%2Fwoscc%2Ffull-record%2FWOS:000318242900019","View Full Record in Web of Science")</f>
        <v>View Full Record in Web of Science</v>
      </c>
    </row>
    <row r="790" spans="1:72" x14ac:dyDescent="0.15">
      <c r="A790" t="s">
        <v>72</v>
      </c>
      <c r="B790" t="s">
        <v>14518</v>
      </c>
      <c r="C790" t="s">
        <v>74</v>
      </c>
      <c r="D790" t="s">
        <v>74</v>
      </c>
      <c r="E790" t="s">
        <v>74</v>
      </c>
      <c r="F790" t="s">
        <v>14519</v>
      </c>
      <c r="G790" t="s">
        <v>74</v>
      </c>
      <c r="H790" t="s">
        <v>74</v>
      </c>
      <c r="I790" t="s">
        <v>14520</v>
      </c>
      <c r="J790" t="s">
        <v>1957</v>
      </c>
      <c r="K790" t="s">
        <v>74</v>
      </c>
      <c r="L790" t="s">
        <v>74</v>
      </c>
      <c r="M790" t="s">
        <v>78</v>
      </c>
      <c r="N790" t="s">
        <v>79</v>
      </c>
      <c r="O790" t="s">
        <v>74</v>
      </c>
      <c r="P790" t="s">
        <v>74</v>
      </c>
      <c r="Q790" t="s">
        <v>74</v>
      </c>
      <c r="R790" t="s">
        <v>74</v>
      </c>
      <c r="S790" t="s">
        <v>74</v>
      </c>
      <c r="T790" t="s">
        <v>14521</v>
      </c>
      <c r="U790" t="s">
        <v>14522</v>
      </c>
      <c r="V790" t="s">
        <v>14523</v>
      </c>
      <c r="W790" t="s">
        <v>14524</v>
      </c>
      <c r="X790" t="s">
        <v>14525</v>
      </c>
      <c r="Y790" t="s">
        <v>14526</v>
      </c>
      <c r="Z790" t="s">
        <v>14527</v>
      </c>
      <c r="AA790" t="s">
        <v>14528</v>
      </c>
      <c r="AB790" t="s">
        <v>14529</v>
      </c>
      <c r="AC790" t="s">
        <v>14530</v>
      </c>
      <c r="AD790" t="s">
        <v>1304</v>
      </c>
      <c r="AE790" t="s">
        <v>74</v>
      </c>
      <c r="AF790" t="s">
        <v>74</v>
      </c>
      <c r="AG790">
        <v>20</v>
      </c>
      <c r="AH790">
        <v>11</v>
      </c>
      <c r="AI790">
        <v>11</v>
      </c>
      <c r="AJ790">
        <v>0</v>
      </c>
      <c r="AK790">
        <v>14</v>
      </c>
      <c r="AL790" t="s">
        <v>92</v>
      </c>
      <c r="AM790" t="s">
        <v>93</v>
      </c>
      <c r="AN790" t="s">
        <v>94</v>
      </c>
      <c r="AO790" t="s">
        <v>1970</v>
      </c>
      <c r="AP790" t="s">
        <v>74</v>
      </c>
      <c r="AQ790" t="s">
        <v>74</v>
      </c>
      <c r="AR790" t="s">
        <v>1972</v>
      </c>
      <c r="AS790" t="s">
        <v>1973</v>
      </c>
      <c r="AT790" t="s">
        <v>14482</v>
      </c>
      <c r="AU790">
        <v>2013</v>
      </c>
      <c r="AV790">
        <v>40</v>
      </c>
      <c r="AW790">
        <v>5</v>
      </c>
      <c r="AX790" t="s">
        <v>74</v>
      </c>
      <c r="AY790" t="s">
        <v>74</v>
      </c>
      <c r="AZ790" t="s">
        <v>74</v>
      </c>
      <c r="BA790" t="s">
        <v>74</v>
      </c>
      <c r="BB790">
        <v>933</v>
      </c>
      <c r="BC790">
        <v>936</v>
      </c>
      <c r="BD790" t="s">
        <v>74</v>
      </c>
      <c r="BE790" t="s">
        <v>14531</v>
      </c>
      <c r="BF790" t="str">
        <f>HYPERLINK("http://dx.doi.org/10.1002/grl.50260","http://dx.doi.org/10.1002/grl.50260")</f>
        <v>http://dx.doi.org/10.1002/grl.50260</v>
      </c>
      <c r="BG790" t="s">
        <v>74</v>
      </c>
      <c r="BH790" t="s">
        <v>74</v>
      </c>
      <c r="BI790">
        <v>4</v>
      </c>
      <c r="BJ790" t="s">
        <v>1426</v>
      </c>
      <c r="BK790" t="s">
        <v>102</v>
      </c>
      <c r="BL790" t="s">
        <v>219</v>
      </c>
      <c r="BM790" t="s">
        <v>14516</v>
      </c>
      <c r="BN790" t="s">
        <v>74</v>
      </c>
      <c r="BO790" t="s">
        <v>1063</v>
      </c>
      <c r="BP790" t="s">
        <v>74</v>
      </c>
      <c r="BQ790" t="s">
        <v>74</v>
      </c>
      <c r="BR790" t="s">
        <v>105</v>
      </c>
      <c r="BS790" t="s">
        <v>14532</v>
      </c>
      <c r="BT790" t="str">
        <f>HYPERLINK("https%3A%2F%2Fwww.webofscience.com%2Fwos%2Fwoscc%2Ffull-record%2FWOS:000318242900024","View Full Record in Web of Science")</f>
        <v>View Full Record in Web of Science</v>
      </c>
    </row>
    <row r="791" spans="1:72" x14ac:dyDescent="0.15">
      <c r="A791" t="s">
        <v>72</v>
      </c>
      <c r="B791" t="s">
        <v>14533</v>
      </c>
      <c r="C791" t="s">
        <v>74</v>
      </c>
      <c r="D791" t="s">
        <v>74</v>
      </c>
      <c r="E791" t="s">
        <v>74</v>
      </c>
      <c r="F791" t="s">
        <v>14534</v>
      </c>
      <c r="G791" t="s">
        <v>74</v>
      </c>
      <c r="H791" t="s">
        <v>74</v>
      </c>
      <c r="I791" t="s">
        <v>14535</v>
      </c>
      <c r="J791" t="s">
        <v>2016</v>
      </c>
      <c r="K791" t="s">
        <v>74</v>
      </c>
      <c r="L791" t="s">
        <v>74</v>
      </c>
      <c r="M791" t="s">
        <v>78</v>
      </c>
      <c r="N791" t="s">
        <v>79</v>
      </c>
      <c r="O791" t="s">
        <v>74</v>
      </c>
      <c r="P791" t="s">
        <v>74</v>
      </c>
      <c r="Q791" t="s">
        <v>74</v>
      </c>
      <c r="R791" t="s">
        <v>74</v>
      </c>
      <c r="S791" t="s">
        <v>74</v>
      </c>
      <c r="T791" t="s">
        <v>74</v>
      </c>
      <c r="U791" t="s">
        <v>14536</v>
      </c>
      <c r="V791" t="s">
        <v>14537</v>
      </c>
      <c r="W791" t="s">
        <v>14538</v>
      </c>
      <c r="X791" t="s">
        <v>14539</v>
      </c>
      <c r="Y791" t="s">
        <v>14540</v>
      </c>
      <c r="Z791" t="s">
        <v>14541</v>
      </c>
      <c r="AA791" t="s">
        <v>14542</v>
      </c>
      <c r="AB791" t="s">
        <v>14543</v>
      </c>
      <c r="AC791" t="s">
        <v>14544</v>
      </c>
      <c r="AD791" t="s">
        <v>14545</v>
      </c>
      <c r="AE791" t="s">
        <v>14546</v>
      </c>
      <c r="AF791" t="s">
        <v>74</v>
      </c>
      <c r="AG791">
        <v>41</v>
      </c>
      <c r="AH791">
        <v>87</v>
      </c>
      <c r="AI791">
        <v>88</v>
      </c>
      <c r="AJ791">
        <v>0</v>
      </c>
      <c r="AK791">
        <v>19</v>
      </c>
      <c r="AL791" t="s">
        <v>92</v>
      </c>
      <c r="AM791" t="s">
        <v>93</v>
      </c>
      <c r="AN791" t="s">
        <v>94</v>
      </c>
      <c r="AO791" t="s">
        <v>2029</v>
      </c>
      <c r="AP791" t="s">
        <v>74</v>
      </c>
      <c r="AQ791" t="s">
        <v>74</v>
      </c>
      <c r="AR791" t="s">
        <v>2031</v>
      </c>
      <c r="AS791" t="s">
        <v>2032</v>
      </c>
      <c r="AT791" t="s">
        <v>14482</v>
      </c>
      <c r="AU791">
        <v>2013</v>
      </c>
      <c r="AV791">
        <v>118</v>
      </c>
      <c r="AW791">
        <v>5</v>
      </c>
      <c r="AX791" t="s">
        <v>74</v>
      </c>
      <c r="AY791" t="s">
        <v>74</v>
      </c>
      <c r="AZ791" t="s">
        <v>74</v>
      </c>
      <c r="BA791" t="s">
        <v>74</v>
      </c>
      <c r="BB791">
        <v>2169</v>
      </c>
      <c r="BC791">
        <v>2183</v>
      </c>
      <c r="BD791" t="s">
        <v>74</v>
      </c>
      <c r="BE791" t="s">
        <v>14547</v>
      </c>
      <c r="BF791" t="str">
        <f>HYPERLINK("http://dx.doi.org/10.1002/jgrd.50236","http://dx.doi.org/10.1002/jgrd.50236")</f>
        <v>http://dx.doi.org/10.1002/jgrd.50236</v>
      </c>
      <c r="BG791" t="s">
        <v>74</v>
      </c>
      <c r="BH791" t="s">
        <v>74</v>
      </c>
      <c r="BI791">
        <v>15</v>
      </c>
      <c r="BJ791" t="s">
        <v>305</v>
      </c>
      <c r="BK791" t="s">
        <v>102</v>
      </c>
      <c r="BL791" t="s">
        <v>305</v>
      </c>
      <c r="BM791" t="s">
        <v>14484</v>
      </c>
      <c r="BN791" t="s">
        <v>74</v>
      </c>
      <c r="BO791" t="s">
        <v>1063</v>
      </c>
      <c r="BP791" t="s">
        <v>74</v>
      </c>
      <c r="BQ791" t="s">
        <v>74</v>
      </c>
      <c r="BR791" t="s">
        <v>105</v>
      </c>
      <c r="BS791" t="s">
        <v>14548</v>
      </c>
      <c r="BT791" t="str">
        <f>HYPERLINK("https%3A%2F%2Fwww.webofscience.com%2Fwos%2Fwoscc%2Ffull-record%2FWOS:000317842800007","View Full Record in Web of Science")</f>
        <v>View Full Record in Web of Science</v>
      </c>
    </row>
    <row r="792" spans="1:72" x14ac:dyDescent="0.15">
      <c r="A792" t="s">
        <v>72</v>
      </c>
      <c r="B792" t="s">
        <v>14549</v>
      </c>
      <c r="C792" t="s">
        <v>74</v>
      </c>
      <c r="D792" t="s">
        <v>74</v>
      </c>
      <c r="E792" t="s">
        <v>74</v>
      </c>
      <c r="F792" t="s">
        <v>14550</v>
      </c>
      <c r="G792" t="s">
        <v>74</v>
      </c>
      <c r="H792" t="s">
        <v>74</v>
      </c>
      <c r="I792" t="s">
        <v>14551</v>
      </c>
      <c r="J792" t="s">
        <v>4690</v>
      </c>
      <c r="K792" t="s">
        <v>74</v>
      </c>
      <c r="L792" t="s">
        <v>74</v>
      </c>
      <c r="M792" t="s">
        <v>78</v>
      </c>
      <c r="N792" t="s">
        <v>1459</v>
      </c>
      <c r="O792" t="s">
        <v>74</v>
      </c>
      <c r="P792" t="s">
        <v>74</v>
      </c>
      <c r="Q792" t="s">
        <v>74</v>
      </c>
      <c r="R792" t="s">
        <v>74</v>
      </c>
      <c r="S792" t="s">
        <v>74</v>
      </c>
      <c r="T792" t="s">
        <v>14552</v>
      </c>
      <c r="U792" t="s">
        <v>14553</v>
      </c>
      <c r="V792" t="s">
        <v>14554</v>
      </c>
      <c r="W792" t="s">
        <v>14555</v>
      </c>
      <c r="X792" t="s">
        <v>14556</v>
      </c>
      <c r="Y792" t="s">
        <v>14557</v>
      </c>
      <c r="Z792" t="s">
        <v>14558</v>
      </c>
      <c r="AA792" t="s">
        <v>74</v>
      </c>
      <c r="AB792" t="s">
        <v>14559</v>
      </c>
      <c r="AC792" t="s">
        <v>14560</v>
      </c>
      <c r="AD792" t="s">
        <v>14560</v>
      </c>
      <c r="AE792" t="s">
        <v>14561</v>
      </c>
      <c r="AF792" t="s">
        <v>74</v>
      </c>
      <c r="AG792">
        <v>97</v>
      </c>
      <c r="AH792">
        <v>66</v>
      </c>
      <c r="AI792">
        <v>67</v>
      </c>
      <c r="AJ792">
        <v>0</v>
      </c>
      <c r="AK792">
        <v>31</v>
      </c>
      <c r="AL792" t="s">
        <v>506</v>
      </c>
      <c r="AM792" t="s">
        <v>442</v>
      </c>
      <c r="AN792" t="s">
        <v>507</v>
      </c>
      <c r="AO792" t="s">
        <v>4703</v>
      </c>
      <c r="AP792" t="s">
        <v>74</v>
      </c>
      <c r="AQ792" t="s">
        <v>74</v>
      </c>
      <c r="AR792" t="s">
        <v>4704</v>
      </c>
      <c r="AS792" t="s">
        <v>4705</v>
      </c>
      <c r="AT792" t="s">
        <v>14562</v>
      </c>
      <c r="AU792">
        <v>2013</v>
      </c>
      <c r="AV792">
        <v>64</v>
      </c>
      <c r="AW792" t="s">
        <v>74</v>
      </c>
      <c r="AX792" t="s">
        <v>74</v>
      </c>
      <c r="AY792" t="s">
        <v>74</v>
      </c>
      <c r="AZ792" t="s">
        <v>74</v>
      </c>
      <c r="BA792" t="s">
        <v>74</v>
      </c>
      <c r="BB792">
        <v>1</v>
      </c>
      <c r="BC792">
        <v>19</v>
      </c>
      <c r="BD792" t="s">
        <v>74</v>
      </c>
      <c r="BE792" t="s">
        <v>14563</v>
      </c>
      <c r="BF792" t="str">
        <f>HYPERLINK("http://dx.doi.org/10.1016/j.quascirev.2012.12.003","http://dx.doi.org/10.1016/j.quascirev.2012.12.003")</f>
        <v>http://dx.doi.org/10.1016/j.quascirev.2012.12.003</v>
      </c>
      <c r="BG792" t="s">
        <v>74</v>
      </c>
      <c r="BH792" t="s">
        <v>74</v>
      </c>
      <c r="BI792">
        <v>19</v>
      </c>
      <c r="BJ792" t="s">
        <v>650</v>
      </c>
      <c r="BK792" t="s">
        <v>102</v>
      </c>
      <c r="BL792" t="s">
        <v>651</v>
      </c>
      <c r="BM792" t="s">
        <v>14564</v>
      </c>
      <c r="BN792" t="s">
        <v>74</v>
      </c>
      <c r="BO792" t="s">
        <v>74</v>
      </c>
      <c r="BP792" t="s">
        <v>74</v>
      </c>
      <c r="BQ792" t="s">
        <v>74</v>
      </c>
      <c r="BR792" t="s">
        <v>105</v>
      </c>
      <c r="BS792" t="s">
        <v>14565</v>
      </c>
      <c r="BT792" t="str">
        <f>HYPERLINK("https%3A%2F%2Fwww.webofscience.com%2Fwos%2Fwoscc%2Ffull-record%2FWOS:000319951600001","View Full Record in Web of Science")</f>
        <v>View Full Record in Web of Science</v>
      </c>
    </row>
    <row r="793" spans="1:72" x14ac:dyDescent="0.15">
      <c r="A793" t="s">
        <v>72</v>
      </c>
      <c r="B793" t="s">
        <v>14566</v>
      </c>
      <c r="C793" t="s">
        <v>74</v>
      </c>
      <c r="D793" t="s">
        <v>74</v>
      </c>
      <c r="E793" t="s">
        <v>74</v>
      </c>
      <c r="F793" t="s">
        <v>14567</v>
      </c>
      <c r="G793" t="s">
        <v>74</v>
      </c>
      <c r="H793" t="s">
        <v>74</v>
      </c>
      <c r="I793" t="s">
        <v>14568</v>
      </c>
      <c r="J793" t="s">
        <v>8813</v>
      </c>
      <c r="K793" t="s">
        <v>74</v>
      </c>
      <c r="L793" t="s">
        <v>74</v>
      </c>
      <c r="M793" t="s">
        <v>78</v>
      </c>
      <c r="N793" t="s">
        <v>79</v>
      </c>
      <c r="O793" t="s">
        <v>74</v>
      </c>
      <c r="P793" t="s">
        <v>74</v>
      </c>
      <c r="Q793" t="s">
        <v>74</v>
      </c>
      <c r="R793" t="s">
        <v>74</v>
      </c>
      <c r="S793" t="s">
        <v>74</v>
      </c>
      <c r="T793" t="s">
        <v>14569</v>
      </c>
      <c r="U793" t="s">
        <v>14570</v>
      </c>
      <c r="V793" t="s">
        <v>14571</v>
      </c>
      <c r="W793" t="s">
        <v>14572</v>
      </c>
      <c r="X793" t="s">
        <v>14573</v>
      </c>
      <c r="Y793" t="s">
        <v>14574</v>
      </c>
      <c r="Z793" t="s">
        <v>14575</v>
      </c>
      <c r="AA793" t="s">
        <v>14576</v>
      </c>
      <c r="AB793" t="s">
        <v>14577</v>
      </c>
      <c r="AC793" t="s">
        <v>14578</v>
      </c>
      <c r="AD793" t="s">
        <v>14579</v>
      </c>
      <c r="AE793" t="s">
        <v>14580</v>
      </c>
      <c r="AF793" t="s">
        <v>74</v>
      </c>
      <c r="AG793">
        <v>70</v>
      </c>
      <c r="AH793">
        <v>21</v>
      </c>
      <c r="AI793">
        <v>23</v>
      </c>
      <c r="AJ793">
        <v>0</v>
      </c>
      <c r="AK793">
        <v>48</v>
      </c>
      <c r="AL793" t="s">
        <v>506</v>
      </c>
      <c r="AM793" t="s">
        <v>442</v>
      </c>
      <c r="AN793" t="s">
        <v>507</v>
      </c>
      <c r="AO793" t="s">
        <v>8826</v>
      </c>
      <c r="AP793" t="s">
        <v>8827</v>
      </c>
      <c r="AQ793" t="s">
        <v>74</v>
      </c>
      <c r="AR793" t="s">
        <v>8828</v>
      </c>
      <c r="AS793" t="s">
        <v>8829</v>
      </c>
      <c r="AT793" t="s">
        <v>14562</v>
      </c>
      <c r="AU793">
        <v>2013</v>
      </c>
      <c r="AV793">
        <v>68</v>
      </c>
      <c r="AW793" t="s">
        <v>8830</v>
      </c>
      <c r="AX793" t="s">
        <v>74</v>
      </c>
      <c r="AY793" t="s">
        <v>74</v>
      </c>
      <c r="AZ793" t="s">
        <v>74</v>
      </c>
      <c r="BA793" t="s">
        <v>74</v>
      </c>
      <c r="BB793">
        <v>30</v>
      </c>
      <c r="BC793">
        <v>37</v>
      </c>
      <c r="BD793" t="s">
        <v>74</v>
      </c>
      <c r="BE793" t="s">
        <v>14581</v>
      </c>
      <c r="BF793" t="str">
        <f>HYPERLINK("http://dx.doi.org/10.1016/j.marpolbul.2013.01.002","http://dx.doi.org/10.1016/j.marpolbul.2013.01.002")</f>
        <v>http://dx.doi.org/10.1016/j.marpolbul.2013.01.002</v>
      </c>
      <c r="BG793" t="s">
        <v>74</v>
      </c>
      <c r="BH793" t="s">
        <v>74</v>
      </c>
      <c r="BI793">
        <v>8</v>
      </c>
      <c r="BJ793" t="s">
        <v>4060</v>
      </c>
      <c r="BK793" t="s">
        <v>102</v>
      </c>
      <c r="BL793" t="s">
        <v>163</v>
      </c>
      <c r="BM793" t="s">
        <v>14582</v>
      </c>
      <c r="BN793">
        <v>23398743</v>
      </c>
      <c r="BO793" t="s">
        <v>74</v>
      </c>
      <c r="BP793" t="s">
        <v>74</v>
      </c>
      <c r="BQ793" t="s">
        <v>74</v>
      </c>
      <c r="BR793" t="s">
        <v>105</v>
      </c>
      <c r="BS793" t="s">
        <v>14583</v>
      </c>
      <c r="BT793" t="str">
        <f>HYPERLINK("https%3A%2F%2Fwww.webofscience.com%2Fwos%2Fwoscc%2Ffull-record%2FWOS:000317326500016","View Full Record in Web of Science")</f>
        <v>View Full Record in Web of Science</v>
      </c>
    </row>
    <row r="794" spans="1:72" x14ac:dyDescent="0.15">
      <c r="A794" t="s">
        <v>72</v>
      </c>
      <c r="B794" t="s">
        <v>14584</v>
      </c>
      <c r="C794" t="s">
        <v>74</v>
      </c>
      <c r="D794" t="s">
        <v>74</v>
      </c>
      <c r="E794" t="s">
        <v>74</v>
      </c>
      <c r="F794" t="s">
        <v>14585</v>
      </c>
      <c r="G794" t="s">
        <v>74</v>
      </c>
      <c r="H794" t="s">
        <v>74</v>
      </c>
      <c r="I794" t="s">
        <v>14586</v>
      </c>
      <c r="J794" t="s">
        <v>966</v>
      </c>
      <c r="K794" t="s">
        <v>74</v>
      </c>
      <c r="L794" t="s">
        <v>74</v>
      </c>
      <c r="M794" t="s">
        <v>78</v>
      </c>
      <c r="N794" t="s">
        <v>79</v>
      </c>
      <c r="O794" t="s">
        <v>74</v>
      </c>
      <c r="P794" t="s">
        <v>74</v>
      </c>
      <c r="Q794" t="s">
        <v>74</v>
      </c>
      <c r="R794" t="s">
        <v>74</v>
      </c>
      <c r="S794" t="s">
        <v>74</v>
      </c>
      <c r="T794" t="s">
        <v>14587</v>
      </c>
      <c r="U794" t="s">
        <v>14588</v>
      </c>
      <c r="V794" t="s">
        <v>14589</v>
      </c>
      <c r="W794" t="s">
        <v>14590</v>
      </c>
      <c r="X794" t="s">
        <v>14591</v>
      </c>
      <c r="Y794" t="s">
        <v>14592</v>
      </c>
      <c r="Z794" t="s">
        <v>14593</v>
      </c>
      <c r="AA794" t="s">
        <v>14594</v>
      </c>
      <c r="AB794" t="s">
        <v>14595</v>
      </c>
      <c r="AC794" t="s">
        <v>14596</v>
      </c>
      <c r="AD794" t="s">
        <v>14597</v>
      </c>
      <c r="AE794" t="s">
        <v>14598</v>
      </c>
      <c r="AF794" t="s">
        <v>74</v>
      </c>
      <c r="AG794">
        <v>103</v>
      </c>
      <c r="AH794">
        <v>48</v>
      </c>
      <c r="AI794">
        <v>48</v>
      </c>
      <c r="AJ794">
        <v>1</v>
      </c>
      <c r="AK794">
        <v>38</v>
      </c>
      <c r="AL794" t="s">
        <v>195</v>
      </c>
      <c r="AM794" t="s">
        <v>155</v>
      </c>
      <c r="AN794" t="s">
        <v>196</v>
      </c>
      <c r="AO794" t="s">
        <v>979</v>
      </c>
      <c r="AP794" t="s">
        <v>980</v>
      </c>
      <c r="AQ794" t="s">
        <v>74</v>
      </c>
      <c r="AR794" t="s">
        <v>981</v>
      </c>
      <c r="AS794" t="s">
        <v>982</v>
      </c>
      <c r="AT794" t="s">
        <v>14562</v>
      </c>
      <c r="AU794">
        <v>2013</v>
      </c>
      <c r="AV794">
        <v>374</v>
      </c>
      <c r="AW794" t="s">
        <v>74</v>
      </c>
      <c r="AX794" t="s">
        <v>74</v>
      </c>
      <c r="AY794" t="s">
        <v>74</v>
      </c>
      <c r="AZ794" t="s">
        <v>74</v>
      </c>
      <c r="BA794" t="s">
        <v>74</v>
      </c>
      <c r="BB794">
        <v>28</v>
      </c>
      <c r="BC794">
        <v>40</v>
      </c>
      <c r="BD794" t="s">
        <v>74</v>
      </c>
      <c r="BE794" t="s">
        <v>14599</v>
      </c>
      <c r="BF794" t="str">
        <f>HYPERLINK("http://dx.doi.org/10.1016/j.palaeo.2012.12.022","http://dx.doi.org/10.1016/j.palaeo.2012.12.022")</f>
        <v>http://dx.doi.org/10.1016/j.palaeo.2012.12.022</v>
      </c>
      <c r="BG794" t="s">
        <v>74</v>
      </c>
      <c r="BH794" t="s">
        <v>74</v>
      </c>
      <c r="BI794">
        <v>13</v>
      </c>
      <c r="BJ794" t="s">
        <v>984</v>
      </c>
      <c r="BK794" t="s">
        <v>102</v>
      </c>
      <c r="BL794" t="s">
        <v>985</v>
      </c>
      <c r="BM794" t="s">
        <v>14600</v>
      </c>
      <c r="BN794" t="s">
        <v>74</v>
      </c>
      <c r="BO794" t="s">
        <v>74</v>
      </c>
      <c r="BP794" t="s">
        <v>74</v>
      </c>
      <c r="BQ794" t="s">
        <v>74</v>
      </c>
      <c r="BR794" t="s">
        <v>105</v>
      </c>
      <c r="BS794" t="s">
        <v>14601</v>
      </c>
      <c r="BT794" t="str">
        <f>HYPERLINK("https%3A%2F%2Fwww.webofscience.com%2Fwos%2Fwoscc%2Ffull-record%2FWOS:000317322700003","View Full Record in Web of Science")</f>
        <v>View Full Record in Web of Science</v>
      </c>
    </row>
    <row r="795" spans="1:72" x14ac:dyDescent="0.15">
      <c r="A795" t="s">
        <v>72</v>
      </c>
      <c r="B795" t="s">
        <v>14602</v>
      </c>
      <c r="C795" t="s">
        <v>74</v>
      </c>
      <c r="D795" t="s">
        <v>74</v>
      </c>
      <c r="E795" t="s">
        <v>74</v>
      </c>
      <c r="F795" t="s">
        <v>14603</v>
      </c>
      <c r="G795" t="s">
        <v>74</v>
      </c>
      <c r="H795" t="s">
        <v>74</v>
      </c>
      <c r="I795" t="s">
        <v>14604</v>
      </c>
      <c r="J795" t="s">
        <v>14605</v>
      </c>
      <c r="K795" t="s">
        <v>74</v>
      </c>
      <c r="L795" t="s">
        <v>74</v>
      </c>
      <c r="M795" t="s">
        <v>78</v>
      </c>
      <c r="N795" t="s">
        <v>79</v>
      </c>
      <c r="O795" t="s">
        <v>74</v>
      </c>
      <c r="P795" t="s">
        <v>74</v>
      </c>
      <c r="Q795" t="s">
        <v>74</v>
      </c>
      <c r="R795" t="s">
        <v>74</v>
      </c>
      <c r="S795" t="s">
        <v>74</v>
      </c>
      <c r="T795" t="s">
        <v>14606</v>
      </c>
      <c r="U795" t="s">
        <v>14607</v>
      </c>
      <c r="V795" t="s">
        <v>14608</v>
      </c>
      <c r="W795" t="s">
        <v>14609</v>
      </c>
      <c r="X795" t="s">
        <v>14610</v>
      </c>
      <c r="Y795" t="s">
        <v>14611</v>
      </c>
      <c r="Z795" t="s">
        <v>14612</v>
      </c>
      <c r="AA795" t="s">
        <v>14613</v>
      </c>
      <c r="AB795" t="s">
        <v>14614</v>
      </c>
      <c r="AC795" t="s">
        <v>14615</v>
      </c>
      <c r="AD795" t="s">
        <v>14616</v>
      </c>
      <c r="AE795" t="s">
        <v>14617</v>
      </c>
      <c r="AF795" t="s">
        <v>74</v>
      </c>
      <c r="AG795">
        <v>69</v>
      </c>
      <c r="AH795">
        <v>32</v>
      </c>
      <c r="AI795">
        <v>32</v>
      </c>
      <c r="AJ795">
        <v>1</v>
      </c>
      <c r="AK795">
        <v>76</v>
      </c>
      <c r="AL795" t="s">
        <v>154</v>
      </c>
      <c r="AM795" t="s">
        <v>155</v>
      </c>
      <c r="AN795" t="s">
        <v>156</v>
      </c>
      <c r="AO795" t="s">
        <v>14618</v>
      </c>
      <c r="AP795" t="s">
        <v>74</v>
      </c>
      <c r="AQ795" t="s">
        <v>74</v>
      </c>
      <c r="AR795" t="s">
        <v>14619</v>
      </c>
      <c r="AS795" t="s">
        <v>14620</v>
      </c>
      <c r="AT795" t="s">
        <v>14562</v>
      </c>
      <c r="AU795">
        <v>2013</v>
      </c>
      <c r="AV795">
        <v>128</v>
      </c>
      <c r="AW795" t="s">
        <v>74</v>
      </c>
      <c r="AX795" t="s">
        <v>74</v>
      </c>
      <c r="AY795" t="s">
        <v>74</v>
      </c>
      <c r="AZ795" t="s">
        <v>74</v>
      </c>
      <c r="BA795" t="s">
        <v>74</v>
      </c>
      <c r="BB795">
        <v>91</v>
      </c>
      <c r="BC795">
        <v>100</v>
      </c>
      <c r="BD795" t="s">
        <v>74</v>
      </c>
      <c r="BE795" t="s">
        <v>14621</v>
      </c>
      <c r="BF795" t="str">
        <f>HYPERLINK("http://dx.doi.org/10.1016/j.aquatox.2012.11.019","http://dx.doi.org/10.1016/j.aquatox.2012.11.019")</f>
        <v>http://dx.doi.org/10.1016/j.aquatox.2012.11.019</v>
      </c>
      <c r="BG795" t="s">
        <v>74</v>
      </c>
      <c r="BH795" t="s">
        <v>74</v>
      </c>
      <c r="BI795">
        <v>10</v>
      </c>
      <c r="BJ795" t="s">
        <v>14622</v>
      </c>
      <c r="BK795" t="s">
        <v>102</v>
      </c>
      <c r="BL795" t="s">
        <v>14622</v>
      </c>
      <c r="BM795" t="s">
        <v>14623</v>
      </c>
      <c r="BN795">
        <v>23274353</v>
      </c>
      <c r="BO795" t="s">
        <v>74</v>
      </c>
      <c r="BP795" t="s">
        <v>74</v>
      </c>
      <c r="BQ795" t="s">
        <v>74</v>
      </c>
      <c r="BR795" t="s">
        <v>105</v>
      </c>
      <c r="BS795" t="s">
        <v>14624</v>
      </c>
      <c r="BT795" t="str">
        <f>HYPERLINK("https%3A%2F%2Fwww.webofscience.com%2Fwos%2Fwoscc%2Ffull-record%2FWOS:000316531900010","View Full Record in Web of Science")</f>
        <v>View Full Record in Web of Science</v>
      </c>
    </row>
    <row r="796" spans="1:72" x14ac:dyDescent="0.15">
      <c r="A796" t="s">
        <v>72</v>
      </c>
      <c r="B796" t="s">
        <v>14625</v>
      </c>
      <c r="C796" t="s">
        <v>74</v>
      </c>
      <c r="D796" t="s">
        <v>74</v>
      </c>
      <c r="E796" t="s">
        <v>74</v>
      </c>
      <c r="F796" t="s">
        <v>14626</v>
      </c>
      <c r="G796" t="s">
        <v>74</v>
      </c>
      <c r="H796" t="s">
        <v>74</v>
      </c>
      <c r="I796" t="s">
        <v>14627</v>
      </c>
      <c r="J796" t="s">
        <v>14628</v>
      </c>
      <c r="K796" t="s">
        <v>74</v>
      </c>
      <c r="L796" t="s">
        <v>74</v>
      </c>
      <c r="M796" t="s">
        <v>78</v>
      </c>
      <c r="N796" t="s">
        <v>79</v>
      </c>
      <c r="O796" t="s">
        <v>74</v>
      </c>
      <c r="P796" t="s">
        <v>74</v>
      </c>
      <c r="Q796" t="s">
        <v>74</v>
      </c>
      <c r="R796" t="s">
        <v>74</v>
      </c>
      <c r="S796" t="s">
        <v>74</v>
      </c>
      <c r="T796" t="s">
        <v>14629</v>
      </c>
      <c r="U796" t="s">
        <v>14630</v>
      </c>
      <c r="V796" t="s">
        <v>14631</v>
      </c>
      <c r="W796" t="s">
        <v>14632</v>
      </c>
      <c r="X796" t="s">
        <v>14633</v>
      </c>
      <c r="Y796" t="s">
        <v>14634</v>
      </c>
      <c r="Z796" t="s">
        <v>14635</v>
      </c>
      <c r="AA796" t="s">
        <v>14636</v>
      </c>
      <c r="AB796" t="s">
        <v>14637</v>
      </c>
      <c r="AC796" t="s">
        <v>14638</v>
      </c>
      <c r="AD796" t="s">
        <v>14639</v>
      </c>
      <c r="AE796" t="s">
        <v>14640</v>
      </c>
      <c r="AF796" t="s">
        <v>74</v>
      </c>
      <c r="AG796">
        <v>25</v>
      </c>
      <c r="AH796">
        <v>11</v>
      </c>
      <c r="AI796">
        <v>11</v>
      </c>
      <c r="AJ796">
        <v>1</v>
      </c>
      <c r="AK796">
        <v>82</v>
      </c>
      <c r="AL796" t="s">
        <v>14641</v>
      </c>
      <c r="AM796" t="s">
        <v>442</v>
      </c>
      <c r="AN796" t="s">
        <v>14642</v>
      </c>
      <c r="AO796" t="s">
        <v>14643</v>
      </c>
      <c r="AP796" t="s">
        <v>14644</v>
      </c>
      <c r="AQ796" t="s">
        <v>74</v>
      </c>
      <c r="AR796" t="s">
        <v>14645</v>
      </c>
      <c r="AS796" t="s">
        <v>14646</v>
      </c>
      <c r="AT796" t="s">
        <v>14562</v>
      </c>
      <c r="AU796">
        <v>2013</v>
      </c>
      <c r="AV796">
        <v>41</v>
      </c>
      <c r="AW796" t="s">
        <v>74</v>
      </c>
      <c r="AX796" t="s">
        <v>74</v>
      </c>
      <c r="AY796" t="s">
        <v>74</v>
      </c>
      <c r="AZ796" t="s">
        <v>74</v>
      </c>
      <c r="BA796" t="s">
        <v>74</v>
      </c>
      <c r="BB796">
        <v>752</v>
      </c>
      <c r="BC796">
        <v>757</v>
      </c>
      <c r="BD796" t="s">
        <v>74</v>
      </c>
      <c r="BE796" t="s">
        <v>14647</v>
      </c>
      <c r="BF796" t="str">
        <f>HYPERLINK("http://dx.doi.org/10.1016/j.bios.2012.09.052","http://dx.doi.org/10.1016/j.bios.2012.09.052")</f>
        <v>http://dx.doi.org/10.1016/j.bios.2012.09.052</v>
      </c>
      <c r="BG796" t="s">
        <v>74</v>
      </c>
      <c r="BH796" t="s">
        <v>74</v>
      </c>
      <c r="BI796">
        <v>6</v>
      </c>
      <c r="BJ796" t="s">
        <v>14648</v>
      </c>
      <c r="BK796" t="s">
        <v>102</v>
      </c>
      <c r="BL796" t="s">
        <v>14649</v>
      </c>
      <c r="BM796" t="s">
        <v>14650</v>
      </c>
      <c r="BN796">
        <v>23084754</v>
      </c>
      <c r="BO796" t="s">
        <v>74</v>
      </c>
      <c r="BP796" t="s">
        <v>74</v>
      </c>
      <c r="BQ796" t="s">
        <v>74</v>
      </c>
      <c r="BR796" t="s">
        <v>105</v>
      </c>
      <c r="BS796" t="s">
        <v>14651</v>
      </c>
      <c r="BT796" t="str">
        <f>HYPERLINK("https%3A%2F%2Fwww.webofscience.com%2Fwos%2Fwoscc%2Ffull-record%2FWOS:000314191300112","View Full Record in Web of Science")</f>
        <v>View Full Record in Web of Science</v>
      </c>
    </row>
    <row r="797" spans="1:72" x14ac:dyDescent="0.15">
      <c r="A797" t="s">
        <v>72</v>
      </c>
      <c r="B797" t="s">
        <v>14652</v>
      </c>
      <c r="C797" t="s">
        <v>74</v>
      </c>
      <c r="D797" t="s">
        <v>74</v>
      </c>
      <c r="E797" t="s">
        <v>74</v>
      </c>
      <c r="F797" t="s">
        <v>14653</v>
      </c>
      <c r="G797" t="s">
        <v>74</v>
      </c>
      <c r="H797" t="s">
        <v>74</v>
      </c>
      <c r="I797" t="s">
        <v>14654</v>
      </c>
      <c r="J797" t="s">
        <v>14655</v>
      </c>
      <c r="K797" t="s">
        <v>74</v>
      </c>
      <c r="L797" t="s">
        <v>74</v>
      </c>
      <c r="M797" t="s">
        <v>78</v>
      </c>
      <c r="N797" t="s">
        <v>79</v>
      </c>
      <c r="O797" t="s">
        <v>74</v>
      </c>
      <c r="P797" t="s">
        <v>74</v>
      </c>
      <c r="Q797" t="s">
        <v>74</v>
      </c>
      <c r="R797" t="s">
        <v>74</v>
      </c>
      <c r="S797" t="s">
        <v>74</v>
      </c>
      <c r="T797" t="s">
        <v>74</v>
      </c>
      <c r="U797" t="s">
        <v>14656</v>
      </c>
      <c r="V797" t="s">
        <v>14657</v>
      </c>
      <c r="W797" t="s">
        <v>14658</v>
      </c>
      <c r="X797" t="s">
        <v>14659</v>
      </c>
      <c r="Y797" t="s">
        <v>14660</v>
      </c>
      <c r="Z797" t="s">
        <v>14661</v>
      </c>
      <c r="AA797" t="s">
        <v>74</v>
      </c>
      <c r="AB797" t="s">
        <v>74</v>
      </c>
      <c r="AC797" t="s">
        <v>14662</v>
      </c>
      <c r="AD797" t="s">
        <v>14663</v>
      </c>
      <c r="AE797" t="s">
        <v>14664</v>
      </c>
      <c r="AF797" t="s">
        <v>74</v>
      </c>
      <c r="AG797">
        <v>94</v>
      </c>
      <c r="AH797">
        <v>28</v>
      </c>
      <c r="AI797">
        <v>30</v>
      </c>
      <c r="AJ797">
        <v>0</v>
      </c>
      <c r="AK797">
        <v>31</v>
      </c>
      <c r="AL797" t="s">
        <v>506</v>
      </c>
      <c r="AM797" t="s">
        <v>442</v>
      </c>
      <c r="AN797" t="s">
        <v>507</v>
      </c>
      <c r="AO797" t="s">
        <v>14665</v>
      </c>
      <c r="AP797" t="s">
        <v>14666</v>
      </c>
      <c r="AQ797" t="s">
        <v>74</v>
      </c>
      <c r="AR797" t="s">
        <v>14667</v>
      </c>
      <c r="AS797" t="s">
        <v>14668</v>
      </c>
      <c r="AT797" t="s">
        <v>14562</v>
      </c>
      <c r="AU797">
        <v>2013</v>
      </c>
      <c r="AV797">
        <v>105</v>
      </c>
      <c r="AW797" t="s">
        <v>74</v>
      </c>
      <c r="AX797" t="s">
        <v>74</v>
      </c>
      <c r="AY797" t="s">
        <v>74</v>
      </c>
      <c r="AZ797" t="s">
        <v>74</v>
      </c>
      <c r="BA797" t="s">
        <v>74</v>
      </c>
      <c r="BB797">
        <v>73</v>
      </c>
      <c r="BC797">
        <v>91</v>
      </c>
      <c r="BD797" t="s">
        <v>74</v>
      </c>
      <c r="BE797" t="s">
        <v>14669</v>
      </c>
      <c r="BF797" t="str">
        <f>HYPERLINK("http://dx.doi.org/10.1016/j.gca.2012.11.040","http://dx.doi.org/10.1016/j.gca.2012.11.040")</f>
        <v>http://dx.doi.org/10.1016/j.gca.2012.11.040</v>
      </c>
      <c r="BG797" t="s">
        <v>74</v>
      </c>
      <c r="BH797" t="s">
        <v>74</v>
      </c>
      <c r="BI797">
        <v>19</v>
      </c>
      <c r="BJ797" t="s">
        <v>766</v>
      </c>
      <c r="BK797" t="s">
        <v>102</v>
      </c>
      <c r="BL797" t="s">
        <v>766</v>
      </c>
      <c r="BM797" t="s">
        <v>14670</v>
      </c>
      <c r="BN797" t="s">
        <v>74</v>
      </c>
      <c r="BO797" t="s">
        <v>74</v>
      </c>
      <c r="BP797" t="s">
        <v>74</v>
      </c>
      <c r="BQ797" t="s">
        <v>74</v>
      </c>
      <c r="BR797" t="s">
        <v>105</v>
      </c>
      <c r="BS797" t="s">
        <v>14671</v>
      </c>
      <c r="BT797" t="str">
        <f>HYPERLINK("https%3A%2F%2Fwww.webofscience.com%2Fwos%2Fwoscc%2Ffull-record%2FWOS:000315194800006","View Full Record in Web of Science")</f>
        <v>View Full Record in Web of Science</v>
      </c>
    </row>
    <row r="798" spans="1:72" x14ac:dyDescent="0.15">
      <c r="A798" t="s">
        <v>72</v>
      </c>
      <c r="B798" t="s">
        <v>14672</v>
      </c>
      <c r="C798" t="s">
        <v>74</v>
      </c>
      <c r="D798" t="s">
        <v>74</v>
      </c>
      <c r="E798" t="s">
        <v>74</v>
      </c>
      <c r="F798" t="s">
        <v>14673</v>
      </c>
      <c r="G798" t="s">
        <v>74</v>
      </c>
      <c r="H798" t="s">
        <v>74</v>
      </c>
      <c r="I798" t="s">
        <v>14674</v>
      </c>
      <c r="J798" t="s">
        <v>14655</v>
      </c>
      <c r="K798" t="s">
        <v>74</v>
      </c>
      <c r="L798" t="s">
        <v>74</v>
      </c>
      <c r="M798" t="s">
        <v>78</v>
      </c>
      <c r="N798" t="s">
        <v>79</v>
      </c>
      <c r="O798" t="s">
        <v>74</v>
      </c>
      <c r="P798" t="s">
        <v>74</v>
      </c>
      <c r="Q798" t="s">
        <v>74</v>
      </c>
      <c r="R798" t="s">
        <v>74</v>
      </c>
      <c r="S798" t="s">
        <v>74</v>
      </c>
      <c r="T798" t="s">
        <v>74</v>
      </c>
      <c r="U798" t="s">
        <v>14675</v>
      </c>
      <c r="V798" t="s">
        <v>14676</v>
      </c>
      <c r="W798" t="s">
        <v>14677</v>
      </c>
      <c r="X798" t="s">
        <v>14678</v>
      </c>
      <c r="Y798" t="s">
        <v>14679</v>
      </c>
      <c r="Z798" t="s">
        <v>14680</v>
      </c>
      <c r="AA798" t="s">
        <v>14681</v>
      </c>
      <c r="AB798" t="s">
        <v>14682</v>
      </c>
      <c r="AC798" t="s">
        <v>14683</v>
      </c>
      <c r="AD798" t="s">
        <v>14684</v>
      </c>
      <c r="AE798" t="s">
        <v>14685</v>
      </c>
      <c r="AF798" t="s">
        <v>74</v>
      </c>
      <c r="AG798">
        <v>124</v>
      </c>
      <c r="AH798">
        <v>33</v>
      </c>
      <c r="AI798">
        <v>37</v>
      </c>
      <c r="AJ798">
        <v>1</v>
      </c>
      <c r="AK798">
        <v>26</v>
      </c>
      <c r="AL798" t="s">
        <v>506</v>
      </c>
      <c r="AM798" t="s">
        <v>442</v>
      </c>
      <c r="AN798" t="s">
        <v>507</v>
      </c>
      <c r="AO798" t="s">
        <v>14665</v>
      </c>
      <c r="AP798" t="s">
        <v>14666</v>
      </c>
      <c r="AQ798" t="s">
        <v>74</v>
      </c>
      <c r="AR798" t="s">
        <v>14667</v>
      </c>
      <c r="AS798" t="s">
        <v>14668</v>
      </c>
      <c r="AT798" t="s">
        <v>14562</v>
      </c>
      <c r="AU798">
        <v>2013</v>
      </c>
      <c r="AV798">
        <v>105</v>
      </c>
      <c r="AW798" t="s">
        <v>74</v>
      </c>
      <c r="AX798" t="s">
        <v>74</v>
      </c>
      <c r="AY798" t="s">
        <v>74</v>
      </c>
      <c r="AZ798" t="s">
        <v>74</v>
      </c>
      <c r="BA798" t="s">
        <v>74</v>
      </c>
      <c r="BB798">
        <v>395</v>
      </c>
      <c r="BC798">
        <v>421</v>
      </c>
      <c r="BD798" t="s">
        <v>74</v>
      </c>
      <c r="BE798" t="s">
        <v>14686</v>
      </c>
      <c r="BF798" t="str">
        <f>HYPERLINK("http://dx.doi.org/10.1016/j.gca.2012.11.047","http://dx.doi.org/10.1016/j.gca.2012.11.047")</f>
        <v>http://dx.doi.org/10.1016/j.gca.2012.11.047</v>
      </c>
      <c r="BG798" t="s">
        <v>74</v>
      </c>
      <c r="BH798" t="s">
        <v>74</v>
      </c>
      <c r="BI798">
        <v>27</v>
      </c>
      <c r="BJ798" t="s">
        <v>766</v>
      </c>
      <c r="BK798" t="s">
        <v>102</v>
      </c>
      <c r="BL798" t="s">
        <v>766</v>
      </c>
      <c r="BM798" t="s">
        <v>14670</v>
      </c>
      <c r="BN798" t="s">
        <v>74</v>
      </c>
      <c r="BO798" t="s">
        <v>1063</v>
      </c>
      <c r="BP798" t="s">
        <v>74</v>
      </c>
      <c r="BQ798" t="s">
        <v>74</v>
      </c>
      <c r="BR798" t="s">
        <v>105</v>
      </c>
      <c r="BS798" t="s">
        <v>14687</v>
      </c>
      <c r="BT798" t="str">
        <f>HYPERLINK("https%3A%2F%2Fwww.webofscience.com%2Fwos%2Fwoscc%2Ffull-record%2FWOS:000315194800023","View Full Record in Web of Science")</f>
        <v>View Full Record in Web of Science</v>
      </c>
    </row>
    <row r="799" spans="1:72" x14ac:dyDescent="0.15">
      <c r="A799" t="s">
        <v>72</v>
      </c>
      <c r="B799" t="s">
        <v>14688</v>
      </c>
      <c r="C799" t="s">
        <v>74</v>
      </c>
      <c r="D799" t="s">
        <v>74</v>
      </c>
      <c r="E799" t="s">
        <v>74</v>
      </c>
      <c r="F799" t="s">
        <v>14689</v>
      </c>
      <c r="G799" t="s">
        <v>74</v>
      </c>
      <c r="H799" t="s">
        <v>74</v>
      </c>
      <c r="I799" t="s">
        <v>14690</v>
      </c>
      <c r="J799" t="s">
        <v>4690</v>
      </c>
      <c r="K799" t="s">
        <v>74</v>
      </c>
      <c r="L799" t="s">
        <v>74</v>
      </c>
      <c r="M799" t="s">
        <v>78</v>
      </c>
      <c r="N799" t="s">
        <v>79</v>
      </c>
      <c r="O799" t="s">
        <v>74</v>
      </c>
      <c r="P799" t="s">
        <v>74</v>
      </c>
      <c r="Q799" t="s">
        <v>74</v>
      </c>
      <c r="R799" t="s">
        <v>74</v>
      </c>
      <c r="S799" t="s">
        <v>74</v>
      </c>
      <c r="T799" t="s">
        <v>14691</v>
      </c>
      <c r="U799" t="s">
        <v>14692</v>
      </c>
      <c r="V799" t="s">
        <v>14693</v>
      </c>
      <c r="W799" t="s">
        <v>14694</v>
      </c>
      <c r="X799" t="s">
        <v>14695</v>
      </c>
      <c r="Y799" t="s">
        <v>14696</v>
      </c>
      <c r="Z799" t="s">
        <v>14697</v>
      </c>
      <c r="AA799" t="s">
        <v>14698</v>
      </c>
      <c r="AB799" t="s">
        <v>14699</v>
      </c>
      <c r="AC799" t="s">
        <v>14700</v>
      </c>
      <c r="AD799" t="s">
        <v>14701</v>
      </c>
      <c r="AE799" t="s">
        <v>14702</v>
      </c>
      <c r="AF799" t="s">
        <v>74</v>
      </c>
      <c r="AG799">
        <v>84</v>
      </c>
      <c r="AH799">
        <v>50</v>
      </c>
      <c r="AI799">
        <v>58</v>
      </c>
      <c r="AJ799">
        <v>0</v>
      </c>
      <c r="AK799">
        <v>38</v>
      </c>
      <c r="AL799" t="s">
        <v>506</v>
      </c>
      <c r="AM799" t="s">
        <v>442</v>
      </c>
      <c r="AN799" t="s">
        <v>507</v>
      </c>
      <c r="AO799" t="s">
        <v>4703</v>
      </c>
      <c r="AP799" t="s">
        <v>8863</v>
      </c>
      <c r="AQ799" t="s">
        <v>74</v>
      </c>
      <c r="AR799" t="s">
        <v>4704</v>
      </c>
      <c r="AS799" t="s">
        <v>4705</v>
      </c>
      <c r="AT799" t="s">
        <v>14562</v>
      </c>
      <c r="AU799">
        <v>2013</v>
      </c>
      <c r="AV799">
        <v>64</v>
      </c>
      <c r="AW799" t="s">
        <v>74</v>
      </c>
      <c r="AX799" t="s">
        <v>74</v>
      </c>
      <c r="AY799" t="s">
        <v>74</v>
      </c>
      <c r="AZ799" t="s">
        <v>74</v>
      </c>
      <c r="BA799" t="s">
        <v>74</v>
      </c>
      <c r="BB799">
        <v>76</v>
      </c>
      <c r="BC799">
        <v>89</v>
      </c>
      <c r="BD799" t="s">
        <v>74</v>
      </c>
      <c r="BE799" t="s">
        <v>14703</v>
      </c>
      <c r="BF799" t="str">
        <f>HYPERLINK("http://dx.doi.org/10.1016/j.quascirev.2012.11.033","http://dx.doi.org/10.1016/j.quascirev.2012.11.033")</f>
        <v>http://dx.doi.org/10.1016/j.quascirev.2012.11.033</v>
      </c>
      <c r="BG799" t="s">
        <v>74</v>
      </c>
      <c r="BH799" t="s">
        <v>74</v>
      </c>
      <c r="BI799">
        <v>14</v>
      </c>
      <c r="BJ799" t="s">
        <v>650</v>
      </c>
      <c r="BK799" t="s">
        <v>102</v>
      </c>
      <c r="BL799" t="s">
        <v>651</v>
      </c>
      <c r="BM799" t="s">
        <v>14564</v>
      </c>
      <c r="BN799" t="s">
        <v>74</v>
      </c>
      <c r="BO799" t="s">
        <v>74</v>
      </c>
      <c r="BP799" t="s">
        <v>74</v>
      </c>
      <c r="BQ799" t="s">
        <v>74</v>
      </c>
      <c r="BR799" t="s">
        <v>105</v>
      </c>
      <c r="BS799" t="s">
        <v>14704</v>
      </c>
      <c r="BT799" t="str">
        <f>HYPERLINK("https%3A%2F%2Fwww.webofscience.com%2Fwos%2Fwoscc%2Ffull-record%2FWOS:000319951600005","View Full Record in Web of Science")</f>
        <v>View Full Record in Web of Science</v>
      </c>
    </row>
    <row r="800" spans="1:72" x14ac:dyDescent="0.15">
      <c r="A800" t="s">
        <v>72</v>
      </c>
      <c r="B800" t="s">
        <v>14705</v>
      </c>
      <c r="C800" t="s">
        <v>74</v>
      </c>
      <c r="D800" t="s">
        <v>74</v>
      </c>
      <c r="E800" t="s">
        <v>74</v>
      </c>
      <c r="F800" t="s">
        <v>14706</v>
      </c>
      <c r="G800" t="s">
        <v>74</v>
      </c>
      <c r="H800" t="s">
        <v>74</v>
      </c>
      <c r="I800" t="s">
        <v>14707</v>
      </c>
      <c r="J800" t="s">
        <v>4690</v>
      </c>
      <c r="K800" t="s">
        <v>74</v>
      </c>
      <c r="L800" t="s">
        <v>74</v>
      </c>
      <c r="M800" t="s">
        <v>78</v>
      </c>
      <c r="N800" t="s">
        <v>79</v>
      </c>
      <c r="O800" t="s">
        <v>74</v>
      </c>
      <c r="P800" t="s">
        <v>74</v>
      </c>
      <c r="Q800" t="s">
        <v>74</v>
      </c>
      <c r="R800" t="s">
        <v>74</v>
      </c>
      <c r="S800" t="s">
        <v>74</v>
      </c>
      <c r="T800" t="s">
        <v>14708</v>
      </c>
      <c r="U800" t="s">
        <v>14709</v>
      </c>
      <c r="V800" t="s">
        <v>14710</v>
      </c>
      <c r="W800" t="s">
        <v>14711</v>
      </c>
      <c r="X800" t="s">
        <v>14712</v>
      </c>
      <c r="Y800" t="s">
        <v>11157</v>
      </c>
      <c r="Z800" t="s">
        <v>11158</v>
      </c>
      <c r="AA800" t="s">
        <v>14713</v>
      </c>
      <c r="AB800" t="s">
        <v>14714</v>
      </c>
      <c r="AC800" t="s">
        <v>2762</v>
      </c>
      <c r="AD800" t="s">
        <v>2050</v>
      </c>
      <c r="AE800" t="s">
        <v>14715</v>
      </c>
      <c r="AF800" t="s">
        <v>74</v>
      </c>
      <c r="AG800">
        <v>77</v>
      </c>
      <c r="AH800">
        <v>113</v>
      </c>
      <c r="AI800">
        <v>121</v>
      </c>
      <c r="AJ800">
        <v>3</v>
      </c>
      <c r="AK800">
        <v>44</v>
      </c>
      <c r="AL800" t="s">
        <v>506</v>
      </c>
      <c r="AM800" t="s">
        <v>442</v>
      </c>
      <c r="AN800" t="s">
        <v>507</v>
      </c>
      <c r="AO800" t="s">
        <v>4703</v>
      </c>
      <c r="AP800" t="s">
        <v>74</v>
      </c>
      <c r="AQ800" t="s">
        <v>74</v>
      </c>
      <c r="AR800" t="s">
        <v>4704</v>
      </c>
      <c r="AS800" t="s">
        <v>4705</v>
      </c>
      <c r="AT800" t="s">
        <v>14562</v>
      </c>
      <c r="AU800">
        <v>2013</v>
      </c>
      <c r="AV800">
        <v>64</v>
      </c>
      <c r="AW800" t="s">
        <v>74</v>
      </c>
      <c r="AX800" t="s">
        <v>74</v>
      </c>
      <c r="AY800" t="s">
        <v>74</v>
      </c>
      <c r="AZ800" t="s">
        <v>74</v>
      </c>
      <c r="BA800" t="s">
        <v>74</v>
      </c>
      <c r="BB800">
        <v>104</v>
      </c>
      <c r="BC800">
        <v>120</v>
      </c>
      <c r="BD800" t="s">
        <v>74</v>
      </c>
      <c r="BE800" t="s">
        <v>14716</v>
      </c>
      <c r="BF800" t="str">
        <f>HYPERLINK("http://dx.doi.org/10.1016/j.quascirev.2012.12.008","http://dx.doi.org/10.1016/j.quascirev.2012.12.008")</f>
        <v>http://dx.doi.org/10.1016/j.quascirev.2012.12.008</v>
      </c>
      <c r="BG800" t="s">
        <v>74</v>
      </c>
      <c r="BH800" t="s">
        <v>74</v>
      </c>
      <c r="BI800">
        <v>17</v>
      </c>
      <c r="BJ800" t="s">
        <v>650</v>
      </c>
      <c r="BK800" t="s">
        <v>102</v>
      </c>
      <c r="BL800" t="s">
        <v>651</v>
      </c>
      <c r="BM800" t="s">
        <v>14564</v>
      </c>
      <c r="BN800" t="s">
        <v>74</v>
      </c>
      <c r="BO800" t="s">
        <v>1202</v>
      </c>
      <c r="BP800" t="s">
        <v>74</v>
      </c>
      <c r="BQ800" t="s">
        <v>74</v>
      </c>
      <c r="BR800" t="s">
        <v>105</v>
      </c>
      <c r="BS800" t="s">
        <v>14717</v>
      </c>
      <c r="BT800" t="str">
        <f>HYPERLINK("https%3A%2F%2Fwww.webofscience.com%2Fwos%2Fwoscc%2Ffull-record%2FWOS:000319951600007","View Full Record in Web of Science")</f>
        <v>View Full Record in Web of Science</v>
      </c>
    </row>
    <row r="801" spans="1:72" x14ac:dyDescent="0.15">
      <c r="A801" t="s">
        <v>72</v>
      </c>
      <c r="B801" t="s">
        <v>14718</v>
      </c>
      <c r="C801" t="s">
        <v>74</v>
      </c>
      <c r="D801" t="s">
        <v>74</v>
      </c>
      <c r="E801" t="s">
        <v>74</v>
      </c>
      <c r="F801" t="s">
        <v>14719</v>
      </c>
      <c r="G801" t="s">
        <v>74</v>
      </c>
      <c r="H801" t="s">
        <v>74</v>
      </c>
      <c r="I801" t="s">
        <v>14720</v>
      </c>
      <c r="J801" t="s">
        <v>2343</v>
      </c>
      <c r="K801" t="s">
        <v>74</v>
      </c>
      <c r="L801" t="s">
        <v>74</v>
      </c>
      <c r="M801" t="s">
        <v>78</v>
      </c>
      <c r="N801" t="s">
        <v>79</v>
      </c>
      <c r="O801" t="s">
        <v>74</v>
      </c>
      <c r="P801" t="s">
        <v>74</v>
      </c>
      <c r="Q801" t="s">
        <v>74</v>
      </c>
      <c r="R801" t="s">
        <v>74</v>
      </c>
      <c r="S801" t="s">
        <v>74</v>
      </c>
      <c r="T801" t="s">
        <v>74</v>
      </c>
      <c r="U801" t="s">
        <v>14721</v>
      </c>
      <c r="V801" t="s">
        <v>14722</v>
      </c>
      <c r="W801" t="s">
        <v>14723</v>
      </c>
      <c r="X801" t="s">
        <v>14724</v>
      </c>
      <c r="Y801" t="s">
        <v>14725</v>
      </c>
      <c r="Z801" t="s">
        <v>14726</v>
      </c>
      <c r="AA801" t="s">
        <v>74</v>
      </c>
      <c r="AB801" t="s">
        <v>14727</v>
      </c>
      <c r="AC801" t="s">
        <v>74</v>
      </c>
      <c r="AD801" t="s">
        <v>74</v>
      </c>
      <c r="AE801" t="s">
        <v>74</v>
      </c>
      <c r="AF801" t="s">
        <v>74</v>
      </c>
      <c r="AG801">
        <v>24</v>
      </c>
      <c r="AH801">
        <v>41</v>
      </c>
      <c r="AI801">
        <v>43</v>
      </c>
      <c r="AJ801">
        <v>0</v>
      </c>
      <c r="AK801">
        <v>34</v>
      </c>
      <c r="AL801" t="s">
        <v>2355</v>
      </c>
      <c r="AM801" t="s">
        <v>2356</v>
      </c>
      <c r="AN801" t="s">
        <v>2357</v>
      </c>
      <c r="AO801" t="s">
        <v>2358</v>
      </c>
      <c r="AP801" t="s">
        <v>74</v>
      </c>
      <c r="AQ801" t="s">
        <v>74</v>
      </c>
      <c r="AR801" t="s">
        <v>2343</v>
      </c>
      <c r="AS801" t="s">
        <v>2359</v>
      </c>
      <c r="AT801" t="s">
        <v>14728</v>
      </c>
      <c r="AU801">
        <v>2013</v>
      </c>
      <c r="AV801">
        <v>8</v>
      </c>
      <c r="AW801">
        <v>3</v>
      </c>
      <c r="AX801" t="s">
        <v>74</v>
      </c>
      <c r="AY801" t="s">
        <v>74</v>
      </c>
      <c r="AZ801" t="s">
        <v>74</v>
      </c>
      <c r="BA801" t="s">
        <v>74</v>
      </c>
      <c r="BB801" t="s">
        <v>74</v>
      </c>
      <c r="BC801" t="s">
        <v>74</v>
      </c>
      <c r="BD801" t="s">
        <v>14729</v>
      </c>
      <c r="BE801" t="s">
        <v>14730</v>
      </c>
      <c r="BF801" t="str">
        <f>HYPERLINK("http://dx.doi.org/10.1371/journal.pone.0059376","http://dx.doi.org/10.1371/journal.pone.0059376")</f>
        <v>http://dx.doi.org/10.1371/journal.pone.0059376</v>
      </c>
      <c r="BG801" t="s">
        <v>74</v>
      </c>
      <c r="BH801" t="s">
        <v>74</v>
      </c>
      <c r="BI801">
        <v>7</v>
      </c>
      <c r="BJ801" t="s">
        <v>1880</v>
      </c>
      <c r="BK801" t="s">
        <v>102</v>
      </c>
      <c r="BL801" t="s">
        <v>1881</v>
      </c>
      <c r="BM801" t="s">
        <v>14731</v>
      </c>
      <c r="BN801">
        <v>23516630</v>
      </c>
      <c r="BO801" t="s">
        <v>12377</v>
      </c>
      <c r="BP801" t="s">
        <v>74</v>
      </c>
      <c r="BQ801" t="s">
        <v>74</v>
      </c>
      <c r="BR801" t="s">
        <v>105</v>
      </c>
      <c r="BS801" t="s">
        <v>14732</v>
      </c>
      <c r="BT801" t="str">
        <f>HYPERLINK("https%3A%2F%2Fwww.webofscience.com%2Fwos%2Fwoscc%2Ffull-record%2FWOS:000316407400108","View Full Record in Web of Science")</f>
        <v>View Full Record in Web of Science</v>
      </c>
    </row>
    <row r="802" spans="1:72" x14ac:dyDescent="0.15">
      <c r="A802" t="s">
        <v>72</v>
      </c>
      <c r="B802" t="s">
        <v>14733</v>
      </c>
      <c r="C802" t="s">
        <v>74</v>
      </c>
      <c r="D802" t="s">
        <v>74</v>
      </c>
      <c r="E802" t="s">
        <v>74</v>
      </c>
      <c r="F802" t="s">
        <v>14734</v>
      </c>
      <c r="G802" t="s">
        <v>74</v>
      </c>
      <c r="H802" t="s">
        <v>74</v>
      </c>
      <c r="I802" t="s">
        <v>14735</v>
      </c>
      <c r="J802" t="s">
        <v>14736</v>
      </c>
      <c r="K802" t="s">
        <v>74</v>
      </c>
      <c r="L802" t="s">
        <v>74</v>
      </c>
      <c r="M802" t="s">
        <v>78</v>
      </c>
      <c r="N802" t="s">
        <v>79</v>
      </c>
      <c r="O802" t="s">
        <v>74</v>
      </c>
      <c r="P802" t="s">
        <v>74</v>
      </c>
      <c r="Q802" t="s">
        <v>74</v>
      </c>
      <c r="R802" t="s">
        <v>74</v>
      </c>
      <c r="S802" t="s">
        <v>74</v>
      </c>
      <c r="T802" t="s">
        <v>14737</v>
      </c>
      <c r="U802" t="s">
        <v>14738</v>
      </c>
      <c r="V802" t="s">
        <v>14739</v>
      </c>
      <c r="W802" t="s">
        <v>14740</v>
      </c>
      <c r="X802" t="s">
        <v>14741</v>
      </c>
      <c r="Y802" t="s">
        <v>14742</v>
      </c>
      <c r="Z802" t="s">
        <v>14743</v>
      </c>
      <c r="AA802" t="s">
        <v>14744</v>
      </c>
      <c r="AB802" t="s">
        <v>14745</v>
      </c>
      <c r="AC802" t="s">
        <v>14746</v>
      </c>
      <c r="AD802" t="s">
        <v>14747</v>
      </c>
      <c r="AE802" t="s">
        <v>14748</v>
      </c>
      <c r="AF802" t="s">
        <v>74</v>
      </c>
      <c r="AG802">
        <v>71</v>
      </c>
      <c r="AH802">
        <v>37</v>
      </c>
      <c r="AI802">
        <v>38</v>
      </c>
      <c r="AJ802">
        <v>3</v>
      </c>
      <c r="AK802">
        <v>91</v>
      </c>
      <c r="AL802" t="s">
        <v>7508</v>
      </c>
      <c r="AM802" t="s">
        <v>7509</v>
      </c>
      <c r="AN802" t="s">
        <v>7510</v>
      </c>
      <c r="AO802" t="s">
        <v>14749</v>
      </c>
      <c r="AP802" t="s">
        <v>14750</v>
      </c>
      <c r="AQ802" t="s">
        <v>74</v>
      </c>
      <c r="AR802" t="s">
        <v>14751</v>
      </c>
      <c r="AS802" t="s">
        <v>14752</v>
      </c>
      <c r="AT802" t="s">
        <v>14753</v>
      </c>
      <c r="AU802">
        <v>2013</v>
      </c>
      <c r="AV802">
        <v>30</v>
      </c>
      <c r="AW802">
        <v>5</v>
      </c>
      <c r="AX802" t="s">
        <v>74</v>
      </c>
      <c r="AY802" t="s">
        <v>74</v>
      </c>
      <c r="AZ802" t="s">
        <v>74</v>
      </c>
      <c r="BA802" t="s">
        <v>74</v>
      </c>
      <c r="BB802">
        <v>399</v>
      </c>
      <c r="BC802">
        <v>410</v>
      </c>
      <c r="BD802" t="s">
        <v>74</v>
      </c>
      <c r="BE802" t="s">
        <v>14754</v>
      </c>
      <c r="BF802" t="str">
        <f>HYPERLINK("http://dx.doi.org/10.1080/01490451.2012.697976","http://dx.doi.org/10.1080/01490451.2012.697976")</f>
        <v>http://dx.doi.org/10.1080/01490451.2012.697976</v>
      </c>
      <c r="BG802" t="s">
        <v>74</v>
      </c>
      <c r="BH802" t="s">
        <v>74</v>
      </c>
      <c r="BI802">
        <v>12</v>
      </c>
      <c r="BJ802" t="s">
        <v>14755</v>
      </c>
      <c r="BK802" t="s">
        <v>102</v>
      </c>
      <c r="BL802" t="s">
        <v>6088</v>
      </c>
      <c r="BM802" t="s">
        <v>14756</v>
      </c>
      <c r="BN802" t="s">
        <v>74</v>
      </c>
      <c r="BO802" t="s">
        <v>74</v>
      </c>
      <c r="BP802" t="s">
        <v>74</v>
      </c>
      <c r="BQ802" t="s">
        <v>74</v>
      </c>
      <c r="BR802" t="s">
        <v>105</v>
      </c>
      <c r="BS802" t="s">
        <v>14757</v>
      </c>
      <c r="BT802" t="str">
        <f>HYPERLINK("https%3A%2F%2Fwww.webofscience.com%2Fwos%2Fwoscc%2Ffull-record%2FWOS:000322301100005","View Full Record in Web of Science")</f>
        <v>View Full Record in Web of Science</v>
      </c>
    </row>
    <row r="803" spans="1:72" x14ac:dyDescent="0.15">
      <c r="A803" t="s">
        <v>72</v>
      </c>
      <c r="B803" t="s">
        <v>14758</v>
      </c>
      <c r="C803" t="s">
        <v>74</v>
      </c>
      <c r="D803" t="s">
        <v>74</v>
      </c>
      <c r="E803" t="s">
        <v>74</v>
      </c>
      <c r="F803" t="s">
        <v>14759</v>
      </c>
      <c r="G803" t="s">
        <v>74</v>
      </c>
      <c r="H803" t="s">
        <v>74</v>
      </c>
      <c r="I803" t="s">
        <v>14760</v>
      </c>
      <c r="J803" t="s">
        <v>2343</v>
      </c>
      <c r="K803" t="s">
        <v>74</v>
      </c>
      <c r="L803" t="s">
        <v>74</v>
      </c>
      <c r="M803" t="s">
        <v>78</v>
      </c>
      <c r="N803" t="s">
        <v>79</v>
      </c>
      <c r="O803" t="s">
        <v>74</v>
      </c>
      <c r="P803" t="s">
        <v>74</v>
      </c>
      <c r="Q803" t="s">
        <v>74</v>
      </c>
      <c r="R803" t="s">
        <v>74</v>
      </c>
      <c r="S803" t="s">
        <v>74</v>
      </c>
      <c r="T803" t="s">
        <v>74</v>
      </c>
      <c r="U803" t="s">
        <v>14761</v>
      </c>
      <c r="V803" t="s">
        <v>14762</v>
      </c>
      <c r="W803" t="s">
        <v>14763</v>
      </c>
      <c r="X803" t="s">
        <v>14764</v>
      </c>
      <c r="Y803" t="s">
        <v>74</v>
      </c>
      <c r="Z803" t="s">
        <v>14765</v>
      </c>
      <c r="AA803" t="s">
        <v>14766</v>
      </c>
      <c r="AB803" t="s">
        <v>14767</v>
      </c>
      <c r="AC803" t="s">
        <v>14768</v>
      </c>
      <c r="AD803" t="s">
        <v>14768</v>
      </c>
      <c r="AE803" t="s">
        <v>14769</v>
      </c>
      <c r="AF803" t="s">
        <v>74</v>
      </c>
      <c r="AG803">
        <v>47</v>
      </c>
      <c r="AH803">
        <v>78</v>
      </c>
      <c r="AI803">
        <v>84</v>
      </c>
      <c r="AJ803">
        <v>2</v>
      </c>
      <c r="AK803">
        <v>90</v>
      </c>
      <c r="AL803" t="s">
        <v>2355</v>
      </c>
      <c r="AM803" t="s">
        <v>2356</v>
      </c>
      <c r="AN803" t="s">
        <v>2357</v>
      </c>
      <c r="AO803" t="s">
        <v>2358</v>
      </c>
      <c r="AP803" t="s">
        <v>74</v>
      </c>
      <c r="AQ803" t="s">
        <v>74</v>
      </c>
      <c r="AR803" t="s">
        <v>2343</v>
      </c>
      <c r="AS803" t="s">
        <v>2359</v>
      </c>
      <c r="AT803" t="s">
        <v>14753</v>
      </c>
      <c r="AU803">
        <v>2013</v>
      </c>
      <c r="AV803">
        <v>8</v>
      </c>
      <c r="AW803">
        <v>3</v>
      </c>
      <c r="AX803" t="s">
        <v>74</v>
      </c>
      <c r="AY803" t="s">
        <v>74</v>
      </c>
      <c r="AZ803" t="s">
        <v>74</v>
      </c>
      <c r="BA803" t="s">
        <v>74</v>
      </c>
      <c r="BB803" t="s">
        <v>74</v>
      </c>
      <c r="BC803" t="s">
        <v>74</v>
      </c>
      <c r="BD803" t="s">
        <v>14770</v>
      </c>
      <c r="BE803" t="s">
        <v>14771</v>
      </c>
      <c r="BF803" t="str">
        <f>HYPERLINK("http://dx.doi.org/10.1371/journal.pone.0058522","http://dx.doi.org/10.1371/journal.pone.0058522")</f>
        <v>http://dx.doi.org/10.1371/journal.pone.0058522</v>
      </c>
      <c r="BG803" t="s">
        <v>74</v>
      </c>
      <c r="BH803" t="s">
        <v>74</v>
      </c>
      <c r="BI803">
        <v>15</v>
      </c>
      <c r="BJ803" t="s">
        <v>1880</v>
      </c>
      <c r="BK803" t="s">
        <v>102</v>
      </c>
      <c r="BL803" t="s">
        <v>1881</v>
      </c>
      <c r="BM803" t="s">
        <v>14772</v>
      </c>
      <c r="BN803">
        <v>23516496</v>
      </c>
      <c r="BO803" t="s">
        <v>14773</v>
      </c>
      <c r="BP803" t="s">
        <v>74</v>
      </c>
      <c r="BQ803" t="s">
        <v>74</v>
      </c>
      <c r="BR803" t="s">
        <v>105</v>
      </c>
      <c r="BS803" t="s">
        <v>14774</v>
      </c>
      <c r="BT803" t="str">
        <f>HYPERLINK("https%3A%2F%2Fwww.webofscience.com%2Fwos%2Fwoscc%2Ffull-record%2FWOS:000316849200077","View Full Record in Web of Science")</f>
        <v>View Full Record in Web of Science</v>
      </c>
    </row>
    <row r="804" spans="1:72" x14ac:dyDescent="0.15">
      <c r="A804" t="s">
        <v>72</v>
      </c>
      <c r="B804" t="s">
        <v>14775</v>
      </c>
      <c r="C804" t="s">
        <v>74</v>
      </c>
      <c r="D804" t="s">
        <v>74</v>
      </c>
      <c r="E804" t="s">
        <v>74</v>
      </c>
      <c r="F804" t="s">
        <v>14776</v>
      </c>
      <c r="G804" t="s">
        <v>74</v>
      </c>
      <c r="H804" t="s">
        <v>74</v>
      </c>
      <c r="I804" t="s">
        <v>14777</v>
      </c>
      <c r="J804" t="s">
        <v>2343</v>
      </c>
      <c r="K804" t="s">
        <v>74</v>
      </c>
      <c r="L804" t="s">
        <v>74</v>
      </c>
      <c r="M804" t="s">
        <v>78</v>
      </c>
      <c r="N804" t="s">
        <v>79</v>
      </c>
      <c r="O804" t="s">
        <v>74</v>
      </c>
      <c r="P804" t="s">
        <v>74</v>
      </c>
      <c r="Q804" t="s">
        <v>74</v>
      </c>
      <c r="R804" t="s">
        <v>74</v>
      </c>
      <c r="S804" t="s">
        <v>74</v>
      </c>
      <c r="T804" t="s">
        <v>74</v>
      </c>
      <c r="U804" t="s">
        <v>14778</v>
      </c>
      <c r="V804" t="s">
        <v>14779</v>
      </c>
      <c r="W804" t="s">
        <v>14780</v>
      </c>
      <c r="X804" t="s">
        <v>14781</v>
      </c>
      <c r="Y804" t="s">
        <v>14782</v>
      </c>
      <c r="Z804" t="s">
        <v>14783</v>
      </c>
      <c r="AA804" t="s">
        <v>14784</v>
      </c>
      <c r="AB804" t="s">
        <v>14785</v>
      </c>
      <c r="AC804" t="s">
        <v>14786</v>
      </c>
      <c r="AD804" t="s">
        <v>14787</v>
      </c>
      <c r="AE804" t="s">
        <v>14788</v>
      </c>
      <c r="AF804" t="s">
        <v>74</v>
      </c>
      <c r="AG804">
        <v>44</v>
      </c>
      <c r="AH804">
        <v>6</v>
      </c>
      <c r="AI804">
        <v>7</v>
      </c>
      <c r="AJ804">
        <v>0</v>
      </c>
      <c r="AK804">
        <v>47</v>
      </c>
      <c r="AL804" t="s">
        <v>2355</v>
      </c>
      <c r="AM804" t="s">
        <v>2356</v>
      </c>
      <c r="AN804" t="s">
        <v>2357</v>
      </c>
      <c r="AO804" t="s">
        <v>2358</v>
      </c>
      <c r="AP804" t="s">
        <v>74</v>
      </c>
      <c r="AQ804" t="s">
        <v>74</v>
      </c>
      <c r="AR804" t="s">
        <v>2343</v>
      </c>
      <c r="AS804" t="s">
        <v>2359</v>
      </c>
      <c r="AT804" t="s">
        <v>14789</v>
      </c>
      <c r="AU804">
        <v>2013</v>
      </c>
      <c r="AV804">
        <v>8</v>
      </c>
      <c r="AW804">
        <v>3</v>
      </c>
      <c r="AX804" t="s">
        <v>74</v>
      </c>
      <c r="AY804" t="s">
        <v>74</v>
      </c>
      <c r="AZ804" t="s">
        <v>74</v>
      </c>
      <c r="BA804" t="s">
        <v>74</v>
      </c>
      <c r="BB804" t="s">
        <v>74</v>
      </c>
      <c r="BC804" t="s">
        <v>74</v>
      </c>
      <c r="BD804" t="s">
        <v>14790</v>
      </c>
      <c r="BE804" t="s">
        <v>14791</v>
      </c>
      <c r="BF804" t="str">
        <f>HYPERLINK("http://dx.doi.org/10.1371/journal.pone.0058694","http://dx.doi.org/10.1371/journal.pone.0058694")</f>
        <v>http://dx.doi.org/10.1371/journal.pone.0058694</v>
      </c>
      <c r="BG804" t="s">
        <v>74</v>
      </c>
      <c r="BH804" t="s">
        <v>74</v>
      </c>
      <c r="BI804">
        <v>7</v>
      </c>
      <c r="BJ804" t="s">
        <v>1880</v>
      </c>
      <c r="BK804" t="s">
        <v>102</v>
      </c>
      <c r="BL804" t="s">
        <v>1881</v>
      </c>
      <c r="BM804" t="s">
        <v>14792</v>
      </c>
      <c r="BN804">
        <v>23536813</v>
      </c>
      <c r="BO804" t="s">
        <v>4189</v>
      </c>
      <c r="BP804" t="s">
        <v>74</v>
      </c>
      <c r="BQ804" t="s">
        <v>74</v>
      </c>
      <c r="BR804" t="s">
        <v>105</v>
      </c>
      <c r="BS804" t="s">
        <v>14793</v>
      </c>
      <c r="BT804" t="str">
        <f>HYPERLINK("https%3A%2F%2Fwww.webofscience.com%2Fwos%2Fwoscc%2Ffull-record%2FWOS:000316251100080","View Full Record in Web of Science")</f>
        <v>View Full Record in Web of Science</v>
      </c>
    </row>
    <row r="805" spans="1:72" x14ac:dyDescent="0.15">
      <c r="A805" t="s">
        <v>72</v>
      </c>
      <c r="B805" t="s">
        <v>14794</v>
      </c>
      <c r="C805" t="s">
        <v>74</v>
      </c>
      <c r="D805" t="s">
        <v>74</v>
      </c>
      <c r="E805" t="s">
        <v>74</v>
      </c>
      <c r="F805" t="s">
        <v>14795</v>
      </c>
      <c r="G805" t="s">
        <v>74</v>
      </c>
      <c r="H805" t="s">
        <v>74</v>
      </c>
      <c r="I805" t="s">
        <v>14796</v>
      </c>
      <c r="J805" t="s">
        <v>2343</v>
      </c>
      <c r="K805" t="s">
        <v>74</v>
      </c>
      <c r="L805" t="s">
        <v>74</v>
      </c>
      <c r="M805" t="s">
        <v>78</v>
      </c>
      <c r="N805" t="s">
        <v>79</v>
      </c>
      <c r="O805" t="s">
        <v>74</v>
      </c>
      <c r="P805" t="s">
        <v>74</v>
      </c>
      <c r="Q805" t="s">
        <v>74</v>
      </c>
      <c r="R805" t="s">
        <v>74</v>
      </c>
      <c r="S805" t="s">
        <v>74</v>
      </c>
      <c r="T805" t="s">
        <v>74</v>
      </c>
      <c r="U805" t="s">
        <v>14797</v>
      </c>
      <c r="V805" t="s">
        <v>14798</v>
      </c>
      <c r="W805" t="s">
        <v>14799</v>
      </c>
      <c r="X805" t="s">
        <v>14800</v>
      </c>
      <c r="Y805" t="s">
        <v>14801</v>
      </c>
      <c r="Z805" t="s">
        <v>14802</v>
      </c>
      <c r="AA805" t="s">
        <v>74</v>
      </c>
      <c r="AB805" t="s">
        <v>14803</v>
      </c>
      <c r="AC805" t="s">
        <v>14804</v>
      </c>
      <c r="AD805" t="s">
        <v>14805</v>
      </c>
      <c r="AE805" t="s">
        <v>14806</v>
      </c>
      <c r="AF805" t="s">
        <v>74</v>
      </c>
      <c r="AG805">
        <v>21</v>
      </c>
      <c r="AH805">
        <v>20</v>
      </c>
      <c r="AI805">
        <v>23</v>
      </c>
      <c r="AJ805">
        <v>0</v>
      </c>
      <c r="AK805">
        <v>37</v>
      </c>
      <c r="AL805" t="s">
        <v>2355</v>
      </c>
      <c r="AM805" t="s">
        <v>2356</v>
      </c>
      <c r="AN805" t="s">
        <v>2357</v>
      </c>
      <c r="AO805" t="s">
        <v>2358</v>
      </c>
      <c r="AP805" t="s">
        <v>74</v>
      </c>
      <c r="AQ805" t="s">
        <v>74</v>
      </c>
      <c r="AR805" t="s">
        <v>2343</v>
      </c>
      <c r="AS805" t="s">
        <v>2359</v>
      </c>
      <c r="AT805" t="s">
        <v>14789</v>
      </c>
      <c r="AU805">
        <v>2013</v>
      </c>
      <c r="AV805">
        <v>8</v>
      </c>
      <c r="AW805">
        <v>3</v>
      </c>
      <c r="AX805" t="s">
        <v>74</v>
      </c>
      <c r="AY805" t="s">
        <v>74</v>
      </c>
      <c r="AZ805" t="s">
        <v>74</v>
      </c>
      <c r="BA805" t="s">
        <v>74</v>
      </c>
      <c r="BB805" t="s">
        <v>74</v>
      </c>
      <c r="BC805" t="s">
        <v>74</v>
      </c>
      <c r="BD805" t="s">
        <v>14807</v>
      </c>
      <c r="BE805" t="s">
        <v>14808</v>
      </c>
      <c r="BF805" t="str">
        <f>HYPERLINK("http://dx.doi.org/10.1371/journal.pone.0059186","http://dx.doi.org/10.1371/journal.pone.0059186")</f>
        <v>http://dx.doi.org/10.1371/journal.pone.0059186</v>
      </c>
      <c r="BG805" t="s">
        <v>74</v>
      </c>
      <c r="BH805" t="s">
        <v>74</v>
      </c>
      <c r="BI805">
        <v>6</v>
      </c>
      <c r="BJ805" t="s">
        <v>1880</v>
      </c>
      <c r="BK805" t="s">
        <v>102</v>
      </c>
      <c r="BL805" t="s">
        <v>1881</v>
      </c>
      <c r="BM805" t="s">
        <v>14792</v>
      </c>
      <c r="BN805">
        <v>23536869</v>
      </c>
      <c r="BO805" t="s">
        <v>14809</v>
      </c>
      <c r="BP805" t="s">
        <v>74</v>
      </c>
      <c r="BQ805" t="s">
        <v>74</v>
      </c>
      <c r="BR805" t="s">
        <v>105</v>
      </c>
      <c r="BS805" t="s">
        <v>14810</v>
      </c>
      <c r="BT805" t="str">
        <f>HYPERLINK("https%3A%2F%2Fwww.webofscience.com%2Fwos%2Fwoscc%2Ffull-record%2FWOS:000316251100128","View Full Record in Web of Science")</f>
        <v>View Full Record in Web of Science</v>
      </c>
    </row>
    <row r="806" spans="1:72" x14ac:dyDescent="0.15">
      <c r="A806" t="s">
        <v>72</v>
      </c>
      <c r="B806" t="s">
        <v>14811</v>
      </c>
      <c r="C806" t="s">
        <v>74</v>
      </c>
      <c r="D806" t="s">
        <v>74</v>
      </c>
      <c r="E806" t="s">
        <v>74</v>
      </c>
      <c r="F806" t="s">
        <v>14812</v>
      </c>
      <c r="G806" t="s">
        <v>74</v>
      </c>
      <c r="H806" t="s">
        <v>74</v>
      </c>
      <c r="I806" t="s">
        <v>14813</v>
      </c>
      <c r="J806" t="s">
        <v>2101</v>
      </c>
      <c r="K806" t="s">
        <v>74</v>
      </c>
      <c r="L806" t="s">
        <v>74</v>
      </c>
      <c r="M806" t="s">
        <v>78</v>
      </c>
      <c r="N806" t="s">
        <v>79</v>
      </c>
      <c r="O806" t="s">
        <v>74</v>
      </c>
      <c r="P806" t="s">
        <v>74</v>
      </c>
      <c r="Q806" t="s">
        <v>74</v>
      </c>
      <c r="R806" t="s">
        <v>74</v>
      </c>
      <c r="S806" t="s">
        <v>74</v>
      </c>
      <c r="T806" t="s">
        <v>14814</v>
      </c>
      <c r="U806" t="s">
        <v>14815</v>
      </c>
      <c r="V806" t="s">
        <v>14816</v>
      </c>
      <c r="W806" t="s">
        <v>14817</v>
      </c>
      <c r="X806" t="s">
        <v>14818</v>
      </c>
      <c r="Y806" t="s">
        <v>14819</v>
      </c>
      <c r="Z806" t="s">
        <v>14820</v>
      </c>
      <c r="AA806" t="s">
        <v>14821</v>
      </c>
      <c r="AB806" t="s">
        <v>14822</v>
      </c>
      <c r="AC806" t="s">
        <v>14823</v>
      </c>
      <c r="AD806" t="s">
        <v>14824</v>
      </c>
      <c r="AE806" t="s">
        <v>14825</v>
      </c>
      <c r="AF806" t="s">
        <v>74</v>
      </c>
      <c r="AG806">
        <v>111</v>
      </c>
      <c r="AH806">
        <v>12</v>
      </c>
      <c r="AI806">
        <v>15</v>
      </c>
      <c r="AJ806">
        <v>0</v>
      </c>
      <c r="AK806">
        <v>28</v>
      </c>
      <c r="AL806" t="s">
        <v>2112</v>
      </c>
      <c r="AM806" t="s">
        <v>2113</v>
      </c>
      <c r="AN806" t="s">
        <v>2114</v>
      </c>
      <c r="AO806" t="s">
        <v>2115</v>
      </c>
      <c r="AP806" t="s">
        <v>2116</v>
      </c>
      <c r="AQ806" t="s">
        <v>74</v>
      </c>
      <c r="AR806" t="s">
        <v>2101</v>
      </c>
      <c r="AS806" t="s">
        <v>2117</v>
      </c>
      <c r="AT806" t="s">
        <v>14789</v>
      </c>
      <c r="AU806">
        <v>2013</v>
      </c>
      <c r="AV806">
        <v>3624</v>
      </c>
      <c r="AW806">
        <v>1</v>
      </c>
      <c r="AX806" t="s">
        <v>74</v>
      </c>
      <c r="AY806" t="s">
        <v>74</v>
      </c>
      <c r="AZ806" t="s">
        <v>74</v>
      </c>
      <c r="BA806" t="s">
        <v>74</v>
      </c>
      <c r="BB806">
        <v>1</v>
      </c>
      <c r="BC806">
        <v>100</v>
      </c>
      <c r="BD806" t="s">
        <v>74</v>
      </c>
      <c r="BE806" t="s">
        <v>14826</v>
      </c>
      <c r="BF806" t="str">
        <f>HYPERLINK("http://dx.doi.org/10.11646/zootaxa.3624.1.1","http://dx.doi.org/10.11646/zootaxa.3624.1.1")</f>
        <v>http://dx.doi.org/10.11646/zootaxa.3624.1.1</v>
      </c>
      <c r="BG806" t="s">
        <v>74</v>
      </c>
      <c r="BH806" t="s">
        <v>74</v>
      </c>
      <c r="BI806">
        <v>100</v>
      </c>
      <c r="BJ806" t="s">
        <v>2120</v>
      </c>
      <c r="BK806" t="s">
        <v>102</v>
      </c>
      <c r="BL806" t="s">
        <v>2120</v>
      </c>
      <c r="BM806" t="s">
        <v>14827</v>
      </c>
      <c r="BN806">
        <v>25320766</v>
      </c>
      <c r="BO806" t="s">
        <v>74</v>
      </c>
      <c r="BP806" t="s">
        <v>74</v>
      </c>
      <c r="BQ806" t="s">
        <v>74</v>
      </c>
      <c r="BR806" t="s">
        <v>105</v>
      </c>
      <c r="BS806" t="s">
        <v>14828</v>
      </c>
      <c r="BT806" t="str">
        <f>HYPERLINK("https%3A%2F%2Fwww.webofscience.com%2Fwos%2Fwoscc%2Ffull-record%2FWOS:000315939600001","View Full Record in Web of Science")</f>
        <v>View Full Record in Web of Science</v>
      </c>
    </row>
    <row r="807" spans="1:72" x14ac:dyDescent="0.15">
      <c r="A807" t="s">
        <v>72</v>
      </c>
      <c r="B807" t="s">
        <v>14829</v>
      </c>
      <c r="C807" t="s">
        <v>74</v>
      </c>
      <c r="D807" t="s">
        <v>74</v>
      </c>
      <c r="E807" t="s">
        <v>74</v>
      </c>
      <c r="F807" t="s">
        <v>14830</v>
      </c>
      <c r="G807" t="s">
        <v>74</v>
      </c>
      <c r="H807" t="s">
        <v>74</v>
      </c>
      <c r="I807" t="s">
        <v>14831</v>
      </c>
      <c r="J807" t="s">
        <v>2343</v>
      </c>
      <c r="K807" t="s">
        <v>74</v>
      </c>
      <c r="L807" t="s">
        <v>74</v>
      </c>
      <c r="M807" t="s">
        <v>78</v>
      </c>
      <c r="N807" t="s">
        <v>79</v>
      </c>
      <c r="O807" t="s">
        <v>74</v>
      </c>
      <c r="P807" t="s">
        <v>74</v>
      </c>
      <c r="Q807" t="s">
        <v>74</v>
      </c>
      <c r="R807" t="s">
        <v>74</v>
      </c>
      <c r="S807" t="s">
        <v>74</v>
      </c>
      <c r="T807" t="s">
        <v>74</v>
      </c>
      <c r="U807" t="s">
        <v>14832</v>
      </c>
      <c r="V807" t="s">
        <v>14833</v>
      </c>
      <c r="W807" t="s">
        <v>14834</v>
      </c>
      <c r="X807" t="s">
        <v>14835</v>
      </c>
      <c r="Y807" t="s">
        <v>14836</v>
      </c>
      <c r="Z807" t="s">
        <v>14837</v>
      </c>
      <c r="AA807" t="s">
        <v>14838</v>
      </c>
      <c r="AB807" t="s">
        <v>14839</v>
      </c>
      <c r="AC807" t="s">
        <v>14840</v>
      </c>
      <c r="AD807" t="s">
        <v>14841</v>
      </c>
      <c r="AE807" t="s">
        <v>14842</v>
      </c>
      <c r="AF807" t="s">
        <v>74</v>
      </c>
      <c r="AG807">
        <v>31</v>
      </c>
      <c r="AH807">
        <v>22</v>
      </c>
      <c r="AI807">
        <v>22</v>
      </c>
      <c r="AJ807">
        <v>0</v>
      </c>
      <c r="AK807">
        <v>20</v>
      </c>
      <c r="AL807" t="s">
        <v>2355</v>
      </c>
      <c r="AM807" t="s">
        <v>2356</v>
      </c>
      <c r="AN807" t="s">
        <v>2357</v>
      </c>
      <c r="AO807" t="s">
        <v>2358</v>
      </c>
      <c r="AP807" t="s">
        <v>74</v>
      </c>
      <c r="AQ807" t="s">
        <v>74</v>
      </c>
      <c r="AR807" t="s">
        <v>2343</v>
      </c>
      <c r="AS807" t="s">
        <v>2359</v>
      </c>
      <c r="AT807" t="s">
        <v>14843</v>
      </c>
      <c r="AU807">
        <v>2013</v>
      </c>
      <c r="AV807">
        <v>8</v>
      </c>
      <c r="AW807">
        <v>3</v>
      </c>
      <c r="AX807" t="s">
        <v>74</v>
      </c>
      <c r="AY807" t="s">
        <v>74</v>
      </c>
      <c r="AZ807" t="s">
        <v>74</v>
      </c>
      <c r="BA807" t="s">
        <v>74</v>
      </c>
      <c r="BB807" t="s">
        <v>74</v>
      </c>
      <c r="BC807" t="s">
        <v>74</v>
      </c>
      <c r="BD807" t="s">
        <v>14844</v>
      </c>
      <c r="BE807" t="s">
        <v>14845</v>
      </c>
      <c r="BF807" t="str">
        <f>HYPERLINK("http://dx.doi.org/10.1371/journal.pone.0058447","http://dx.doi.org/10.1371/journal.pone.0058447")</f>
        <v>http://dx.doi.org/10.1371/journal.pone.0058447</v>
      </c>
      <c r="BG807" t="s">
        <v>74</v>
      </c>
      <c r="BH807" t="s">
        <v>74</v>
      </c>
      <c r="BI807">
        <v>5</v>
      </c>
      <c r="BJ807" t="s">
        <v>1880</v>
      </c>
      <c r="BK807" t="s">
        <v>102</v>
      </c>
      <c r="BL807" t="s">
        <v>1881</v>
      </c>
      <c r="BM807" t="s">
        <v>14846</v>
      </c>
      <c r="BN807">
        <v>23505507</v>
      </c>
      <c r="BO807" t="s">
        <v>14847</v>
      </c>
      <c r="BP807" t="s">
        <v>74</v>
      </c>
      <c r="BQ807" t="s">
        <v>74</v>
      </c>
      <c r="BR807" t="s">
        <v>105</v>
      </c>
      <c r="BS807" t="s">
        <v>14848</v>
      </c>
      <c r="BT807" t="str">
        <f>HYPERLINK("https%3A%2F%2Fwww.webofscience.com%2Fwos%2Fwoscc%2Ffull-record%2FWOS:000318334500084","View Full Record in Web of Science")</f>
        <v>View Full Record in Web of Science</v>
      </c>
    </row>
    <row r="808" spans="1:72" x14ac:dyDescent="0.15">
      <c r="A808" t="s">
        <v>72</v>
      </c>
      <c r="B808" t="s">
        <v>14849</v>
      </c>
      <c r="C808" t="s">
        <v>74</v>
      </c>
      <c r="D808" t="s">
        <v>74</v>
      </c>
      <c r="E808" t="s">
        <v>74</v>
      </c>
      <c r="F808" t="s">
        <v>14850</v>
      </c>
      <c r="G808" t="s">
        <v>74</v>
      </c>
      <c r="H808" t="s">
        <v>74</v>
      </c>
      <c r="I808" t="s">
        <v>14851</v>
      </c>
      <c r="J808" t="s">
        <v>2343</v>
      </c>
      <c r="K808" t="s">
        <v>74</v>
      </c>
      <c r="L808" t="s">
        <v>74</v>
      </c>
      <c r="M808" t="s">
        <v>78</v>
      </c>
      <c r="N808" t="s">
        <v>79</v>
      </c>
      <c r="O808" t="s">
        <v>74</v>
      </c>
      <c r="P808" t="s">
        <v>74</v>
      </c>
      <c r="Q808" t="s">
        <v>74</v>
      </c>
      <c r="R808" t="s">
        <v>74</v>
      </c>
      <c r="S808" t="s">
        <v>74</v>
      </c>
      <c r="T808" t="s">
        <v>74</v>
      </c>
      <c r="U808" t="s">
        <v>14852</v>
      </c>
      <c r="V808" t="s">
        <v>14853</v>
      </c>
      <c r="W808" t="s">
        <v>14854</v>
      </c>
      <c r="X808" t="s">
        <v>14855</v>
      </c>
      <c r="Y808" t="s">
        <v>14856</v>
      </c>
      <c r="Z808" t="s">
        <v>14857</v>
      </c>
      <c r="AA808" t="s">
        <v>14858</v>
      </c>
      <c r="AB808" t="s">
        <v>14859</v>
      </c>
      <c r="AC808" t="s">
        <v>14860</v>
      </c>
      <c r="AD808" t="s">
        <v>14861</v>
      </c>
      <c r="AE808" t="s">
        <v>14862</v>
      </c>
      <c r="AF808" t="s">
        <v>74</v>
      </c>
      <c r="AG808">
        <v>34</v>
      </c>
      <c r="AH808">
        <v>100</v>
      </c>
      <c r="AI808">
        <v>104</v>
      </c>
      <c r="AJ808">
        <v>0</v>
      </c>
      <c r="AK808">
        <v>43</v>
      </c>
      <c r="AL808" t="s">
        <v>2355</v>
      </c>
      <c r="AM808" t="s">
        <v>2356</v>
      </c>
      <c r="AN808" t="s">
        <v>2357</v>
      </c>
      <c r="AO808" t="s">
        <v>2358</v>
      </c>
      <c r="AP808" t="s">
        <v>74</v>
      </c>
      <c r="AQ808" t="s">
        <v>74</v>
      </c>
      <c r="AR808" t="s">
        <v>2343</v>
      </c>
      <c r="AS808" t="s">
        <v>2359</v>
      </c>
      <c r="AT808" t="s">
        <v>14863</v>
      </c>
      <c r="AU808">
        <v>2013</v>
      </c>
      <c r="AV808">
        <v>8</v>
      </c>
      <c r="AW808">
        <v>3</v>
      </c>
      <c r="AX808" t="s">
        <v>74</v>
      </c>
      <c r="AY808" t="s">
        <v>74</v>
      </c>
      <c r="AZ808" t="s">
        <v>74</v>
      </c>
      <c r="BA808" t="s">
        <v>74</v>
      </c>
      <c r="BB808" t="s">
        <v>74</v>
      </c>
      <c r="BC808" t="s">
        <v>74</v>
      </c>
      <c r="BD808" t="s">
        <v>14864</v>
      </c>
      <c r="BE808" t="s">
        <v>14865</v>
      </c>
      <c r="BF808" t="str">
        <f>HYPERLINK("http://dx.doi.org/10.1371/journal.pone.0058223","http://dx.doi.org/10.1371/journal.pone.0058223")</f>
        <v>http://dx.doi.org/10.1371/journal.pone.0058223</v>
      </c>
      <c r="BG808" t="s">
        <v>74</v>
      </c>
      <c r="BH808" t="s">
        <v>74</v>
      </c>
      <c r="BI808">
        <v>8</v>
      </c>
      <c r="BJ808" t="s">
        <v>1880</v>
      </c>
      <c r="BK808" t="s">
        <v>102</v>
      </c>
      <c r="BL808" t="s">
        <v>1881</v>
      </c>
      <c r="BM808" t="s">
        <v>14866</v>
      </c>
      <c r="BN808">
        <v>23484000</v>
      </c>
      <c r="BO808" t="s">
        <v>9015</v>
      </c>
      <c r="BP808" t="s">
        <v>74</v>
      </c>
      <c r="BQ808" t="s">
        <v>74</v>
      </c>
      <c r="BR808" t="s">
        <v>105</v>
      </c>
      <c r="BS808" t="s">
        <v>14867</v>
      </c>
      <c r="BT808" t="str">
        <f>HYPERLINK("https%3A%2F%2Fwww.webofscience.com%2Fwos%2Fwoscc%2Ffull-record%2FWOS:000315634900077","View Full Record in Web of Science")</f>
        <v>View Full Record in Web of Science</v>
      </c>
    </row>
    <row r="809" spans="1:72" x14ac:dyDescent="0.15">
      <c r="A809" t="s">
        <v>72</v>
      </c>
      <c r="B809" t="s">
        <v>14868</v>
      </c>
      <c r="C809" t="s">
        <v>74</v>
      </c>
      <c r="D809" t="s">
        <v>74</v>
      </c>
      <c r="E809" t="s">
        <v>74</v>
      </c>
      <c r="F809" t="s">
        <v>14869</v>
      </c>
      <c r="G809" t="s">
        <v>74</v>
      </c>
      <c r="H809" t="s">
        <v>74</v>
      </c>
      <c r="I809" t="s">
        <v>14870</v>
      </c>
      <c r="J809" t="s">
        <v>14871</v>
      </c>
      <c r="K809" t="s">
        <v>74</v>
      </c>
      <c r="L809" t="s">
        <v>74</v>
      </c>
      <c r="M809" t="s">
        <v>78</v>
      </c>
      <c r="N809" t="s">
        <v>3042</v>
      </c>
      <c r="O809" t="s">
        <v>14872</v>
      </c>
      <c r="P809" t="s">
        <v>14873</v>
      </c>
      <c r="Q809" t="s">
        <v>14874</v>
      </c>
      <c r="R809" t="s">
        <v>74</v>
      </c>
      <c r="S809" t="s">
        <v>74</v>
      </c>
      <c r="T809" t="s">
        <v>14875</v>
      </c>
      <c r="U809" t="s">
        <v>14876</v>
      </c>
      <c r="V809" t="s">
        <v>14877</v>
      </c>
      <c r="W809" t="s">
        <v>14878</v>
      </c>
      <c r="X809" t="s">
        <v>2258</v>
      </c>
      <c r="Y809" t="s">
        <v>14879</v>
      </c>
      <c r="Z809" t="s">
        <v>74</v>
      </c>
      <c r="AA809" t="s">
        <v>14880</v>
      </c>
      <c r="AB809" t="s">
        <v>74</v>
      </c>
      <c r="AC809" t="s">
        <v>74</v>
      </c>
      <c r="AD809" t="s">
        <v>74</v>
      </c>
      <c r="AE809" t="s">
        <v>74</v>
      </c>
      <c r="AF809" t="s">
        <v>74</v>
      </c>
      <c r="AG809">
        <v>68</v>
      </c>
      <c r="AH809">
        <v>27</v>
      </c>
      <c r="AI809">
        <v>27</v>
      </c>
      <c r="AJ809">
        <v>0</v>
      </c>
      <c r="AK809">
        <v>20</v>
      </c>
      <c r="AL809" t="s">
        <v>390</v>
      </c>
      <c r="AM809" t="s">
        <v>1679</v>
      </c>
      <c r="AN809" t="s">
        <v>14881</v>
      </c>
      <c r="AO809" t="s">
        <v>14882</v>
      </c>
      <c r="AP809" t="s">
        <v>14883</v>
      </c>
      <c r="AQ809" t="s">
        <v>74</v>
      </c>
      <c r="AR809" t="s">
        <v>14884</v>
      </c>
      <c r="AS809" t="s">
        <v>14885</v>
      </c>
      <c r="AT809" t="s">
        <v>14886</v>
      </c>
      <c r="AU809">
        <v>2013</v>
      </c>
      <c r="AV809">
        <v>104</v>
      </c>
      <c r="AW809">
        <v>1</v>
      </c>
      <c r="AX809" t="s">
        <v>74</v>
      </c>
      <c r="AY809" t="s">
        <v>74</v>
      </c>
      <c r="AZ809" t="s">
        <v>74</v>
      </c>
      <c r="BA809" t="s">
        <v>74</v>
      </c>
      <c r="BB809">
        <v>3</v>
      </c>
      <c r="BC809">
        <v>16</v>
      </c>
      <c r="BD809" t="s">
        <v>74</v>
      </c>
      <c r="BE809" t="s">
        <v>14887</v>
      </c>
      <c r="BF809" t="str">
        <f>HYPERLINK("http://dx.doi.org/10.1017/S1755691012000096","http://dx.doi.org/10.1017/S1755691012000096")</f>
        <v>http://dx.doi.org/10.1017/S1755691012000096</v>
      </c>
      <c r="BG809" t="s">
        <v>74</v>
      </c>
      <c r="BH809" t="s">
        <v>74</v>
      </c>
      <c r="BI809">
        <v>14</v>
      </c>
      <c r="BJ809" t="s">
        <v>14888</v>
      </c>
      <c r="BK809" t="s">
        <v>2934</v>
      </c>
      <c r="BL809" t="s">
        <v>913</v>
      </c>
      <c r="BM809" t="s">
        <v>14889</v>
      </c>
      <c r="BN809" t="s">
        <v>74</v>
      </c>
      <c r="BO809" t="s">
        <v>74</v>
      </c>
      <c r="BP809" t="s">
        <v>74</v>
      </c>
      <c r="BQ809" t="s">
        <v>74</v>
      </c>
      <c r="BR809" t="s">
        <v>105</v>
      </c>
      <c r="BS809" t="s">
        <v>14890</v>
      </c>
      <c r="BT809" t="str">
        <f>HYPERLINK("https%3A%2F%2Fwww.webofscience.com%2Fwos%2Fwoscc%2Ffull-record%2FWOS:000330364900002","View Full Record in Web of Science")</f>
        <v>View Full Record in Web of Science</v>
      </c>
    </row>
    <row r="810" spans="1:72" x14ac:dyDescent="0.15">
      <c r="A810" t="s">
        <v>72</v>
      </c>
      <c r="B810" t="s">
        <v>14891</v>
      </c>
      <c r="C810" t="s">
        <v>74</v>
      </c>
      <c r="D810" t="s">
        <v>74</v>
      </c>
      <c r="E810" t="s">
        <v>74</v>
      </c>
      <c r="F810" t="s">
        <v>14892</v>
      </c>
      <c r="G810" t="s">
        <v>74</v>
      </c>
      <c r="H810" t="s">
        <v>74</v>
      </c>
      <c r="I810" t="s">
        <v>14893</v>
      </c>
      <c r="J810" t="s">
        <v>14871</v>
      </c>
      <c r="K810" t="s">
        <v>74</v>
      </c>
      <c r="L810" t="s">
        <v>74</v>
      </c>
      <c r="M810" t="s">
        <v>78</v>
      </c>
      <c r="N810" t="s">
        <v>3042</v>
      </c>
      <c r="O810" t="s">
        <v>14872</v>
      </c>
      <c r="P810" t="s">
        <v>14873</v>
      </c>
      <c r="Q810" t="s">
        <v>14874</v>
      </c>
      <c r="R810" t="s">
        <v>74</v>
      </c>
      <c r="S810" t="s">
        <v>74</v>
      </c>
      <c r="T810" t="s">
        <v>14894</v>
      </c>
      <c r="U810" t="s">
        <v>14895</v>
      </c>
      <c r="V810" t="s">
        <v>14896</v>
      </c>
      <c r="W810" t="s">
        <v>14897</v>
      </c>
      <c r="X810" t="s">
        <v>14898</v>
      </c>
      <c r="Y810" t="s">
        <v>14899</v>
      </c>
      <c r="Z810" t="s">
        <v>14900</v>
      </c>
      <c r="AA810" t="s">
        <v>74</v>
      </c>
      <c r="AB810" t="s">
        <v>74</v>
      </c>
      <c r="AC810" t="s">
        <v>74</v>
      </c>
      <c r="AD810" t="s">
        <v>74</v>
      </c>
      <c r="AE810" t="s">
        <v>74</v>
      </c>
      <c r="AF810" t="s">
        <v>74</v>
      </c>
      <c r="AG810">
        <v>151</v>
      </c>
      <c r="AH810">
        <v>34</v>
      </c>
      <c r="AI810">
        <v>37</v>
      </c>
      <c r="AJ810">
        <v>0</v>
      </c>
      <c r="AK810">
        <v>29</v>
      </c>
      <c r="AL810" t="s">
        <v>390</v>
      </c>
      <c r="AM810" t="s">
        <v>1679</v>
      </c>
      <c r="AN810" t="s">
        <v>14881</v>
      </c>
      <c r="AO810" t="s">
        <v>14882</v>
      </c>
      <c r="AP810" t="s">
        <v>14883</v>
      </c>
      <c r="AQ810" t="s">
        <v>74</v>
      </c>
      <c r="AR810" t="s">
        <v>14884</v>
      </c>
      <c r="AS810" t="s">
        <v>14885</v>
      </c>
      <c r="AT810" t="s">
        <v>14886</v>
      </c>
      <c r="AU810">
        <v>2013</v>
      </c>
      <c r="AV810">
        <v>104</v>
      </c>
      <c r="AW810">
        <v>1</v>
      </c>
      <c r="AX810" t="s">
        <v>74</v>
      </c>
      <c r="AY810" t="s">
        <v>74</v>
      </c>
      <c r="AZ810" t="s">
        <v>74</v>
      </c>
      <c r="BA810" t="s">
        <v>74</v>
      </c>
      <c r="BB810">
        <v>31</v>
      </c>
      <c r="BC810">
        <v>53</v>
      </c>
      <c r="BD810" t="s">
        <v>74</v>
      </c>
      <c r="BE810" t="s">
        <v>14901</v>
      </c>
      <c r="BF810" t="str">
        <f>HYPERLINK("http://dx.doi.org/10.1017/S175569101300008X","http://dx.doi.org/10.1017/S175569101300008X")</f>
        <v>http://dx.doi.org/10.1017/S175569101300008X</v>
      </c>
      <c r="BG810" t="s">
        <v>74</v>
      </c>
      <c r="BH810" t="s">
        <v>74</v>
      </c>
      <c r="BI810">
        <v>23</v>
      </c>
      <c r="BJ810" t="s">
        <v>14888</v>
      </c>
      <c r="BK810" t="s">
        <v>2934</v>
      </c>
      <c r="BL810" t="s">
        <v>913</v>
      </c>
      <c r="BM810" t="s">
        <v>14889</v>
      </c>
      <c r="BN810" t="s">
        <v>74</v>
      </c>
      <c r="BO810" t="s">
        <v>74</v>
      </c>
      <c r="BP810" t="s">
        <v>74</v>
      </c>
      <c r="BQ810" t="s">
        <v>74</v>
      </c>
      <c r="BR810" t="s">
        <v>105</v>
      </c>
      <c r="BS810" t="s">
        <v>14902</v>
      </c>
      <c r="BT810" t="str">
        <f>HYPERLINK("https%3A%2F%2Fwww.webofscience.com%2Fwos%2Fwoscc%2Ffull-record%2FWOS:000330364900004","View Full Record in Web of Science")</f>
        <v>View Full Record in Web of Science</v>
      </c>
    </row>
    <row r="811" spans="1:72" x14ac:dyDescent="0.15">
      <c r="A811" t="s">
        <v>72</v>
      </c>
      <c r="B811" t="s">
        <v>14903</v>
      </c>
      <c r="C811" t="s">
        <v>74</v>
      </c>
      <c r="D811" t="s">
        <v>74</v>
      </c>
      <c r="E811" t="s">
        <v>74</v>
      </c>
      <c r="F811" t="s">
        <v>14904</v>
      </c>
      <c r="G811" t="s">
        <v>74</v>
      </c>
      <c r="H811" t="s">
        <v>74</v>
      </c>
      <c r="I811" t="s">
        <v>14905</v>
      </c>
      <c r="J811" t="s">
        <v>14871</v>
      </c>
      <c r="K811" t="s">
        <v>74</v>
      </c>
      <c r="L811" t="s">
        <v>74</v>
      </c>
      <c r="M811" t="s">
        <v>78</v>
      </c>
      <c r="N811" t="s">
        <v>3042</v>
      </c>
      <c r="O811" t="s">
        <v>14872</v>
      </c>
      <c r="P811" t="s">
        <v>14873</v>
      </c>
      <c r="Q811" t="s">
        <v>14874</v>
      </c>
      <c r="R811" t="s">
        <v>74</v>
      </c>
      <c r="S811" t="s">
        <v>74</v>
      </c>
      <c r="T811" t="s">
        <v>14906</v>
      </c>
      <c r="U811" t="s">
        <v>74</v>
      </c>
      <c r="V811" t="s">
        <v>14907</v>
      </c>
      <c r="W811" t="s">
        <v>14908</v>
      </c>
      <c r="X811" t="s">
        <v>14909</v>
      </c>
      <c r="Y811" t="s">
        <v>14910</v>
      </c>
      <c r="Z811" t="s">
        <v>74</v>
      </c>
      <c r="AA811" t="s">
        <v>74</v>
      </c>
      <c r="AB811" t="s">
        <v>74</v>
      </c>
      <c r="AC811" t="s">
        <v>74</v>
      </c>
      <c r="AD811" t="s">
        <v>74</v>
      </c>
      <c r="AE811" t="s">
        <v>74</v>
      </c>
      <c r="AF811" t="s">
        <v>74</v>
      </c>
      <c r="AG811">
        <v>56</v>
      </c>
      <c r="AH811">
        <v>2</v>
      </c>
      <c r="AI811">
        <v>2</v>
      </c>
      <c r="AJ811">
        <v>0</v>
      </c>
      <c r="AK811">
        <v>17</v>
      </c>
      <c r="AL811" t="s">
        <v>390</v>
      </c>
      <c r="AM811" t="s">
        <v>1679</v>
      </c>
      <c r="AN811" t="s">
        <v>14881</v>
      </c>
      <c r="AO811" t="s">
        <v>14882</v>
      </c>
      <c r="AP811" t="s">
        <v>14883</v>
      </c>
      <c r="AQ811" t="s">
        <v>74</v>
      </c>
      <c r="AR811" t="s">
        <v>14884</v>
      </c>
      <c r="AS811" t="s">
        <v>14885</v>
      </c>
      <c r="AT811" t="s">
        <v>14886</v>
      </c>
      <c r="AU811">
        <v>2013</v>
      </c>
      <c r="AV811">
        <v>104</v>
      </c>
      <c r="AW811">
        <v>1</v>
      </c>
      <c r="AX811" t="s">
        <v>74</v>
      </c>
      <c r="AY811" t="s">
        <v>74</v>
      </c>
      <c r="AZ811" t="s">
        <v>74</v>
      </c>
      <c r="BA811" t="s">
        <v>74</v>
      </c>
      <c r="BB811">
        <v>69</v>
      </c>
      <c r="BC811">
        <v>80</v>
      </c>
      <c r="BD811" t="s">
        <v>74</v>
      </c>
      <c r="BE811" t="s">
        <v>14911</v>
      </c>
      <c r="BF811" t="str">
        <f>HYPERLINK("http://dx.doi.org/10.1017/S1755691013000091","http://dx.doi.org/10.1017/S1755691013000091")</f>
        <v>http://dx.doi.org/10.1017/S1755691013000091</v>
      </c>
      <c r="BG811" t="s">
        <v>74</v>
      </c>
      <c r="BH811" t="s">
        <v>74</v>
      </c>
      <c r="BI811">
        <v>12</v>
      </c>
      <c r="BJ811" t="s">
        <v>14888</v>
      </c>
      <c r="BK811" t="s">
        <v>2934</v>
      </c>
      <c r="BL811" t="s">
        <v>913</v>
      </c>
      <c r="BM811" t="s">
        <v>14889</v>
      </c>
      <c r="BN811" t="s">
        <v>74</v>
      </c>
      <c r="BO811" t="s">
        <v>74</v>
      </c>
      <c r="BP811" t="s">
        <v>74</v>
      </c>
      <c r="BQ811" t="s">
        <v>74</v>
      </c>
      <c r="BR811" t="s">
        <v>105</v>
      </c>
      <c r="BS811" t="s">
        <v>14912</v>
      </c>
      <c r="BT811" t="str">
        <f>HYPERLINK("https%3A%2F%2Fwww.webofscience.com%2Fwos%2Fwoscc%2Ffull-record%2FWOS:000330364900006","View Full Record in Web of Science")</f>
        <v>View Full Record in Web of Science</v>
      </c>
    </row>
    <row r="812" spans="1:72" x14ac:dyDescent="0.15">
      <c r="A812" t="s">
        <v>72</v>
      </c>
      <c r="B812" t="s">
        <v>14913</v>
      </c>
      <c r="C812" t="s">
        <v>74</v>
      </c>
      <c r="D812" t="s">
        <v>74</v>
      </c>
      <c r="E812" t="s">
        <v>74</v>
      </c>
      <c r="F812" t="s">
        <v>14914</v>
      </c>
      <c r="G812" t="s">
        <v>74</v>
      </c>
      <c r="H812" t="s">
        <v>74</v>
      </c>
      <c r="I812" t="s">
        <v>14915</v>
      </c>
      <c r="J812" t="s">
        <v>9820</v>
      </c>
      <c r="K812" t="s">
        <v>74</v>
      </c>
      <c r="L812" t="s">
        <v>74</v>
      </c>
      <c r="M812" t="s">
        <v>78</v>
      </c>
      <c r="N812" t="s">
        <v>79</v>
      </c>
      <c r="O812" t="s">
        <v>74</v>
      </c>
      <c r="P812" t="s">
        <v>74</v>
      </c>
      <c r="Q812" t="s">
        <v>74</v>
      </c>
      <c r="R812" t="s">
        <v>74</v>
      </c>
      <c r="S812" t="s">
        <v>74</v>
      </c>
      <c r="T812" t="s">
        <v>14916</v>
      </c>
      <c r="U812" t="s">
        <v>14917</v>
      </c>
      <c r="V812" t="s">
        <v>14918</v>
      </c>
      <c r="W812" t="s">
        <v>14919</v>
      </c>
      <c r="X812" t="s">
        <v>14920</v>
      </c>
      <c r="Y812" t="s">
        <v>14921</v>
      </c>
      <c r="Z812" t="s">
        <v>14922</v>
      </c>
      <c r="AA812" t="s">
        <v>74</v>
      </c>
      <c r="AB812" t="s">
        <v>74</v>
      </c>
      <c r="AC812" t="s">
        <v>14923</v>
      </c>
      <c r="AD812" t="s">
        <v>14924</v>
      </c>
      <c r="AE812" t="s">
        <v>14925</v>
      </c>
      <c r="AF812" t="s">
        <v>74</v>
      </c>
      <c r="AG812">
        <v>37</v>
      </c>
      <c r="AH812">
        <v>17</v>
      </c>
      <c r="AI812">
        <v>22</v>
      </c>
      <c r="AJ812">
        <v>2</v>
      </c>
      <c r="AK812">
        <v>21</v>
      </c>
      <c r="AL812" t="s">
        <v>154</v>
      </c>
      <c r="AM812" t="s">
        <v>155</v>
      </c>
      <c r="AN812" t="s">
        <v>156</v>
      </c>
      <c r="AO812" t="s">
        <v>9832</v>
      </c>
      <c r="AP812" t="s">
        <v>74</v>
      </c>
      <c r="AQ812" t="s">
        <v>74</v>
      </c>
      <c r="AR812" t="s">
        <v>9834</v>
      </c>
      <c r="AS812" t="s">
        <v>9835</v>
      </c>
      <c r="AT812" t="s">
        <v>14886</v>
      </c>
      <c r="AU812">
        <v>2013</v>
      </c>
      <c r="AV812">
        <v>113</v>
      </c>
      <c r="AW812" t="s">
        <v>74</v>
      </c>
      <c r="AX812" t="s">
        <v>74</v>
      </c>
      <c r="AY812" t="s">
        <v>74</v>
      </c>
      <c r="AZ812" t="s">
        <v>74</v>
      </c>
      <c r="BA812" t="s">
        <v>74</v>
      </c>
      <c r="BB812">
        <v>42</v>
      </c>
      <c r="BC812">
        <v>51</v>
      </c>
      <c r="BD812" t="s">
        <v>74</v>
      </c>
      <c r="BE812" t="s">
        <v>14926</v>
      </c>
      <c r="BF812" t="str">
        <f>HYPERLINK("http://dx.doi.org/10.1016/j.jmarsys.2012.12.004","http://dx.doi.org/10.1016/j.jmarsys.2012.12.004")</f>
        <v>http://dx.doi.org/10.1016/j.jmarsys.2012.12.004</v>
      </c>
      <c r="BG812" t="s">
        <v>74</v>
      </c>
      <c r="BH812" t="s">
        <v>74</v>
      </c>
      <c r="BI812">
        <v>10</v>
      </c>
      <c r="BJ812" t="s">
        <v>9837</v>
      </c>
      <c r="BK812" t="s">
        <v>102</v>
      </c>
      <c r="BL812" t="s">
        <v>9838</v>
      </c>
      <c r="BM812" t="s">
        <v>14927</v>
      </c>
      <c r="BN812" t="s">
        <v>74</v>
      </c>
      <c r="BO812" t="s">
        <v>74</v>
      </c>
      <c r="BP812" t="s">
        <v>74</v>
      </c>
      <c r="BQ812" t="s">
        <v>74</v>
      </c>
      <c r="BR812" t="s">
        <v>105</v>
      </c>
      <c r="BS812" t="s">
        <v>14928</v>
      </c>
      <c r="BT812" t="str">
        <f>HYPERLINK("https%3A%2F%2Fwww.webofscience.com%2Fwos%2Fwoscc%2Ffull-record%2FWOS:000317162400004","View Full Record in Web of Science")</f>
        <v>View Full Record in Web of Science</v>
      </c>
    </row>
    <row r="813" spans="1:72" x14ac:dyDescent="0.15">
      <c r="A813" t="s">
        <v>72</v>
      </c>
      <c r="B813" t="s">
        <v>14929</v>
      </c>
      <c r="C813" t="s">
        <v>74</v>
      </c>
      <c r="D813" t="s">
        <v>74</v>
      </c>
      <c r="E813" t="s">
        <v>74</v>
      </c>
      <c r="F813" t="s">
        <v>14930</v>
      </c>
      <c r="G813" t="s">
        <v>74</v>
      </c>
      <c r="H813" t="s">
        <v>74</v>
      </c>
      <c r="I813" t="s">
        <v>14931</v>
      </c>
      <c r="J813" t="s">
        <v>14932</v>
      </c>
      <c r="K813" t="s">
        <v>74</v>
      </c>
      <c r="L813" t="s">
        <v>74</v>
      </c>
      <c r="M813" t="s">
        <v>78</v>
      </c>
      <c r="N813" t="s">
        <v>79</v>
      </c>
      <c r="O813" t="s">
        <v>74</v>
      </c>
      <c r="P813" t="s">
        <v>74</v>
      </c>
      <c r="Q813" t="s">
        <v>74</v>
      </c>
      <c r="R813" t="s">
        <v>74</v>
      </c>
      <c r="S813" t="s">
        <v>74</v>
      </c>
      <c r="T813" t="s">
        <v>74</v>
      </c>
      <c r="U813" t="s">
        <v>14933</v>
      </c>
      <c r="V813" t="s">
        <v>14934</v>
      </c>
      <c r="W813" t="s">
        <v>14935</v>
      </c>
      <c r="X813" t="s">
        <v>14936</v>
      </c>
      <c r="Y813" t="s">
        <v>14937</v>
      </c>
      <c r="Z813" t="s">
        <v>4854</v>
      </c>
      <c r="AA813" t="s">
        <v>14938</v>
      </c>
      <c r="AB813" t="s">
        <v>14939</v>
      </c>
      <c r="AC813" t="s">
        <v>14940</v>
      </c>
      <c r="AD813" t="s">
        <v>14941</v>
      </c>
      <c r="AE813" t="s">
        <v>14942</v>
      </c>
      <c r="AF813" t="s">
        <v>74</v>
      </c>
      <c r="AG813">
        <v>55</v>
      </c>
      <c r="AH813">
        <v>20</v>
      </c>
      <c r="AI813">
        <v>20</v>
      </c>
      <c r="AJ813">
        <v>0</v>
      </c>
      <c r="AK813">
        <v>10</v>
      </c>
      <c r="AL813" t="s">
        <v>14943</v>
      </c>
      <c r="AM813" t="s">
        <v>14944</v>
      </c>
      <c r="AN813" t="s">
        <v>14945</v>
      </c>
      <c r="AO813" t="s">
        <v>14946</v>
      </c>
      <c r="AP813" t="s">
        <v>74</v>
      </c>
      <c r="AQ813" t="s">
        <v>74</v>
      </c>
      <c r="AR813" t="s">
        <v>14947</v>
      </c>
      <c r="AS813" t="s">
        <v>14948</v>
      </c>
      <c r="AT813" t="s">
        <v>14886</v>
      </c>
      <c r="AU813">
        <v>2013</v>
      </c>
      <c r="AV813">
        <v>63</v>
      </c>
      <c r="AW813">
        <v>1</v>
      </c>
      <c r="AX813" t="s">
        <v>74</v>
      </c>
      <c r="AY813" t="s">
        <v>74</v>
      </c>
      <c r="AZ813" t="s">
        <v>74</v>
      </c>
      <c r="BA813" t="s">
        <v>74</v>
      </c>
      <c r="BB813">
        <v>121</v>
      </c>
      <c r="BC813">
        <v>143</v>
      </c>
      <c r="BD813" t="s">
        <v>74</v>
      </c>
      <c r="BE813" t="s">
        <v>14949</v>
      </c>
      <c r="BF813" t="str">
        <f>HYPERLINK("http://dx.doi.org/10.22499/2.6301.008","http://dx.doi.org/10.22499/2.6301.008")</f>
        <v>http://dx.doi.org/10.22499/2.6301.008</v>
      </c>
      <c r="BG813" t="s">
        <v>74</v>
      </c>
      <c r="BH813" t="s">
        <v>74</v>
      </c>
      <c r="BI813">
        <v>23</v>
      </c>
      <c r="BJ813" t="s">
        <v>1927</v>
      </c>
      <c r="BK813" t="s">
        <v>102</v>
      </c>
      <c r="BL813" t="s">
        <v>1927</v>
      </c>
      <c r="BM813" t="s">
        <v>14950</v>
      </c>
      <c r="BN813" t="s">
        <v>74</v>
      </c>
      <c r="BO813" t="s">
        <v>104</v>
      </c>
      <c r="BP813" t="s">
        <v>74</v>
      </c>
      <c r="BQ813" t="s">
        <v>74</v>
      </c>
      <c r="BR813" t="s">
        <v>105</v>
      </c>
      <c r="BS813" t="s">
        <v>14951</v>
      </c>
      <c r="BT813" t="str">
        <f>HYPERLINK("https%3A%2F%2Fwww.webofscience.com%2Fwos%2Fwoscc%2Ffull-record%2FWOS:000321822100008","View Full Record in Web of Science")</f>
        <v>View Full Record in Web of Science</v>
      </c>
    </row>
    <row r="814" spans="1:72" x14ac:dyDescent="0.15">
      <c r="A814" t="s">
        <v>72</v>
      </c>
      <c r="B814" t="s">
        <v>14952</v>
      </c>
      <c r="C814" t="s">
        <v>74</v>
      </c>
      <c r="D814" t="s">
        <v>74</v>
      </c>
      <c r="E814" t="s">
        <v>74</v>
      </c>
      <c r="F814" t="s">
        <v>14953</v>
      </c>
      <c r="G814" t="s">
        <v>74</v>
      </c>
      <c r="H814" t="s">
        <v>74</v>
      </c>
      <c r="I814" t="s">
        <v>14954</v>
      </c>
      <c r="J814" t="s">
        <v>14955</v>
      </c>
      <c r="K814" t="s">
        <v>74</v>
      </c>
      <c r="L814" t="s">
        <v>74</v>
      </c>
      <c r="M814" t="s">
        <v>78</v>
      </c>
      <c r="N814" t="s">
        <v>79</v>
      </c>
      <c r="O814" t="s">
        <v>74</v>
      </c>
      <c r="P814" t="s">
        <v>74</v>
      </c>
      <c r="Q814" t="s">
        <v>74</v>
      </c>
      <c r="R814" t="s">
        <v>74</v>
      </c>
      <c r="S814" t="s">
        <v>74</v>
      </c>
      <c r="T814" t="s">
        <v>14956</v>
      </c>
      <c r="U814" t="s">
        <v>14957</v>
      </c>
      <c r="V814" t="s">
        <v>14958</v>
      </c>
      <c r="W814" t="s">
        <v>14959</v>
      </c>
      <c r="X814" t="s">
        <v>14960</v>
      </c>
      <c r="Y814" t="s">
        <v>14961</v>
      </c>
      <c r="Z814" t="s">
        <v>14962</v>
      </c>
      <c r="AA814" t="s">
        <v>14963</v>
      </c>
      <c r="AB814" t="s">
        <v>14964</v>
      </c>
      <c r="AC814" t="s">
        <v>74</v>
      </c>
      <c r="AD814" t="s">
        <v>74</v>
      </c>
      <c r="AE814" t="s">
        <v>74</v>
      </c>
      <c r="AF814" t="s">
        <v>74</v>
      </c>
      <c r="AG814">
        <v>37</v>
      </c>
      <c r="AH814">
        <v>12</v>
      </c>
      <c r="AI814">
        <v>13</v>
      </c>
      <c r="AJ814">
        <v>1</v>
      </c>
      <c r="AK814">
        <v>10</v>
      </c>
      <c r="AL814" t="s">
        <v>14965</v>
      </c>
      <c r="AM814" t="s">
        <v>14966</v>
      </c>
      <c r="AN814" t="s">
        <v>14967</v>
      </c>
      <c r="AO814" t="s">
        <v>14968</v>
      </c>
      <c r="AP814" t="s">
        <v>14969</v>
      </c>
      <c r="AQ814" t="s">
        <v>74</v>
      </c>
      <c r="AR814" t="s">
        <v>14970</v>
      </c>
      <c r="AS814" t="s">
        <v>14971</v>
      </c>
      <c r="AT814" t="s">
        <v>14886</v>
      </c>
      <c r="AU814">
        <v>2013</v>
      </c>
      <c r="AV814">
        <v>336</v>
      </c>
      <c r="AW814">
        <v>3</v>
      </c>
      <c r="AX814" t="s">
        <v>74</v>
      </c>
      <c r="AY814" t="s">
        <v>74</v>
      </c>
      <c r="AZ814" t="s">
        <v>74</v>
      </c>
      <c r="BA814" t="s">
        <v>74</v>
      </c>
      <c r="BB814">
        <v>134</v>
      </c>
      <c r="BC814">
        <v>141</v>
      </c>
      <c r="BD814" t="s">
        <v>74</v>
      </c>
      <c r="BE814" t="s">
        <v>14972</v>
      </c>
      <c r="BF814" t="str">
        <f>HYPERLINK("http://dx.doi.org/10.1016/j.crvi.2013.03.003","http://dx.doi.org/10.1016/j.crvi.2013.03.003")</f>
        <v>http://dx.doi.org/10.1016/j.crvi.2013.03.003</v>
      </c>
      <c r="BG814" t="s">
        <v>74</v>
      </c>
      <c r="BH814" t="s">
        <v>74</v>
      </c>
      <c r="BI814">
        <v>8</v>
      </c>
      <c r="BJ814" t="s">
        <v>1685</v>
      </c>
      <c r="BK814" t="s">
        <v>102</v>
      </c>
      <c r="BL814" t="s">
        <v>1686</v>
      </c>
      <c r="BM814" t="s">
        <v>14973</v>
      </c>
      <c r="BN814">
        <v>23643395</v>
      </c>
      <c r="BO814" t="s">
        <v>74</v>
      </c>
      <c r="BP814" t="s">
        <v>74</v>
      </c>
      <c r="BQ814" t="s">
        <v>74</v>
      </c>
      <c r="BR814" t="s">
        <v>105</v>
      </c>
      <c r="BS814" t="s">
        <v>14974</v>
      </c>
      <c r="BT814" t="str">
        <f>HYPERLINK("https%3A%2F%2Fwww.webofscience.com%2Fwos%2Fwoscc%2Ffull-record%2FWOS:000320480700002","View Full Record in Web of Science")</f>
        <v>View Full Record in Web of Science</v>
      </c>
    </row>
    <row r="815" spans="1:72" x14ac:dyDescent="0.15">
      <c r="A815" t="s">
        <v>72</v>
      </c>
      <c r="B815" t="s">
        <v>14975</v>
      </c>
      <c r="C815" t="s">
        <v>74</v>
      </c>
      <c r="D815" t="s">
        <v>74</v>
      </c>
      <c r="E815" t="s">
        <v>74</v>
      </c>
      <c r="F815" t="s">
        <v>14976</v>
      </c>
      <c r="G815" t="s">
        <v>74</v>
      </c>
      <c r="H815" t="s">
        <v>74</v>
      </c>
      <c r="I815" t="s">
        <v>14977</v>
      </c>
      <c r="J815" t="s">
        <v>1710</v>
      </c>
      <c r="K815" t="s">
        <v>74</v>
      </c>
      <c r="L815" t="s">
        <v>74</v>
      </c>
      <c r="M815" t="s">
        <v>78</v>
      </c>
      <c r="N815" t="s">
        <v>79</v>
      </c>
      <c r="O815" t="s">
        <v>74</v>
      </c>
      <c r="P815" t="s">
        <v>74</v>
      </c>
      <c r="Q815" t="s">
        <v>74</v>
      </c>
      <c r="R815" t="s">
        <v>74</v>
      </c>
      <c r="S815" t="s">
        <v>74</v>
      </c>
      <c r="T815" t="s">
        <v>74</v>
      </c>
      <c r="U815" t="s">
        <v>14978</v>
      </c>
      <c r="V815" t="s">
        <v>14979</v>
      </c>
      <c r="W815" t="s">
        <v>14980</v>
      </c>
      <c r="X815" t="s">
        <v>14981</v>
      </c>
      <c r="Y815" t="s">
        <v>14982</v>
      </c>
      <c r="Z815" t="s">
        <v>14983</v>
      </c>
      <c r="AA815" t="s">
        <v>74</v>
      </c>
      <c r="AB815" t="s">
        <v>74</v>
      </c>
      <c r="AC815" t="s">
        <v>14984</v>
      </c>
      <c r="AD815" t="s">
        <v>14985</v>
      </c>
      <c r="AE815" t="s">
        <v>14986</v>
      </c>
      <c r="AF815" t="s">
        <v>74</v>
      </c>
      <c r="AG815">
        <v>47</v>
      </c>
      <c r="AH815">
        <v>31</v>
      </c>
      <c r="AI815">
        <v>34</v>
      </c>
      <c r="AJ815">
        <v>0</v>
      </c>
      <c r="AK815">
        <v>18</v>
      </c>
      <c r="AL815" t="s">
        <v>92</v>
      </c>
      <c r="AM815" t="s">
        <v>93</v>
      </c>
      <c r="AN815" t="s">
        <v>94</v>
      </c>
      <c r="AO815" t="s">
        <v>1723</v>
      </c>
      <c r="AP815" t="s">
        <v>1724</v>
      </c>
      <c r="AQ815" t="s">
        <v>74</v>
      </c>
      <c r="AR815" t="s">
        <v>1725</v>
      </c>
      <c r="AS815" t="s">
        <v>1726</v>
      </c>
      <c r="AT815" t="s">
        <v>14886</v>
      </c>
      <c r="AU815">
        <v>2013</v>
      </c>
      <c r="AV815">
        <v>118</v>
      </c>
      <c r="AW815">
        <v>3</v>
      </c>
      <c r="AX815" t="s">
        <v>74</v>
      </c>
      <c r="AY815" t="s">
        <v>74</v>
      </c>
      <c r="AZ815" t="s">
        <v>74</v>
      </c>
      <c r="BA815" t="s">
        <v>74</v>
      </c>
      <c r="BB815">
        <v>1070</v>
      </c>
      <c r="BC815">
        <v>1086</v>
      </c>
      <c r="BD815" t="s">
        <v>74</v>
      </c>
      <c r="BE815" t="s">
        <v>14987</v>
      </c>
      <c r="BF815" t="str">
        <f>HYPERLINK("http://dx.doi.org/10.1002/jgrc.20111","http://dx.doi.org/10.1002/jgrc.20111")</f>
        <v>http://dx.doi.org/10.1002/jgrc.20111</v>
      </c>
      <c r="BG815" t="s">
        <v>74</v>
      </c>
      <c r="BH815" t="s">
        <v>74</v>
      </c>
      <c r="BI815">
        <v>17</v>
      </c>
      <c r="BJ815" t="s">
        <v>327</v>
      </c>
      <c r="BK815" t="s">
        <v>102</v>
      </c>
      <c r="BL815" t="s">
        <v>327</v>
      </c>
      <c r="BM815" t="s">
        <v>14988</v>
      </c>
      <c r="BN815" t="s">
        <v>74</v>
      </c>
      <c r="BO815" t="s">
        <v>104</v>
      </c>
      <c r="BP815" t="s">
        <v>74</v>
      </c>
      <c r="BQ815" t="s">
        <v>74</v>
      </c>
      <c r="BR815" t="s">
        <v>105</v>
      </c>
      <c r="BS815" t="s">
        <v>14989</v>
      </c>
      <c r="BT815" t="str">
        <f>HYPERLINK("https%3A%2F%2Fwww.webofscience.com%2Fwos%2Fwoscc%2Ffull-record%2FWOS:000320323200002","View Full Record in Web of Science")</f>
        <v>View Full Record in Web of Science</v>
      </c>
    </row>
    <row r="816" spans="1:72" x14ac:dyDescent="0.15">
      <c r="A816" t="s">
        <v>72</v>
      </c>
      <c r="B816" t="s">
        <v>14990</v>
      </c>
      <c r="C816" t="s">
        <v>74</v>
      </c>
      <c r="D816" t="s">
        <v>74</v>
      </c>
      <c r="E816" t="s">
        <v>74</v>
      </c>
      <c r="F816" t="s">
        <v>14991</v>
      </c>
      <c r="G816" t="s">
        <v>74</v>
      </c>
      <c r="H816" t="s">
        <v>74</v>
      </c>
      <c r="I816" t="s">
        <v>14992</v>
      </c>
      <c r="J816" t="s">
        <v>1710</v>
      </c>
      <c r="K816" t="s">
        <v>74</v>
      </c>
      <c r="L816" t="s">
        <v>74</v>
      </c>
      <c r="M816" t="s">
        <v>78</v>
      </c>
      <c r="N816" t="s">
        <v>79</v>
      </c>
      <c r="O816" t="s">
        <v>74</v>
      </c>
      <c r="P816" t="s">
        <v>74</v>
      </c>
      <c r="Q816" t="s">
        <v>74</v>
      </c>
      <c r="R816" t="s">
        <v>74</v>
      </c>
      <c r="S816" t="s">
        <v>74</v>
      </c>
      <c r="T816" t="s">
        <v>74</v>
      </c>
      <c r="U816" t="s">
        <v>14993</v>
      </c>
      <c r="V816" t="s">
        <v>14994</v>
      </c>
      <c r="W816" t="s">
        <v>14995</v>
      </c>
      <c r="X816" t="s">
        <v>14996</v>
      </c>
      <c r="Y816" t="s">
        <v>14997</v>
      </c>
      <c r="Z816" t="s">
        <v>14998</v>
      </c>
      <c r="AA816" t="s">
        <v>74</v>
      </c>
      <c r="AB816" t="s">
        <v>14999</v>
      </c>
      <c r="AC816" t="s">
        <v>15000</v>
      </c>
      <c r="AD816" t="s">
        <v>15001</v>
      </c>
      <c r="AE816" t="s">
        <v>15002</v>
      </c>
      <c r="AF816" t="s">
        <v>74</v>
      </c>
      <c r="AG816">
        <v>63</v>
      </c>
      <c r="AH816">
        <v>23</v>
      </c>
      <c r="AI816">
        <v>24</v>
      </c>
      <c r="AJ816">
        <v>0</v>
      </c>
      <c r="AK816">
        <v>22</v>
      </c>
      <c r="AL816" t="s">
        <v>92</v>
      </c>
      <c r="AM816" t="s">
        <v>93</v>
      </c>
      <c r="AN816" t="s">
        <v>94</v>
      </c>
      <c r="AO816" t="s">
        <v>1723</v>
      </c>
      <c r="AP816" t="s">
        <v>1724</v>
      </c>
      <c r="AQ816" t="s">
        <v>74</v>
      </c>
      <c r="AR816" t="s">
        <v>1725</v>
      </c>
      <c r="AS816" t="s">
        <v>1726</v>
      </c>
      <c r="AT816" t="s">
        <v>14886</v>
      </c>
      <c r="AU816">
        <v>2013</v>
      </c>
      <c r="AV816">
        <v>118</v>
      </c>
      <c r="AW816">
        <v>3</v>
      </c>
      <c r="AX816" t="s">
        <v>74</v>
      </c>
      <c r="AY816" t="s">
        <v>74</v>
      </c>
      <c r="AZ816" t="s">
        <v>74</v>
      </c>
      <c r="BA816" t="s">
        <v>74</v>
      </c>
      <c r="BB816">
        <v>1195</v>
      </c>
      <c r="BC816">
        <v>1205</v>
      </c>
      <c r="BD816" t="s">
        <v>74</v>
      </c>
      <c r="BE816" t="s">
        <v>15003</v>
      </c>
      <c r="BF816" t="str">
        <f>HYPERLINK("http://dx.doi.org/10.1002/jgrc.20100","http://dx.doi.org/10.1002/jgrc.20100")</f>
        <v>http://dx.doi.org/10.1002/jgrc.20100</v>
      </c>
      <c r="BG816" t="s">
        <v>74</v>
      </c>
      <c r="BH816" t="s">
        <v>74</v>
      </c>
      <c r="BI816">
        <v>11</v>
      </c>
      <c r="BJ816" t="s">
        <v>327</v>
      </c>
      <c r="BK816" t="s">
        <v>102</v>
      </c>
      <c r="BL816" t="s">
        <v>327</v>
      </c>
      <c r="BM816" t="s">
        <v>14988</v>
      </c>
      <c r="BN816" t="s">
        <v>74</v>
      </c>
      <c r="BO816" t="s">
        <v>104</v>
      </c>
      <c r="BP816" t="s">
        <v>74</v>
      </c>
      <c r="BQ816" t="s">
        <v>74</v>
      </c>
      <c r="BR816" t="s">
        <v>105</v>
      </c>
      <c r="BS816" t="s">
        <v>15004</v>
      </c>
      <c r="BT816" t="str">
        <f>HYPERLINK("https%3A%2F%2Fwww.webofscience.com%2Fwos%2Fwoscc%2Ffull-record%2FWOS:000320323200010","View Full Record in Web of Science")</f>
        <v>View Full Record in Web of Science</v>
      </c>
    </row>
    <row r="817" spans="1:72" x14ac:dyDescent="0.15">
      <c r="A817" t="s">
        <v>72</v>
      </c>
      <c r="B817" t="s">
        <v>15005</v>
      </c>
      <c r="C817" t="s">
        <v>74</v>
      </c>
      <c r="D817" t="s">
        <v>74</v>
      </c>
      <c r="E817" t="s">
        <v>74</v>
      </c>
      <c r="F817" t="s">
        <v>15006</v>
      </c>
      <c r="G817" t="s">
        <v>74</v>
      </c>
      <c r="H817" t="s">
        <v>74</v>
      </c>
      <c r="I817" t="s">
        <v>15007</v>
      </c>
      <c r="J817" t="s">
        <v>1710</v>
      </c>
      <c r="K817" t="s">
        <v>74</v>
      </c>
      <c r="L817" t="s">
        <v>74</v>
      </c>
      <c r="M817" t="s">
        <v>78</v>
      </c>
      <c r="N817" t="s">
        <v>79</v>
      </c>
      <c r="O817" t="s">
        <v>74</v>
      </c>
      <c r="P817" t="s">
        <v>74</v>
      </c>
      <c r="Q817" t="s">
        <v>74</v>
      </c>
      <c r="R817" t="s">
        <v>74</v>
      </c>
      <c r="S817" t="s">
        <v>74</v>
      </c>
      <c r="T817" t="s">
        <v>74</v>
      </c>
      <c r="U817" t="s">
        <v>15008</v>
      </c>
      <c r="V817" t="s">
        <v>15009</v>
      </c>
      <c r="W817" t="s">
        <v>15010</v>
      </c>
      <c r="X817" t="s">
        <v>15011</v>
      </c>
      <c r="Y817" t="s">
        <v>15012</v>
      </c>
      <c r="Z817" t="s">
        <v>15013</v>
      </c>
      <c r="AA817" t="s">
        <v>15014</v>
      </c>
      <c r="AB817" t="s">
        <v>15015</v>
      </c>
      <c r="AC817" t="s">
        <v>15016</v>
      </c>
      <c r="AD817" t="s">
        <v>15017</v>
      </c>
      <c r="AE817" t="s">
        <v>15018</v>
      </c>
      <c r="AF817" t="s">
        <v>74</v>
      </c>
      <c r="AG817">
        <v>28</v>
      </c>
      <c r="AH817">
        <v>0</v>
      </c>
      <c r="AI817">
        <v>0</v>
      </c>
      <c r="AJ817">
        <v>0</v>
      </c>
      <c r="AK817">
        <v>4</v>
      </c>
      <c r="AL817" t="s">
        <v>92</v>
      </c>
      <c r="AM817" t="s">
        <v>93</v>
      </c>
      <c r="AN817" t="s">
        <v>94</v>
      </c>
      <c r="AO817" t="s">
        <v>1723</v>
      </c>
      <c r="AP817" t="s">
        <v>74</v>
      </c>
      <c r="AQ817" t="s">
        <v>74</v>
      </c>
      <c r="AR817" t="s">
        <v>1725</v>
      </c>
      <c r="AS817" t="s">
        <v>1726</v>
      </c>
      <c r="AT817" t="s">
        <v>14886</v>
      </c>
      <c r="AU817">
        <v>2013</v>
      </c>
      <c r="AV817">
        <v>118</v>
      </c>
      <c r="AW817">
        <v>3</v>
      </c>
      <c r="AX817" t="s">
        <v>74</v>
      </c>
      <c r="AY817" t="s">
        <v>74</v>
      </c>
      <c r="AZ817" t="s">
        <v>74</v>
      </c>
      <c r="BA817" t="s">
        <v>74</v>
      </c>
      <c r="BB817">
        <v>1396</v>
      </c>
      <c r="BC817">
        <v>1404</v>
      </c>
      <c r="BD817" t="s">
        <v>74</v>
      </c>
      <c r="BE817" t="s">
        <v>15019</v>
      </c>
      <c r="BF817" t="str">
        <f>HYPERLINK("http://dx.doi.org/10.1002/jgrc.20140","http://dx.doi.org/10.1002/jgrc.20140")</f>
        <v>http://dx.doi.org/10.1002/jgrc.20140</v>
      </c>
      <c r="BG817" t="s">
        <v>74</v>
      </c>
      <c r="BH817" t="s">
        <v>74</v>
      </c>
      <c r="BI817">
        <v>9</v>
      </c>
      <c r="BJ817" t="s">
        <v>327</v>
      </c>
      <c r="BK817" t="s">
        <v>102</v>
      </c>
      <c r="BL817" t="s">
        <v>327</v>
      </c>
      <c r="BM817" t="s">
        <v>14988</v>
      </c>
      <c r="BN817" t="s">
        <v>74</v>
      </c>
      <c r="BO817" t="s">
        <v>74</v>
      </c>
      <c r="BP817" t="s">
        <v>74</v>
      </c>
      <c r="BQ817" t="s">
        <v>74</v>
      </c>
      <c r="BR817" t="s">
        <v>105</v>
      </c>
      <c r="BS817" t="s">
        <v>15020</v>
      </c>
      <c r="BT817" t="str">
        <f>HYPERLINK("https%3A%2F%2Fwww.webofscience.com%2Fwos%2Fwoscc%2Ffull-record%2FWOS:000320323200024","View Full Record in Web of Science")</f>
        <v>View Full Record in Web of Science</v>
      </c>
    </row>
    <row r="818" spans="1:72" x14ac:dyDescent="0.15">
      <c r="A818" t="s">
        <v>72</v>
      </c>
      <c r="B818" t="s">
        <v>15021</v>
      </c>
      <c r="C818" t="s">
        <v>74</v>
      </c>
      <c r="D818" t="s">
        <v>74</v>
      </c>
      <c r="E818" t="s">
        <v>74</v>
      </c>
      <c r="F818" t="s">
        <v>15022</v>
      </c>
      <c r="G818" t="s">
        <v>74</v>
      </c>
      <c r="H818" t="s">
        <v>74</v>
      </c>
      <c r="I818" t="s">
        <v>15023</v>
      </c>
      <c r="J818" t="s">
        <v>15024</v>
      </c>
      <c r="K818" t="s">
        <v>74</v>
      </c>
      <c r="L818" t="s">
        <v>74</v>
      </c>
      <c r="M818" t="s">
        <v>78</v>
      </c>
      <c r="N818" t="s">
        <v>79</v>
      </c>
      <c r="O818" t="s">
        <v>74</v>
      </c>
      <c r="P818" t="s">
        <v>74</v>
      </c>
      <c r="Q818" t="s">
        <v>74</v>
      </c>
      <c r="R818" t="s">
        <v>74</v>
      </c>
      <c r="S818" t="s">
        <v>74</v>
      </c>
      <c r="T818" t="s">
        <v>15025</v>
      </c>
      <c r="U818" t="s">
        <v>15026</v>
      </c>
      <c r="V818" t="s">
        <v>15027</v>
      </c>
      <c r="W818" t="s">
        <v>15028</v>
      </c>
      <c r="X818" t="s">
        <v>15029</v>
      </c>
      <c r="Y818" t="s">
        <v>15030</v>
      </c>
      <c r="Z818" t="s">
        <v>15031</v>
      </c>
      <c r="AA818" t="s">
        <v>15032</v>
      </c>
      <c r="AB818" t="s">
        <v>15033</v>
      </c>
      <c r="AC818" t="s">
        <v>15034</v>
      </c>
      <c r="AD818" t="s">
        <v>15035</v>
      </c>
      <c r="AE818" t="s">
        <v>15036</v>
      </c>
      <c r="AF818" t="s">
        <v>74</v>
      </c>
      <c r="AG818">
        <v>25</v>
      </c>
      <c r="AH818">
        <v>13</v>
      </c>
      <c r="AI818">
        <v>15</v>
      </c>
      <c r="AJ818">
        <v>0</v>
      </c>
      <c r="AK818">
        <v>36</v>
      </c>
      <c r="AL818" t="s">
        <v>15037</v>
      </c>
      <c r="AM818" t="s">
        <v>15038</v>
      </c>
      <c r="AN818" t="s">
        <v>15039</v>
      </c>
      <c r="AO818" t="s">
        <v>15040</v>
      </c>
      <c r="AP818" t="s">
        <v>74</v>
      </c>
      <c r="AQ818" t="s">
        <v>74</v>
      </c>
      <c r="AR818" t="s">
        <v>15041</v>
      </c>
      <c r="AS818" t="s">
        <v>15042</v>
      </c>
      <c r="AT818" t="s">
        <v>14886</v>
      </c>
      <c r="AU818">
        <v>2013</v>
      </c>
      <c r="AV818">
        <v>45</v>
      </c>
      <c r="AW818">
        <v>1</v>
      </c>
      <c r="AX818" t="s">
        <v>74</v>
      </c>
      <c r="AY818" t="s">
        <v>74</v>
      </c>
      <c r="AZ818" t="s">
        <v>74</v>
      </c>
      <c r="BA818" t="s">
        <v>74</v>
      </c>
      <c r="BB818">
        <v>39</v>
      </c>
      <c r="BC818">
        <v>42</v>
      </c>
      <c r="BD818" t="s">
        <v>74</v>
      </c>
      <c r="BE818" t="s">
        <v>74</v>
      </c>
      <c r="BF818" t="s">
        <v>74</v>
      </c>
      <c r="BG818" t="s">
        <v>74</v>
      </c>
      <c r="BH818" t="s">
        <v>74</v>
      </c>
      <c r="BI818">
        <v>4</v>
      </c>
      <c r="BJ818" t="s">
        <v>2120</v>
      </c>
      <c r="BK818" t="s">
        <v>102</v>
      </c>
      <c r="BL818" t="s">
        <v>2120</v>
      </c>
      <c r="BM818" t="s">
        <v>15043</v>
      </c>
      <c r="BN818">
        <v>23589658</v>
      </c>
      <c r="BO818" t="s">
        <v>74</v>
      </c>
      <c r="BP818" t="s">
        <v>74</v>
      </c>
      <c r="BQ818" t="s">
        <v>74</v>
      </c>
      <c r="BR818" t="s">
        <v>105</v>
      </c>
      <c r="BS818" t="s">
        <v>15044</v>
      </c>
      <c r="BT818" t="str">
        <f>HYPERLINK("https%3A%2F%2Fwww.webofscience.com%2Fwos%2Fwoscc%2Ffull-record%2FWOS:000320453200006","View Full Record in Web of Science")</f>
        <v>View Full Record in Web of Science</v>
      </c>
    </row>
    <row r="819" spans="1:72" x14ac:dyDescent="0.15">
      <c r="A819" t="s">
        <v>72</v>
      </c>
      <c r="B819" t="s">
        <v>11305</v>
      </c>
      <c r="C819" t="s">
        <v>74</v>
      </c>
      <c r="D819" t="s">
        <v>74</v>
      </c>
      <c r="E819" t="s">
        <v>74</v>
      </c>
      <c r="F819" t="s">
        <v>11306</v>
      </c>
      <c r="G819" t="s">
        <v>74</v>
      </c>
      <c r="H819" t="s">
        <v>74</v>
      </c>
      <c r="I819" t="s">
        <v>15045</v>
      </c>
      <c r="J819" t="s">
        <v>6069</v>
      </c>
      <c r="K819" t="s">
        <v>74</v>
      </c>
      <c r="L819" t="s">
        <v>74</v>
      </c>
      <c r="M819" t="s">
        <v>78</v>
      </c>
      <c r="N819" t="s">
        <v>79</v>
      </c>
      <c r="O819" t="s">
        <v>74</v>
      </c>
      <c r="P819" t="s">
        <v>74</v>
      </c>
      <c r="Q819" t="s">
        <v>74</v>
      </c>
      <c r="R819" t="s">
        <v>74</v>
      </c>
      <c r="S819" t="s">
        <v>74</v>
      </c>
      <c r="T819" t="s">
        <v>15046</v>
      </c>
      <c r="U819" t="s">
        <v>15047</v>
      </c>
      <c r="V819" t="s">
        <v>15048</v>
      </c>
      <c r="W819" t="s">
        <v>15049</v>
      </c>
      <c r="X819" t="s">
        <v>15050</v>
      </c>
      <c r="Y819" t="s">
        <v>15051</v>
      </c>
      <c r="Z819" t="s">
        <v>11314</v>
      </c>
      <c r="AA819" t="s">
        <v>11315</v>
      </c>
      <c r="AB819" t="s">
        <v>11316</v>
      </c>
      <c r="AC819" t="s">
        <v>74</v>
      </c>
      <c r="AD819" t="s">
        <v>74</v>
      </c>
      <c r="AE819" t="s">
        <v>74</v>
      </c>
      <c r="AF819" t="s">
        <v>74</v>
      </c>
      <c r="AG819">
        <v>61</v>
      </c>
      <c r="AH819">
        <v>48</v>
      </c>
      <c r="AI819">
        <v>50</v>
      </c>
      <c r="AJ819">
        <v>0</v>
      </c>
      <c r="AK819">
        <v>13</v>
      </c>
      <c r="AL819" t="s">
        <v>195</v>
      </c>
      <c r="AM819" t="s">
        <v>155</v>
      </c>
      <c r="AN819" t="s">
        <v>196</v>
      </c>
      <c r="AO819" t="s">
        <v>6082</v>
      </c>
      <c r="AP819" t="s">
        <v>6083</v>
      </c>
      <c r="AQ819" t="s">
        <v>74</v>
      </c>
      <c r="AR819" t="s">
        <v>6084</v>
      </c>
      <c r="AS819" t="s">
        <v>6085</v>
      </c>
      <c r="AT819" t="s">
        <v>14886</v>
      </c>
      <c r="AU819">
        <v>2013</v>
      </c>
      <c r="AV819">
        <v>7</v>
      </c>
      <c r="AW819">
        <v>1</v>
      </c>
      <c r="AX819" t="s">
        <v>74</v>
      </c>
      <c r="AY819" t="s">
        <v>74</v>
      </c>
      <c r="AZ819" t="s">
        <v>74</v>
      </c>
      <c r="BA819" t="s">
        <v>74</v>
      </c>
      <c r="BB819">
        <v>18</v>
      </c>
      <c r="BC819">
        <v>38</v>
      </c>
      <c r="BD819" t="s">
        <v>74</v>
      </c>
      <c r="BE819" t="s">
        <v>15052</v>
      </c>
      <c r="BF819" t="str">
        <f>HYPERLINK("http://dx.doi.org/10.1016/j.polar.2012.12.002","http://dx.doi.org/10.1016/j.polar.2012.12.002")</f>
        <v>http://dx.doi.org/10.1016/j.polar.2012.12.002</v>
      </c>
      <c r="BG819" t="s">
        <v>74</v>
      </c>
      <c r="BH819" t="s">
        <v>74</v>
      </c>
      <c r="BI819">
        <v>21</v>
      </c>
      <c r="BJ819" t="s">
        <v>6087</v>
      </c>
      <c r="BK819" t="s">
        <v>102</v>
      </c>
      <c r="BL819" t="s">
        <v>6088</v>
      </c>
      <c r="BM819" t="s">
        <v>15053</v>
      </c>
      <c r="BN819" t="s">
        <v>74</v>
      </c>
      <c r="BO819" t="s">
        <v>248</v>
      </c>
      <c r="BP819" t="s">
        <v>74</v>
      </c>
      <c r="BQ819" t="s">
        <v>74</v>
      </c>
      <c r="BR819" t="s">
        <v>105</v>
      </c>
      <c r="BS819" t="s">
        <v>15054</v>
      </c>
      <c r="BT819" t="str">
        <f>HYPERLINK("https%3A%2F%2Fwww.webofscience.com%2Fwos%2Fwoscc%2Ffull-record%2FWOS:000319175000002","View Full Record in Web of Science")</f>
        <v>View Full Record in Web of Science</v>
      </c>
    </row>
    <row r="820" spans="1:72" x14ac:dyDescent="0.15">
      <c r="A820" t="s">
        <v>72</v>
      </c>
      <c r="B820" t="s">
        <v>15055</v>
      </c>
      <c r="C820" t="s">
        <v>74</v>
      </c>
      <c r="D820" t="s">
        <v>74</v>
      </c>
      <c r="E820" t="s">
        <v>74</v>
      </c>
      <c r="F820" t="s">
        <v>15056</v>
      </c>
      <c r="G820" t="s">
        <v>74</v>
      </c>
      <c r="H820" t="s">
        <v>74</v>
      </c>
      <c r="I820" t="s">
        <v>15057</v>
      </c>
      <c r="J820" t="s">
        <v>6069</v>
      </c>
      <c r="K820" t="s">
        <v>74</v>
      </c>
      <c r="L820" t="s">
        <v>74</v>
      </c>
      <c r="M820" t="s">
        <v>78</v>
      </c>
      <c r="N820" t="s">
        <v>79</v>
      </c>
      <c r="O820" t="s">
        <v>74</v>
      </c>
      <c r="P820" t="s">
        <v>74</v>
      </c>
      <c r="Q820" t="s">
        <v>74</v>
      </c>
      <c r="R820" t="s">
        <v>74</v>
      </c>
      <c r="S820" t="s">
        <v>74</v>
      </c>
      <c r="T820" t="s">
        <v>15058</v>
      </c>
      <c r="U820" t="s">
        <v>15059</v>
      </c>
      <c r="V820" t="s">
        <v>15060</v>
      </c>
      <c r="W820" t="s">
        <v>15061</v>
      </c>
      <c r="X820" t="s">
        <v>15062</v>
      </c>
      <c r="Y820" t="s">
        <v>15063</v>
      </c>
      <c r="Z820" t="s">
        <v>15064</v>
      </c>
      <c r="AA820" t="s">
        <v>74</v>
      </c>
      <c r="AB820" t="s">
        <v>74</v>
      </c>
      <c r="AC820" t="s">
        <v>74</v>
      </c>
      <c r="AD820" t="s">
        <v>74</v>
      </c>
      <c r="AE820" t="s">
        <v>74</v>
      </c>
      <c r="AF820" t="s">
        <v>74</v>
      </c>
      <c r="AG820">
        <v>49</v>
      </c>
      <c r="AH820">
        <v>1</v>
      </c>
      <c r="AI820">
        <v>1</v>
      </c>
      <c r="AJ820">
        <v>0</v>
      </c>
      <c r="AK820">
        <v>5</v>
      </c>
      <c r="AL820" t="s">
        <v>195</v>
      </c>
      <c r="AM820" t="s">
        <v>155</v>
      </c>
      <c r="AN820" t="s">
        <v>196</v>
      </c>
      <c r="AO820" t="s">
        <v>6082</v>
      </c>
      <c r="AP820" t="s">
        <v>6083</v>
      </c>
      <c r="AQ820" t="s">
        <v>74</v>
      </c>
      <c r="AR820" t="s">
        <v>6084</v>
      </c>
      <c r="AS820" t="s">
        <v>6085</v>
      </c>
      <c r="AT820" t="s">
        <v>14886</v>
      </c>
      <c r="AU820">
        <v>2013</v>
      </c>
      <c r="AV820">
        <v>7</v>
      </c>
      <c r="AW820">
        <v>1</v>
      </c>
      <c r="AX820" t="s">
        <v>74</v>
      </c>
      <c r="AY820" t="s">
        <v>74</v>
      </c>
      <c r="AZ820" t="s">
        <v>74</v>
      </c>
      <c r="BA820" t="s">
        <v>74</v>
      </c>
      <c r="BB820">
        <v>39</v>
      </c>
      <c r="BC820">
        <v>47</v>
      </c>
      <c r="BD820" t="s">
        <v>74</v>
      </c>
      <c r="BE820" t="s">
        <v>15065</v>
      </c>
      <c r="BF820" t="str">
        <f>HYPERLINK("http://dx.doi.org/10.1016/j.polar.2013.02.002","http://dx.doi.org/10.1016/j.polar.2013.02.002")</f>
        <v>http://dx.doi.org/10.1016/j.polar.2013.02.002</v>
      </c>
      <c r="BG820" t="s">
        <v>74</v>
      </c>
      <c r="BH820" t="s">
        <v>74</v>
      </c>
      <c r="BI820">
        <v>9</v>
      </c>
      <c r="BJ820" t="s">
        <v>6087</v>
      </c>
      <c r="BK820" t="s">
        <v>102</v>
      </c>
      <c r="BL820" t="s">
        <v>6088</v>
      </c>
      <c r="BM820" t="s">
        <v>15053</v>
      </c>
      <c r="BN820" t="s">
        <v>74</v>
      </c>
      <c r="BO820" t="s">
        <v>248</v>
      </c>
      <c r="BP820" t="s">
        <v>74</v>
      </c>
      <c r="BQ820" t="s">
        <v>74</v>
      </c>
      <c r="BR820" t="s">
        <v>105</v>
      </c>
      <c r="BS820" t="s">
        <v>15066</v>
      </c>
      <c r="BT820" t="str">
        <f>HYPERLINK("https%3A%2F%2Fwww.webofscience.com%2Fwos%2Fwoscc%2Ffull-record%2FWOS:000319175000003","View Full Record in Web of Science")</f>
        <v>View Full Record in Web of Science</v>
      </c>
    </row>
    <row r="821" spans="1:72" x14ac:dyDescent="0.15">
      <c r="A821" t="s">
        <v>72</v>
      </c>
      <c r="B821" t="s">
        <v>15067</v>
      </c>
      <c r="C821" t="s">
        <v>74</v>
      </c>
      <c r="D821" t="s">
        <v>74</v>
      </c>
      <c r="E821" t="s">
        <v>74</v>
      </c>
      <c r="F821" t="s">
        <v>15068</v>
      </c>
      <c r="G821" t="s">
        <v>74</v>
      </c>
      <c r="H821" t="s">
        <v>74</v>
      </c>
      <c r="I821" t="s">
        <v>15069</v>
      </c>
      <c r="J821" t="s">
        <v>3089</v>
      </c>
      <c r="K821" t="s">
        <v>74</v>
      </c>
      <c r="L821" t="s">
        <v>74</v>
      </c>
      <c r="M821" t="s">
        <v>78</v>
      </c>
      <c r="N821" t="s">
        <v>79</v>
      </c>
      <c r="O821" t="s">
        <v>74</v>
      </c>
      <c r="P821" t="s">
        <v>74</v>
      </c>
      <c r="Q821" t="s">
        <v>74</v>
      </c>
      <c r="R821" t="s">
        <v>74</v>
      </c>
      <c r="S821" t="s">
        <v>74</v>
      </c>
      <c r="T821" t="s">
        <v>74</v>
      </c>
      <c r="U821" t="s">
        <v>15070</v>
      </c>
      <c r="V821" t="s">
        <v>15071</v>
      </c>
      <c r="W821" t="s">
        <v>15072</v>
      </c>
      <c r="X821" t="s">
        <v>15073</v>
      </c>
      <c r="Y821" t="s">
        <v>15074</v>
      </c>
      <c r="Z821" t="s">
        <v>15075</v>
      </c>
      <c r="AA821" t="s">
        <v>15076</v>
      </c>
      <c r="AB821" t="s">
        <v>74</v>
      </c>
      <c r="AC821" t="s">
        <v>15077</v>
      </c>
      <c r="AD821" t="s">
        <v>15078</v>
      </c>
      <c r="AE821" t="s">
        <v>15079</v>
      </c>
      <c r="AF821" t="s">
        <v>74</v>
      </c>
      <c r="AG821">
        <v>25</v>
      </c>
      <c r="AH821">
        <v>15</v>
      </c>
      <c r="AI821">
        <v>16</v>
      </c>
      <c r="AJ821">
        <v>1</v>
      </c>
      <c r="AK821">
        <v>8</v>
      </c>
      <c r="AL821" t="s">
        <v>3100</v>
      </c>
      <c r="AM821" t="s">
        <v>643</v>
      </c>
      <c r="AN821" t="s">
        <v>11952</v>
      </c>
      <c r="AO821" t="s">
        <v>3102</v>
      </c>
      <c r="AP821" t="s">
        <v>3103</v>
      </c>
      <c r="AQ821" t="s">
        <v>74</v>
      </c>
      <c r="AR821" t="s">
        <v>3104</v>
      </c>
      <c r="AS821" t="s">
        <v>3105</v>
      </c>
      <c r="AT821" t="s">
        <v>14886</v>
      </c>
      <c r="AU821">
        <v>2013</v>
      </c>
      <c r="AV821">
        <v>63</v>
      </c>
      <c r="AW821" t="s">
        <v>74</v>
      </c>
      <c r="AX821">
        <v>3</v>
      </c>
      <c r="AY821" t="s">
        <v>74</v>
      </c>
      <c r="AZ821" t="s">
        <v>74</v>
      </c>
      <c r="BA821" t="s">
        <v>74</v>
      </c>
      <c r="BB821">
        <v>849</v>
      </c>
      <c r="BC821">
        <v>854</v>
      </c>
      <c r="BD821" t="s">
        <v>74</v>
      </c>
      <c r="BE821" t="s">
        <v>15080</v>
      </c>
      <c r="BF821" t="str">
        <f>HYPERLINK("http://dx.doi.org/10.1099/ijs.0.042184-0","http://dx.doi.org/10.1099/ijs.0.042184-0")</f>
        <v>http://dx.doi.org/10.1099/ijs.0.042184-0</v>
      </c>
      <c r="BG821" t="s">
        <v>74</v>
      </c>
      <c r="BH821" t="s">
        <v>74</v>
      </c>
      <c r="BI821">
        <v>6</v>
      </c>
      <c r="BJ821" t="s">
        <v>3107</v>
      </c>
      <c r="BK821" t="s">
        <v>102</v>
      </c>
      <c r="BL821" t="s">
        <v>3107</v>
      </c>
      <c r="BM821" t="s">
        <v>15081</v>
      </c>
      <c r="BN821">
        <v>22611201</v>
      </c>
      <c r="BO821" t="s">
        <v>74</v>
      </c>
      <c r="BP821" t="s">
        <v>74</v>
      </c>
      <c r="BQ821" t="s">
        <v>74</v>
      </c>
      <c r="BR821" t="s">
        <v>105</v>
      </c>
      <c r="BS821" t="s">
        <v>15082</v>
      </c>
      <c r="BT821" t="str">
        <f>HYPERLINK("https%3A%2F%2Fwww.webofscience.com%2Fwos%2Fwoscc%2Ffull-record%2FWOS:000318533700008","View Full Record in Web of Science")</f>
        <v>View Full Record in Web of Science</v>
      </c>
    </row>
    <row r="822" spans="1:72" x14ac:dyDescent="0.15">
      <c r="A822" t="s">
        <v>72</v>
      </c>
      <c r="B822" t="s">
        <v>15083</v>
      </c>
      <c r="C822" t="s">
        <v>74</v>
      </c>
      <c r="D822" t="s">
        <v>74</v>
      </c>
      <c r="E822" t="s">
        <v>74</v>
      </c>
      <c r="F822" t="s">
        <v>15084</v>
      </c>
      <c r="G822" t="s">
        <v>74</v>
      </c>
      <c r="H822" t="s">
        <v>74</v>
      </c>
      <c r="I822" t="s">
        <v>15085</v>
      </c>
      <c r="J822" t="s">
        <v>3089</v>
      </c>
      <c r="K822" t="s">
        <v>74</v>
      </c>
      <c r="L822" t="s">
        <v>74</v>
      </c>
      <c r="M822" t="s">
        <v>78</v>
      </c>
      <c r="N822" t="s">
        <v>79</v>
      </c>
      <c r="O822" t="s">
        <v>74</v>
      </c>
      <c r="P822" t="s">
        <v>74</v>
      </c>
      <c r="Q822" t="s">
        <v>74</v>
      </c>
      <c r="R822" t="s">
        <v>74</v>
      </c>
      <c r="S822" t="s">
        <v>74</v>
      </c>
      <c r="T822" t="s">
        <v>74</v>
      </c>
      <c r="U822" t="s">
        <v>15086</v>
      </c>
      <c r="V822" t="s">
        <v>15087</v>
      </c>
      <c r="W822" t="s">
        <v>15088</v>
      </c>
      <c r="X822" t="s">
        <v>7737</v>
      </c>
      <c r="Y822" t="s">
        <v>15089</v>
      </c>
      <c r="Z822" t="s">
        <v>15090</v>
      </c>
      <c r="AA822" t="s">
        <v>15091</v>
      </c>
      <c r="AB822" t="s">
        <v>15092</v>
      </c>
      <c r="AC822" t="s">
        <v>15093</v>
      </c>
      <c r="AD822" t="s">
        <v>15094</v>
      </c>
      <c r="AE822" t="s">
        <v>15095</v>
      </c>
      <c r="AF822" t="s">
        <v>74</v>
      </c>
      <c r="AG822">
        <v>27</v>
      </c>
      <c r="AH822">
        <v>18</v>
      </c>
      <c r="AI822">
        <v>19</v>
      </c>
      <c r="AJ822">
        <v>1</v>
      </c>
      <c r="AK822">
        <v>43</v>
      </c>
      <c r="AL822" t="s">
        <v>3100</v>
      </c>
      <c r="AM822" t="s">
        <v>643</v>
      </c>
      <c r="AN822" t="s">
        <v>11952</v>
      </c>
      <c r="AO822" t="s">
        <v>3102</v>
      </c>
      <c r="AP822" t="s">
        <v>3103</v>
      </c>
      <c r="AQ822" t="s">
        <v>74</v>
      </c>
      <c r="AR822" t="s">
        <v>3104</v>
      </c>
      <c r="AS822" t="s">
        <v>3105</v>
      </c>
      <c r="AT822" t="s">
        <v>14886</v>
      </c>
      <c r="AU822">
        <v>2013</v>
      </c>
      <c r="AV822">
        <v>63</v>
      </c>
      <c r="AW822" t="s">
        <v>74</v>
      </c>
      <c r="AX822">
        <v>3</v>
      </c>
      <c r="AY822" t="s">
        <v>74</v>
      </c>
      <c r="AZ822" t="s">
        <v>74</v>
      </c>
      <c r="BA822" t="s">
        <v>74</v>
      </c>
      <c r="BB822">
        <v>959</v>
      </c>
      <c r="BC822">
        <v>964</v>
      </c>
      <c r="BD822" t="s">
        <v>74</v>
      </c>
      <c r="BE822" t="s">
        <v>15096</v>
      </c>
      <c r="BF822" t="str">
        <f>HYPERLINK("http://dx.doi.org/10.1099/ijs.0.043703-0","http://dx.doi.org/10.1099/ijs.0.043703-0")</f>
        <v>http://dx.doi.org/10.1099/ijs.0.043703-0</v>
      </c>
      <c r="BG822" t="s">
        <v>74</v>
      </c>
      <c r="BH822" t="s">
        <v>74</v>
      </c>
      <c r="BI822">
        <v>6</v>
      </c>
      <c r="BJ822" t="s">
        <v>3107</v>
      </c>
      <c r="BK822" t="s">
        <v>102</v>
      </c>
      <c r="BL822" t="s">
        <v>3107</v>
      </c>
      <c r="BM822" t="s">
        <v>15081</v>
      </c>
      <c r="BN822">
        <v>22659505</v>
      </c>
      <c r="BO822" t="s">
        <v>1014</v>
      </c>
      <c r="BP822" t="s">
        <v>74</v>
      </c>
      <c r="BQ822" t="s">
        <v>74</v>
      </c>
      <c r="BR822" t="s">
        <v>105</v>
      </c>
      <c r="BS822" t="s">
        <v>15097</v>
      </c>
      <c r="BT822" t="str">
        <f>HYPERLINK("https%3A%2F%2Fwww.webofscience.com%2Fwos%2Fwoscc%2Ffull-record%2FWOS:000318533700026","View Full Record in Web of Science")</f>
        <v>View Full Record in Web of Science</v>
      </c>
    </row>
    <row r="823" spans="1:72" x14ac:dyDescent="0.15">
      <c r="A823" t="s">
        <v>72</v>
      </c>
      <c r="B823" t="s">
        <v>15098</v>
      </c>
      <c r="C823" t="s">
        <v>74</v>
      </c>
      <c r="D823" t="s">
        <v>74</v>
      </c>
      <c r="E823" t="s">
        <v>74</v>
      </c>
      <c r="F823" t="s">
        <v>15099</v>
      </c>
      <c r="G823" t="s">
        <v>74</v>
      </c>
      <c r="H823" t="s">
        <v>74</v>
      </c>
      <c r="I823" t="s">
        <v>15100</v>
      </c>
      <c r="J823" t="s">
        <v>7880</v>
      </c>
      <c r="K823" t="s">
        <v>74</v>
      </c>
      <c r="L823" t="s">
        <v>74</v>
      </c>
      <c r="M823" t="s">
        <v>78</v>
      </c>
      <c r="N823" t="s">
        <v>79</v>
      </c>
      <c r="O823" t="s">
        <v>74</v>
      </c>
      <c r="P823" t="s">
        <v>74</v>
      </c>
      <c r="Q823" t="s">
        <v>74</v>
      </c>
      <c r="R823" t="s">
        <v>74</v>
      </c>
      <c r="S823" t="s">
        <v>74</v>
      </c>
      <c r="T823" t="s">
        <v>74</v>
      </c>
      <c r="U823" t="s">
        <v>15101</v>
      </c>
      <c r="V823" t="s">
        <v>15102</v>
      </c>
      <c r="W823" t="s">
        <v>15103</v>
      </c>
      <c r="X823" t="s">
        <v>15104</v>
      </c>
      <c r="Y823" t="s">
        <v>15105</v>
      </c>
      <c r="Z823" t="s">
        <v>15106</v>
      </c>
      <c r="AA823" t="s">
        <v>74</v>
      </c>
      <c r="AB823" t="s">
        <v>15107</v>
      </c>
      <c r="AC823" t="s">
        <v>74</v>
      </c>
      <c r="AD823" t="s">
        <v>74</v>
      </c>
      <c r="AE823" t="s">
        <v>74</v>
      </c>
      <c r="AF823" t="s">
        <v>74</v>
      </c>
      <c r="AG823">
        <v>45</v>
      </c>
      <c r="AH823">
        <v>11</v>
      </c>
      <c r="AI823">
        <v>12</v>
      </c>
      <c r="AJ823">
        <v>2</v>
      </c>
      <c r="AK823">
        <v>13</v>
      </c>
      <c r="AL823" t="s">
        <v>92</v>
      </c>
      <c r="AM823" t="s">
        <v>93</v>
      </c>
      <c r="AN823" t="s">
        <v>94</v>
      </c>
      <c r="AO823" t="s">
        <v>7893</v>
      </c>
      <c r="AP823" t="s">
        <v>7894</v>
      </c>
      <c r="AQ823" t="s">
        <v>74</v>
      </c>
      <c r="AR823" t="s">
        <v>7895</v>
      </c>
      <c r="AS823" t="s">
        <v>7896</v>
      </c>
      <c r="AT823" t="s">
        <v>14886</v>
      </c>
      <c r="AU823">
        <v>2013</v>
      </c>
      <c r="AV823">
        <v>118</v>
      </c>
      <c r="AW823">
        <v>3</v>
      </c>
      <c r="AX823" t="s">
        <v>74</v>
      </c>
      <c r="AY823" t="s">
        <v>74</v>
      </c>
      <c r="AZ823" t="s">
        <v>74</v>
      </c>
      <c r="BA823" t="s">
        <v>74</v>
      </c>
      <c r="BB823">
        <v>1195</v>
      </c>
      <c r="BC823">
        <v>1202</v>
      </c>
      <c r="BD823" t="s">
        <v>74</v>
      </c>
      <c r="BE823" t="s">
        <v>15108</v>
      </c>
      <c r="BF823" t="str">
        <f>HYPERLINK("http://dx.doi.org/10.1002/jgrb.50109","http://dx.doi.org/10.1002/jgrb.50109")</f>
        <v>http://dx.doi.org/10.1002/jgrb.50109</v>
      </c>
      <c r="BG823" t="s">
        <v>74</v>
      </c>
      <c r="BH823" t="s">
        <v>74</v>
      </c>
      <c r="BI823">
        <v>8</v>
      </c>
      <c r="BJ823" t="s">
        <v>766</v>
      </c>
      <c r="BK823" t="s">
        <v>102</v>
      </c>
      <c r="BL823" t="s">
        <v>766</v>
      </c>
      <c r="BM823" t="s">
        <v>15109</v>
      </c>
      <c r="BN823" t="s">
        <v>74</v>
      </c>
      <c r="BO823" t="s">
        <v>74</v>
      </c>
      <c r="BP823" t="s">
        <v>74</v>
      </c>
      <c r="BQ823" t="s">
        <v>74</v>
      </c>
      <c r="BR823" t="s">
        <v>105</v>
      </c>
      <c r="BS823" t="s">
        <v>15110</v>
      </c>
      <c r="BT823" t="str">
        <f>HYPERLINK("https%3A%2F%2Fwww.webofscience.com%2Fwos%2Fwoscc%2Ffull-record%2FWOS:000318273300031","View Full Record in Web of Science")</f>
        <v>View Full Record in Web of Science</v>
      </c>
    </row>
    <row r="824" spans="1:72" x14ac:dyDescent="0.15">
      <c r="A824" t="s">
        <v>72</v>
      </c>
      <c r="B824" t="s">
        <v>9858</v>
      </c>
      <c r="C824" t="s">
        <v>74</v>
      </c>
      <c r="D824" t="s">
        <v>74</v>
      </c>
      <c r="E824" t="s">
        <v>74</v>
      </c>
      <c r="F824" t="s">
        <v>9859</v>
      </c>
      <c r="G824" t="s">
        <v>74</v>
      </c>
      <c r="H824" t="s">
        <v>74</v>
      </c>
      <c r="I824" t="s">
        <v>15111</v>
      </c>
      <c r="J824" t="s">
        <v>9861</v>
      </c>
      <c r="K824" t="s">
        <v>74</v>
      </c>
      <c r="L824" t="s">
        <v>74</v>
      </c>
      <c r="M824" t="s">
        <v>78</v>
      </c>
      <c r="N824" t="s">
        <v>79</v>
      </c>
      <c r="O824" t="s">
        <v>74</v>
      </c>
      <c r="P824" t="s">
        <v>74</v>
      </c>
      <c r="Q824" t="s">
        <v>74</v>
      </c>
      <c r="R824" t="s">
        <v>74</v>
      </c>
      <c r="S824" t="s">
        <v>74</v>
      </c>
      <c r="T824" t="s">
        <v>15112</v>
      </c>
      <c r="U824" t="s">
        <v>15113</v>
      </c>
      <c r="V824" t="s">
        <v>15114</v>
      </c>
      <c r="W824" t="s">
        <v>9865</v>
      </c>
      <c r="X824" t="s">
        <v>9866</v>
      </c>
      <c r="Y824" t="s">
        <v>15115</v>
      </c>
      <c r="Z824" t="s">
        <v>9868</v>
      </c>
      <c r="AA824" t="s">
        <v>74</v>
      </c>
      <c r="AB824" t="s">
        <v>74</v>
      </c>
      <c r="AC824" t="s">
        <v>15116</v>
      </c>
      <c r="AD824" t="s">
        <v>15117</v>
      </c>
      <c r="AE824" t="s">
        <v>15118</v>
      </c>
      <c r="AF824" t="s">
        <v>74</v>
      </c>
      <c r="AG824">
        <v>104</v>
      </c>
      <c r="AH824">
        <v>9</v>
      </c>
      <c r="AI824">
        <v>9</v>
      </c>
      <c r="AJ824">
        <v>1</v>
      </c>
      <c r="AK824">
        <v>7</v>
      </c>
      <c r="AL824" t="s">
        <v>441</v>
      </c>
      <c r="AM824" t="s">
        <v>442</v>
      </c>
      <c r="AN824" t="s">
        <v>443</v>
      </c>
      <c r="AO824" t="s">
        <v>9871</v>
      </c>
      <c r="AP824" t="s">
        <v>9872</v>
      </c>
      <c r="AQ824" t="s">
        <v>74</v>
      </c>
      <c r="AR824" t="s">
        <v>9873</v>
      </c>
      <c r="AS824" t="s">
        <v>9874</v>
      </c>
      <c r="AT824" t="s">
        <v>14886</v>
      </c>
      <c r="AU824">
        <v>2013</v>
      </c>
      <c r="AV824">
        <v>429</v>
      </c>
      <c r="AW824">
        <v>3</v>
      </c>
      <c r="AX824" t="s">
        <v>74</v>
      </c>
      <c r="AY824" t="s">
        <v>74</v>
      </c>
      <c r="AZ824" t="s">
        <v>74</v>
      </c>
      <c r="BA824" t="s">
        <v>74</v>
      </c>
      <c r="BB824">
        <v>2274</v>
      </c>
      <c r="BC824">
        <v>2286</v>
      </c>
      <c r="BD824" t="s">
        <v>74</v>
      </c>
      <c r="BE824" t="s">
        <v>15119</v>
      </c>
      <c r="BF824" t="str">
        <f>HYPERLINK("http://dx.doi.org/10.1093/mnras/sts496","http://dx.doi.org/10.1093/mnras/sts496")</f>
        <v>http://dx.doi.org/10.1093/mnras/sts496</v>
      </c>
      <c r="BG824" t="s">
        <v>74</v>
      </c>
      <c r="BH824" t="s">
        <v>74</v>
      </c>
      <c r="BI824">
        <v>13</v>
      </c>
      <c r="BJ824" t="s">
        <v>101</v>
      </c>
      <c r="BK824" t="s">
        <v>102</v>
      </c>
      <c r="BL824" t="s">
        <v>101</v>
      </c>
      <c r="BM824" t="s">
        <v>15120</v>
      </c>
      <c r="BN824" t="s">
        <v>74</v>
      </c>
      <c r="BO824" t="s">
        <v>577</v>
      </c>
      <c r="BP824" t="s">
        <v>74</v>
      </c>
      <c r="BQ824" t="s">
        <v>74</v>
      </c>
      <c r="BR824" t="s">
        <v>105</v>
      </c>
      <c r="BS824" t="s">
        <v>15121</v>
      </c>
      <c r="BT824" t="str">
        <f>HYPERLINK("https%3A%2F%2Fwww.webofscience.com%2Fwos%2Fwoscc%2Ffull-record%2FWOS:000318271300030","View Full Record in Web of Science")</f>
        <v>View Full Record in Web of Science</v>
      </c>
    </row>
    <row r="825" spans="1:72" x14ac:dyDescent="0.15">
      <c r="A825" t="s">
        <v>72</v>
      </c>
      <c r="B825" t="s">
        <v>15122</v>
      </c>
      <c r="C825" t="s">
        <v>74</v>
      </c>
      <c r="D825" t="s">
        <v>74</v>
      </c>
      <c r="E825" t="s">
        <v>74</v>
      </c>
      <c r="F825" t="s">
        <v>15123</v>
      </c>
      <c r="G825" t="s">
        <v>74</v>
      </c>
      <c r="H825" t="s">
        <v>74</v>
      </c>
      <c r="I825" t="s">
        <v>15124</v>
      </c>
      <c r="J825" t="s">
        <v>15125</v>
      </c>
      <c r="K825" t="s">
        <v>74</v>
      </c>
      <c r="L825" t="s">
        <v>74</v>
      </c>
      <c r="M825" t="s">
        <v>78</v>
      </c>
      <c r="N825" t="s">
        <v>79</v>
      </c>
      <c r="O825" t="s">
        <v>74</v>
      </c>
      <c r="P825" t="s">
        <v>74</v>
      </c>
      <c r="Q825" t="s">
        <v>74</v>
      </c>
      <c r="R825" t="s">
        <v>74</v>
      </c>
      <c r="S825" t="s">
        <v>74</v>
      </c>
      <c r="T825" t="s">
        <v>74</v>
      </c>
      <c r="U825" t="s">
        <v>15126</v>
      </c>
      <c r="V825" t="s">
        <v>15127</v>
      </c>
      <c r="W825" t="s">
        <v>15128</v>
      </c>
      <c r="X825" t="s">
        <v>15129</v>
      </c>
      <c r="Y825" t="s">
        <v>15130</v>
      </c>
      <c r="Z825" t="s">
        <v>15131</v>
      </c>
      <c r="AA825" t="s">
        <v>15132</v>
      </c>
      <c r="AB825" t="s">
        <v>15133</v>
      </c>
      <c r="AC825" t="s">
        <v>15134</v>
      </c>
      <c r="AD825" t="s">
        <v>15135</v>
      </c>
      <c r="AE825" t="s">
        <v>15136</v>
      </c>
      <c r="AF825" t="s">
        <v>74</v>
      </c>
      <c r="AG825">
        <v>79</v>
      </c>
      <c r="AH825">
        <v>16</v>
      </c>
      <c r="AI825">
        <v>16</v>
      </c>
      <c r="AJ825">
        <v>0</v>
      </c>
      <c r="AK825">
        <v>10</v>
      </c>
      <c r="AL825" t="s">
        <v>279</v>
      </c>
      <c r="AM825" t="s">
        <v>280</v>
      </c>
      <c r="AN825" t="s">
        <v>281</v>
      </c>
      <c r="AO825" t="s">
        <v>15137</v>
      </c>
      <c r="AP825" t="s">
        <v>15138</v>
      </c>
      <c r="AQ825" t="s">
        <v>74</v>
      </c>
      <c r="AR825" t="s">
        <v>15139</v>
      </c>
      <c r="AS825" t="s">
        <v>15140</v>
      </c>
      <c r="AT825" t="s">
        <v>15141</v>
      </c>
      <c r="AU825">
        <v>2013</v>
      </c>
      <c r="AV825">
        <v>125</v>
      </c>
      <c r="AW825" t="s">
        <v>599</v>
      </c>
      <c r="AX825" t="s">
        <v>74</v>
      </c>
      <c r="AY825" t="s">
        <v>74</v>
      </c>
      <c r="AZ825" t="s">
        <v>74</v>
      </c>
      <c r="BA825" t="s">
        <v>74</v>
      </c>
      <c r="BB825">
        <v>609</v>
      </c>
      <c r="BC825">
        <v>624</v>
      </c>
      <c r="BD825" t="s">
        <v>74</v>
      </c>
      <c r="BE825" t="s">
        <v>15142</v>
      </c>
      <c r="BF825" t="str">
        <f>HYPERLINK("http://dx.doi.org/10.1130/B30670.1","http://dx.doi.org/10.1130/B30670.1")</f>
        <v>http://dx.doi.org/10.1130/B30670.1</v>
      </c>
      <c r="BG825" t="s">
        <v>74</v>
      </c>
      <c r="BH825" t="s">
        <v>74</v>
      </c>
      <c r="BI825">
        <v>16</v>
      </c>
      <c r="BJ825" t="s">
        <v>1426</v>
      </c>
      <c r="BK825" t="s">
        <v>102</v>
      </c>
      <c r="BL825" t="s">
        <v>219</v>
      </c>
      <c r="BM825" t="s">
        <v>15143</v>
      </c>
      <c r="BN825" t="s">
        <v>74</v>
      </c>
      <c r="BO825" t="s">
        <v>74</v>
      </c>
      <c r="BP825" t="s">
        <v>74</v>
      </c>
      <c r="BQ825" t="s">
        <v>74</v>
      </c>
      <c r="BR825" t="s">
        <v>105</v>
      </c>
      <c r="BS825" t="s">
        <v>15144</v>
      </c>
      <c r="BT825" t="str">
        <f>HYPERLINK("https%3A%2F%2Fwww.webofscience.com%2Fwos%2Fwoscc%2Ffull-record%2FWOS:000317907000021","View Full Record in Web of Science")</f>
        <v>View Full Record in Web of Science</v>
      </c>
    </row>
    <row r="826" spans="1:72" x14ac:dyDescent="0.15">
      <c r="A826" t="s">
        <v>72</v>
      </c>
      <c r="B826" t="s">
        <v>15145</v>
      </c>
      <c r="C826" t="s">
        <v>74</v>
      </c>
      <c r="D826" t="s">
        <v>74</v>
      </c>
      <c r="E826" t="s">
        <v>74</v>
      </c>
      <c r="F826" t="s">
        <v>15146</v>
      </c>
      <c r="G826" t="s">
        <v>74</v>
      </c>
      <c r="H826" t="s">
        <v>74</v>
      </c>
      <c r="I826" t="s">
        <v>15147</v>
      </c>
      <c r="J826" t="s">
        <v>5688</v>
      </c>
      <c r="K826" t="s">
        <v>74</v>
      </c>
      <c r="L826" t="s">
        <v>74</v>
      </c>
      <c r="M826" t="s">
        <v>78</v>
      </c>
      <c r="N826" t="s">
        <v>79</v>
      </c>
      <c r="O826" t="s">
        <v>74</v>
      </c>
      <c r="P826" t="s">
        <v>74</v>
      </c>
      <c r="Q826" t="s">
        <v>74</v>
      </c>
      <c r="R826" t="s">
        <v>74</v>
      </c>
      <c r="S826" t="s">
        <v>74</v>
      </c>
      <c r="T826" t="s">
        <v>74</v>
      </c>
      <c r="U826" t="s">
        <v>15148</v>
      </c>
      <c r="V826" t="s">
        <v>15149</v>
      </c>
      <c r="W826" t="s">
        <v>15150</v>
      </c>
      <c r="X826" t="s">
        <v>15151</v>
      </c>
      <c r="Y826" t="s">
        <v>15152</v>
      </c>
      <c r="Z826" t="s">
        <v>15153</v>
      </c>
      <c r="AA826" t="s">
        <v>15154</v>
      </c>
      <c r="AB826" t="s">
        <v>15155</v>
      </c>
      <c r="AC826" t="s">
        <v>15156</v>
      </c>
      <c r="AD826" t="s">
        <v>15157</v>
      </c>
      <c r="AE826" t="s">
        <v>15158</v>
      </c>
      <c r="AF826" t="s">
        <v>74</v>
      </c>
      <c r="AG826">
        <v>63</v>
      </c>
      <c r="AH826">
        <v>26</v>
      </c>
      <c r="AI826">
        <v>32</v>
      </c>
      <c r="AJ826">
        <v>0</v>
      </c>
      <c r="AK826">
        <v>23</v>
      </c>
      <c r="AL826" t="s">
        <v>92</v>
      </c>
      <c r="AM826" t="s">
        <v>93</v>
      </c>
      <c r="AN826" t="s">
        <v>94</v>
      </c>
      <c r="AO826" t="s">
        <v>5699</v>
      </c>
      <c r="AP826" t="s">
        <v>5700</v>
      </c>
      <c r="AQ826" t="s">
        <v>74</v>
      </c>
      <c r="AR826" t="s">
        <v>5701</v>
      </c>
      <c r="AS826" t="s">
        <v>5702</v>
      </c>
      <c r="AT826" t="s">
        <v>14886</v>
      </c>
      <c r="AU826">
        <v>2013</v>
      </c>
      <c r="AV826">
        <v>118</v>
      </c>
      <c r="AW826">
        <v>1</v>
      </c>
      <c r="AX826" t="s">
        <v>74</v>
      </c>
      <c r="AY826" t="s">
        <v>74</v>
      </c>
      <c r="AZ826" t="s">
        <v>74</v>
      </c>
      <c r="BA826" t="s">
        <v>74</v>
      </c>
      <c r="BB826">
        <v>1</v>
      </c>
      <c r="BC826">
        <v>16</v>
      </c>
      <c r="BD826" t="s">
        <v>74</v>
      </c>
      <c r="BE826" t="s">
        <v>15159</v>
      </c>
      <c r="BF826" t="str">
        <f>HYPERLINK("http://dx.doi.org/10.1029/2012JF002603","http://dx.doi.org/10.1029/2012JF002603")</f>
        <v>http://dx.doi.org/10.1029/2012JF002603</v>
      </c>
      <c r="BG826" t="s">
        <v>74</v>
      </c>
      <c r="BH826" t="s">
        <v>74</v>
      </c>
      <c r="BI826">
        <v>16</v>
      </c>
      <c r="BJ826" t="s">
        <v>1426</v>
      </c>
      <c r="BK826" t="s">
        <v>102</v>
      </c>
      <c r="BL826" t="s">
        <v>219</v>
      </c>
      <c r="BM826" t="s">
        <v>15160</v>
      </c>
      <c r="BN826" t="s">
        <v>74</v>
      </c>
      <c r="BO826" t="s">
        <v>1589</v>
      </c>
      <c r="BP826" t="s">
        <v>74</v>
      </c>
      <c r="BQ826" t="s">
        <v>74</v>
      </c>
      <c r="BR826" t="s">
        <v>105</v>
      </c>
      <c r="BS826" t="s">
        <v>15161</v>
      </c>
      <c r="BT826" t="str">
        <f>HYPERLINK("https%3A%2F%2Fwww.webofscience.com%2Fwos%2Fwoscc%2Ffull-record%2FWOS:000318271200001","View Full Record in Web of Science")</f>
        <v>View Full Record in Web of Science</v>
      </c>
    </row>
    <row r="827" spans="1:72" x14ac:dyDescent="0.15">
      <c r="A827" t="s">
        <v>72</v>
      </c>
      <c r="B827" t="s">
        <v>15162</v>
      </c>
      <c r="C827" t="s">
        <v>74</v>
      </c>
      <c r="D827" t="s">
        <v>74</v>
      </c>
      <c r="E827" t="s">
        <v>74</v>
      </c>
      <c r="F827" t="s">
        <v>15163</v>
      </c>
      <c r="G827" t="s">
        <v>74</v>
      </c>
      <c r="H827" t="s">
        <v>74</v>
      </c>
      <c r="I827" t="s">
        <v>15164</v>
      </c>
      <c r="J827" t="s">
        <v>5688</v>
      </c>
      <c r="K827" t="s">
        <v>74</v>
      </c>
      <c r="L827" t="s">
        <v>74</v>
      </c>
      <c r="M827" t="s">
        <v>78</v>
      </c>
      <c r="N827" t="s">
        <v>79</v>
      </c>
      <c r="O827" t="s">
        <v>74</v>
      </c>
      <c r="P827" t="s">
        <v>74</v>
      </c>
      <c r="Q827" t="s">
        <v>74</v>
      </c>
      <c r="R827" t="s">
        <v>74</v>
      </c>
      <c r="S827" t="s">
        <v>74</v>
      </c>
      <c r="T827" t="s">
        <v>74</v>
      </c>
      <c r="U827" t="s">
        <v>15165</v>
      </c>
      <c r="V827" t="s">
        <v>15166</v>
      </c>
      <c r="W827" t="s">
        <v>15167</v>
      </c>
      <c r="X827" t="s">
        <v>15168</v>
      </c>
      <c r="Y827" t="s">
        <v>15169</v>
      </c>
      <c r="Z827" t="s">
        <v>15170</v>
      </c>
      <c r="AA827" t="s">
        <v>15171</v>
      </c>
      <c r="AB827" t="s">
        <v>15172</v>
      </c>
      <c r="AC827" t="s">
        <v>15173</v>
      </c>
      <c r="AD827" t="s">
        <v>15174</v>
      </c>
      <c r="AE827" t="s">
        <v>15175</v>
      </c>
      <c r="AF827" t="s">
        <v>74</v>
      </c>
      <c r="AG827">
        <v>42</v>
      </c>
      <c r="AH827">
        <v>53</v>
      </c>
      <c r="AI827">
        <v>63</v>
      </c>
      <c r="AJ827">
        <v>0</v>
      </c>
      <c r="AK827">
        <v>33</v>
      </c>
      <c r="AL827" t="s">
        <v>92</v>
      </c>
      <c r="AM827" t="s">
        <v>93</v>
      </c>
      <c r="AN827" t="s">
        <v>94</v>
      </c>
      <c r="AO827" t="s">
        <v>5699</v>
      </c>
      <c r="AP827" t="s">
        <v>5700</v>
      </c>
      <c r="AQ827" t="s">
        <v>74</v>
      </c>
      <c r="AR827" t="s">
        <v>5701</v>
      </c>
      <c r="AS827" t="s">
        <v>5702</v>
      </c>
      <c r="AT827" t="s">
        <v>14886</v>
      </c>
      <c r="AU827">
        <v>2013</v>
      </c>
      <c r="AV827">
        <v>118</v>
      </c>
      <c r="AW827">
        <v>1</v>
      </c>
      <c r="AX827" t="s">
        <v>74</v>
      </c>
      <c r="AY827" t="s">
        <v>74</v>
      </c>
      <c r="AZ827" t="s">
        <v>74</v>
      </c>
      <c r="BA827" t="s">
        <v>74</v>
      </c>
      <c r="BB827">
        <v>140</v>
      </c>
      <c r="BC827">
        <v>154</v>
      </c>
      <c r="BD827" t="s">
        <v>74</v>
      </c>
      <c r="BE827" t="s">
        <v>15176</v>
      </c>
      <c r="BF827" t="str">
        <f>HYPERLINK("http://dx.doi.org/10.1029/2012JF002555","http://dx.doi.org/10.1029/2012JF002555")</f>
        <v>http://dx.doi.org/10.1029/2012JF002555</v>
      </c>
      <c r="BG827" t="s">
        <v>74</v>
      </c>
      <c r="BH827" t="s">
        <v>74</v>
      </c>
      <c r="BI827">
        <v>15</v>
      </c>
      <c r="BJ827" t="s">
        <v>1426</v>
      </c>
      <c r="BK827" t="s">
        <v>102</v>
      </c>
      <c r="BL827" t="s">
        <v>219</v>
      </c>
      <c r="BM827" t="s">
        <v>15160</v>
      </c>
      <c r="BN827" t="s">
        <v>74</v>
      </c>
      <c r="BO827" t="s">
        <v>2011</v>
      </c>
      <c r="BP827" t="s">
        <v>74</v>
      </c>
      <c r="BQ827" t="s">
        <v>74</v>
      </c>
      <c r="BR827" t="s">
        <v>105</v>
      </c>
      <c r="BS827" t="s">
        <v>15177</v>
      </c>
      <c r="BT827" t="str">
        <f>HYPERLINK("https%3A%2F%2Fwww.webofscience.com%2Fwos%2Fwoscc%2Ffull-record%2FWOS:000318271200011","View Full Record in Web of Science")</f>
        <v>View Full Record in Web of Science</v>
      </c>
    </row>
    <row r="828" spans="1:72" x14ac:dyDescent="0.15">
      <c r="A828" t="s">
        <v>72</v>
      </c>
      <c r="B828" t="s">
        <v>15178</v>
      </c>
      <c r="C828" t="s">
        <v>74</v>
      </c>
      <c r="D828" t="s">
        <v>74</v>
      </c>
      <c r="E828" t="s">
        <v>74</v>
      </c>
      <c r="F828" t="s">
        <v>15179</v>
      </c>
      <c r="G828" t="s">
        <v>74</v>
      </c>
      <c r="H828" t="s">
        <v>74</v>
      </c>
      <c r="I828" t="s">
        <v>15180</v>
      </c>
      <c r="J828" t="s">
        <v>15181</v>
      </c>
      <c r="K828" t="s">
        <v>74</v>
      </c>
      <c r="L828" t="s">
        <v>74</v>
      </c>
      <c r="M828" t="s">
        <v>78</v>
      </c>
      <c r="N828" t="s">
        <v>79</v>
      </c>
      <c r="O828" t="s">
        <v>74</v>
      </c>
      <c r="P828" t="s">
        <v>74</v>
      </c>
      <c r="Q828" t="s">
        <v>74</v>
      </c>
      <c r="R828" t="s">
        <v>74</v>
      </c>
      <c r="S828" t="s">
        <v>74</v>
      </c>
      <c r="T828" t="s">
        <v>74</v>
      </c>
      <c r="U828" t="s">
        <v>15182</v>
      </c>
      <c r="V828" t="s">
        <v>15183</v>
      </c>
      <c r="W828" t="s">
        <v>15184</v>
      </c>
      <c r="X828" t="s">
        <v>15185</v>
      </c>
      <c r="Y828" t="s">
        <v>15186</v>
      </c>
      <c r="Z828" t="s">
        <v>15187</v>
      </c>
      <c r="AA828" t="s">
        <v>15188</v>
      </c>
      <c r="AB828" t="s">
        <v>15189</v>
      </c>
      <c r="AC828" t="s">
        <v>74</v>
      </c>
      <c r="AD828" t="s">
        <v>74</v>
      </c>
      <c r="AE828" t="s">
        <v>74</v>
      </c>
      <c r="AF828" t="s">
        <v>74</v>
      </c>
      <c r="AG828">
        <v>36</v>
      </c>
      <c r="AH828">
        <v>6</v>
      </c>
      <c r="AI828">
        <v>7</v>
      </c>
      <c r="AJ828">
        <v>0</v>
      </c>
      <c r="AK828">
        <v>21</v>
      </c>
      <c r="AL828" t="s">
        <v>15190</v>
      </c>
      <c r="AM828" t="s">
        <v>15191</v>
      </c>
      <c r="AN828" t="s">
        <v>15192</v>
      </c>
      <c r="AO828" t="s">
        <v>15193</v>
      </c>
      <c r="AP828" t="s">
        <v>15194</v>
      </c>
      <c r="AQ828" t="s">
        <v>74</v>
      </c>
      <c r="AR828" t="s">
        <v>15195</v>
      </c>
      <c r="AS828" t="s">
        <v>15196</v>
      </c>
      <c r="AT828" t="s">
        <v>15141</v>
      </c>
      <c r="AU828">
        <v>2013</v>
      </c>
      <c r="AV828">
        <v>34</v>
      </c>
      <c r="AW828">
        <v>2</v>
      </c>
      <c r="AX828" t="s">
        <v>74</v>
      </c>
      <c r="AY828" t="s">
        <v>74</v>
      </c>
      <c r="AZ828" t="s">
        <v>74</v>
      </c>
      <c r="BA828" t="s">
        <v>74</v>
      </c>
      <c r="BB828">
        <v>48</v>
      </c>
      <c r="BC828">
        <v>52</v>
      </c>
      <c r="BD828" t="s">
        <v>74</v>
      </c>
      <c r="BE828" t="s">
        <v>15197</v>
      </c>
      <c r="BF828" t="str">
        <f>HYPERLINK("http://dx.doi.org/10.46770/AS.2013.02.002","http://dx.doi.org/10.46770/AS.2013.02.002")</f>
        <v>http://dx.doi.org/10.46770/AS.2013.02.002</v>
      </c>
      <c r="BG828" t="s">
        <v>74</v>
      </c>
      <c r="BH828" t="s">
        <v>74</v>
      </c>
      <c r="BI828">
        <v>5</v>
      </c>
      <c r="BJ828" t="s">
        <v>15198</v>
      </c>
      <c r="BK828" t="s">
        <v>102</v>
      </c>
      <c r="BL828" t="s">
        <v>15198</v>
      </c>
      <c r="BM828" t="s">
        <v>15199</v>
      </c>
      <c r="BN828" t="s">
        <v>74</v>
      </c>
      <c r="BO828" t="s">
        <v>104</v>
      </c>
      <c r="BP828" t="s">
        <v>74</v>
      </c>
      <c r="BQ828" t="s">
        <v>74</v>
      </c>
      <c r="BR828" t="s">
        <v>105</v>
      </c>
      <c r="BS828" t="s">
        <v>15200</v>
      </c>
      <c r="BT828" t="str">
        <f>HYPERLINK("https%3A%2F%2Fwww.webofscience.com%2Fwos%2Fwoscc%2Ffull-record%2FWOS:000318264000002","View Full Record in Web of Science")</f>
        <v>View Full Record in Web of Science</v>
      </c>
    </row>
    <row r="829" spans="1:72" x14ac:dyDescent="0.15">
      <c r="A829" t="s">
        <v>72</v>
      </c>
      <c r="B829" t="s">
        <v>15201</v>
      </c>
      <c r="C829" t="s">
        <v>74</v>
      </c>
      <c r="D829" t="s">
        <v>74</v>
      </c>
      <c r="E829" t="s">
        <v>74</v>
      </c>
      <c r="F829" t="s">
        <v>15202</v>
      </c>
      <c r="G829" t="s">
        <v>74</v>
      </c>
      <c r="H829" t="s">
        <v>74</v>
      </c>
      <c r="I829" t="s">
        <v>15203</v>
      </c>
      <c r="J829" t="s">
        <v>1366</v>
      </c>
      <c r="K829" t="s">
        <v>74</v>
      </c>
      <c r="L829" t="s">
        <v>74</v>
      </c>
      <c r="M829" t="s">
        <v>78</v>
      </c>
      <c r="N829" t="s">
        <v>79</v>
      </c>
      <c r="O829" t="s">
        <v>74</v>
      </c>
      <c r="P829" t="s">
        <v>74</v>
      </c>
      <c r="Q829" t="s">
        <v>74</v>
      </c>
      <c r="R829" t="s">
        <v>74</v>
      </c>
      <c r="S829" t="s">
        <v>74</v>
      </c>
      <c r="T829" t="s">
        <v>15204</v>
      </c>
      <c r="U829" t="s">
        <v>15205</v>
      </c>
      <c r="V829" t="s">
        <v>15206</v>
      </c>
      <c r="W829" t="s">
        <v>15207</v>
      </c>
      <c r="X829" t="s">
        <v>15208</v>
      </c>
      <c r="Y829" t="s">
        <v>15209</v>
      </c>
      <c r="Z829" t="s">
        <v>15210</v>
      </c>
      <c r="AA829" t="s">
        <v>74</v>
      </c>
      <c r="AB829" t="s">
        <v>15211</v>
      </c>
      <c r="AC829" t="s">
        <v>15212</v>
      </c>
      <c r="AD829" t="s">
        <v>9356</v>
      </c>
      <c r="AE829" t="s">
        <v>15213</v>
      </c>
      <c r="AF829" t="s">
        <v>74</v>
      </c>
      <c r="AG829">
        <v>86</v>
      </c>
      <c r="AH829">
        <v>59</v>
      </c>
      <c r="AI829">
        <v>63</v>
      </c>
      <c r="AJ829">
        <v>2</v>
      </c>
      <c r="AK829">
        <v>65</v>
      </c>
      <c r="AL829" t="s">
        <v>195</v>
      </c>
      <c r="AM829" t="s">
        <v>155</v>
      </c>
      <c r="AN829" t="s">
        <v>196</v>
      </c>
      <c r="AO829" t="s">
        <v>1379</v>
      </c>
      <c r="AP829" t="s">
        <v>1380</v>
      </c>
      <c r="AQ829" t="s">
        <v>74</v>
      </c>
      <c r="AR829" t="s">
        <v>1381</v>
      </c>
      <c r="AS829" t="s">
        <v>1382</v>
      </c>
      <c r="AT829" t="s">
        <v>15214</v>
      </c>
      <c r="AU829">
        <v>2013</v>
      </c>
      <c r="AV829">
        <v>365</v>
      </c>
      <c r="AW829" t="s">
        <v>74</v>
      </c>
      <c r="AX829" t="s">
        <v>74</v>
      </c>
      <c r="AY829" t="s">
        <v>74</v>
      </c>
      <c r="AZ829" t="s">
        <v>74</v>
      </c>
      <c r="BA829" t="s">
        <v>74</v>
      </c>
      <c r="BB829">
        <v>38</v>
      </c>
      <c r="BC829">
        <v>50</v>
      </c>
      <c r="BD829" t="s">
        <v>74</v>
      </c>
      <c r="BE829" t="s">
        <v>15215</v>
      </c>
      <c r="BF829" t="str">
        <f>HYPERLINK("http://dx.doi.org/10.1016/j.epsl.2013.01.020","http://dx.doi.org/10.1016/j.epsl.2013.01.020")</f>
        <v>http://dx.doi.org/10.1016/j.epsl.2013.01.020</v>
      </c>
      <c r="BG829" t="s">
        <v>74</v>
      </c>
      <c r="BH829" t="s">
        <v>74</v>
      </c>
      <c r="BI829">
        <v>13</v>
      </c>
      <c r="BJ829" t="s">
        <v>766</v>
      </c>
      <c r="BK829" t="s">
        <v>102</v>
      </c>
      <c r="BL829" t="s">
        <v>766</v>
      </c>
      <c r="BM829" t="s">
        <v>15216</v>
      </c>
      <c r="BN829" t="s">
        <v>74</v>
      </c>
      <c r="BO829" t="s">
        <v>74</v>
      </c>
      <c r="BP829" t="s">
        <v>74</v>
      </c>
      <c r="BQ829" t="s">
        <v>74</v>
      </c>
      <c r="BR829" t="s">
        <v>105</v>
      </c>
      <c r="BS829" t="s">
        <v>15217</v>
      </c>
      <c r="BT829" t="str">
        <f>HYPERLINK("https%3A%2F%2Fwww.webofscience.com%2Fwos%2Fwoscc%2Ffull-record%2FWOS:000318130000005","View Full Record in Web of Science")</f>
        <v>View Full Record in Web of Science</v>
      </c>
    </row>
    <row r="830" spans="1:72" x14ac:dyDescent="0.15">
      <c r="A830" t="s">
        <v>72</v>
      </c>
      <c r="B830" t="s">
        <v>15218</v>
      </c>
      <c r="C830" t="s">
        <v>74</v>
      </c>
      <c r="D830" t="s">
        <v>74</v>
      </c>
      <c r="E830" t="s">
        <v>74</v>
      </c>
      <c r="F830" t="s">
        <v>15219</v>
      </c>
      <c r="G830" t="s">
        <v>74</v>
      </c>
      <c r="H830" t="s">
        <v>74</v>
      </c>
      <c r="I830" t="s">
        <v>15220</v>
      </c>
      <c r="J830" t="s">
        <v>1366</v>
      </c>
      <c r="K830" t="s">
        <v>74</v>
      </c>
      <c r="L830" t="s">
        <v>74</v>
      </c>
      <c r="M830" t="s">
        <v>78</v>
      </c>
      <c r="N830" t="s">
        <v>79</v>
      </c>
      <c r="O830" t="s">
        <v>74</v>
      </c>
      <c r="P830" t="s">
        <v>74</v>
      </c>
      <c r="Q830" t="s">
        <v>74</v>
      </c>
      <c r="R830" t="s">
        <v>74</v>
      </c>
      <c r="S830" t="s">
        <v>74</v>
      </c>
      <c r="T830" t="s">
        <v>15221</v>
      </c>
      <c r="U830" t="s">
        <v>15222</v>
      </c>
      <c r="V830" t="s">
        <v>15223</v>
      </c>
      <c r="W830" t="s">
        <v>15224</v>
      </c>
      <c r="X830" t="s">
        <v>15225</v>
      </c>
      <c r="Y830" t="s">
        <v>15226</v>
      </c>
      <c r="Z830" t="s">
        <v>15227</v>
      </c>
      <c r="AA830" t="s">
        <v>15228</v>
      </c>
      <c r="AB830" t="s">
        <v>15229</v>
      </c>
      <c r="AC830" t="s">
        <v>15230</v>
      </c>
      <c r="AD830" t="s">
        <v>15231</v>
      </c>
      <c r="AE830" t="s">
        <v>15232</v>
      </c>
      <c r="AF830" t="s">
        <v>74</v>
      </c>
      <c r="AG830">
        <v>63</v>
      </c>
      <c r="AH830">
        <v>9</v>
      </c>
      <c r="AI830">
        <v>11</v>
      </c>
      <c r="AJ830">
        <v>1</v>
      </c>
      <c r="AK830">
        <v>34</v>
      </c>
      <c r="AL830" t="s">
        <v>154</v>
      </c>
      <c r="AM830" t="s">
        <v>155</v>
      </c>
      <c r="AN830" t="s">
        <v>156</v>
      </c>
      <c r="AO830" t="s">
        <v>1379</v>
      </c>
      <c r="AP830" t="s">
        <v>1380</v>
      </c>
      <c r="AQ830" t="s">
        <v>74</v>
      </c>
      <c r="AR830" t="s">
        <v>1381</v>
      </c>
      <c r="AS830" t="s">
        <v>1382</v>
      </c>
      <c r="AT830" t="s">
        <v>15214</v>
      </c>
      <c r="AU830">
        <v>2013</v>
      </c>
      <c r="AV830">
        <v>365</v>
      </c>
      <c r="AW830" t="s">
        <v>74</v>
      </c>
      <c r="AX830" t="s">
        <v>74</v>
      </c>
      <c r="AY830" t="s">
        <v>74</v>
      </c>
      <c r="AZ830" t="s">
        <v>74</v>
      </c>
      <c r="BA830" t="s">
        <v>74</v>
      </c>
      <c r="BB830">
        <v>190</v>
      </c>
      <c r="BC830">
        <v>197</v>
      </c>
      <c r="BD830" t="s">
        <v>74</v>
      </c>
      <c r="BE830" t="s">
        <v>15233</v>
      </c>
      <c r="BF830" t="str">
        <f>HYPERLINK("http://dx.doi.org/10.1016/j.epsl.2013.01.032","http://dx.doi.org/10.1016/j.epsl.2013.01.032")</f>
        <v>http://dx.doi.org/10.1016/j.epsl.2013.01.032</v>
      </c>
      <c r="BG830" t="s">
        <v>74</v>
      </c>
      <c r="BH830" t="s">
        <v>74</v>
      </c>
      <c r="BI830">
        <v>8</v>
      </c>
      <c r="BJ830" t="s">
        <v>766</v>
      </c>
      <c r="BK830" t="s">
        <v>102</v>
      </c>
      <c r="BL830" t="s">
        <v>766</v>
      </c>
      <c r="BM830" t="s">
        <v>15216</v>
      </c>
      <c r="BN830" t="s">
        <v>74</v>
      </c>
      <c r="BO830" t="s">
        <v>74</v>
      </c>
      <c r="BP830" t="s">
        <v>74</v>
      </c>
      <c r="BQ830" t="s">
        <v>74</v>
      </c>
      <c r="BR830" t="s">
        <v>105</v>
      </c>
      <c r="BS830" t="s">
        <v>15234</v>
      </c>
      <c r="BT830" t="str">
        <f>HYPERLINK("https%3A%2F%2Fwww.webofscience.com%2Fwos%2Fwoscc%2Ffull-record%2FWOS:000318130000018","View Full Record in Web of Science")</f>
        <v>View Full Record in Web of Science</v>
      </c>
    </row>
    <row r="831" spans="1:72" x14ac:dyDescent="0.15">
      <c r="A831" t="s">
        <v>72</v>
      </c>
      <c r="B831" t="s">
        <v>15235</v>
      </c>
      <c r="C831" t="s">
        <v>74</v>
      </c>
      <c r="D831" t="s">
        <v>74</v>
      </c>
      <c r="E831" t="s">
        <v>74</v>
      </c>
      <c r="F831" t="s">
        <v>15236</v>
      </c>
      <c r="G831" t="s">
        <v>74</v>
      </c>
      <c r="H831" t="s">
        <v>74</v>
      </c>
      <c r="I831" t="s">
        <v>15237</v>
      </c>
      <c r="J831" t="s">
        <v>1838</v>
      </c>
      <c r="K831" t="s">
        <v>74</v>
      </c>
      <c r="L831" t="s">
        <v>74</v>
      </c>
      <c r="M831" t="s">
        <v>78</v>
      </c>
      <c r="N831" t="s">
        <v>79</v>
      </c>
      <c r="O831" t="s">
        <v>74</v>
      </c>
      <c r="P831" t="s">
        <v>74</v>
      </c>
      <c r="Q831" t="s">
        <v>74</v>
      </c>
      <c r="R831" t="s">
        <v>74</v>
      </c>
      <c r="S831" t="s">
        <v>74</v>
      </c>
      <c r="T831" t="s">
        <v>74</v>
      </c>
      <c r="U831" t="s">
        <v>15238</v>
      </c>
      <c r="V831" t="s">
        <v>15239</v>
      </c>
      <c r="W831" t="s">
        <v>15240</v>
      </c>
      <c r="X831" t="s">
        <v>15241</v>
      </c>
      <c r="Y831" t="s">
        <v>15242</v>
      </c>
      <c r="Z831" t="s">
        <v>15243</v>
      </c>
      <c r="AA831" t="s">
        <v>15244</v>
      </c>
      <c r="AB831" t="s">
        <v>15245</v>
      </c>
      <c r="AC831" t="s">
        <v>15246</v>
      </c>
      <c r="AD831" t="s">
        <v>15247</v>
      </c>
      <c r="AE831" t="s">
        <v>15248</v>
      </c>
      <c r="AF831" t="s">
        <v>74</v>
      </c>
      <c r="AG831">
        <v>30</v>
      </c>
      <c r="AH831">
        <v>62</v>
      </c>
      <c r="AI831">
        <v>71</v>
      </c>
      <c r="AJ831">
        <v>1</v>
      </c>
      <c r="AK831">
        <v>38</v>
      </c>
      <c r="AL831" t="s">
        <v>670</v>
      </c>
      <c r="AM831" t="s">
        <v>391</v>
      </c>
      <c r="AN831" t="s">
        <v>3747</v>
      </c>
      <c r="AO831" t="s">
        <v>1853</v>
      </c>
      <c r="AP831" t="s">
        <v>1854</v>
      </c>
      <c r="AQ831" t="s">
        <v>74</v>
      </c>
      <c r="AR831" t="s">
        <v>1855</v>
      </c>
      <c r="AS831" t="s">
        <v>1856</v>
      </c>
      <c r="AT831" t="s">
        <v>14886</v>
      </c>
      <c r="AU831">
        <v>2013</v>
      </c>
      <c r="AV831">
        <v>6</v>
      </c>
      <c r="AW831">
        <v>3</v>
      </c>
      <c r="AX831" t="s">
        <v>74</v>
      </c>
      <c r="AY831" t="s">
        <v>74</v>
      </c>
      <c r="AZ831" t="s">
        <v>74</v>
      </c>
      <c r="BA831" t="s">
        <v>74</v>
      </c>
      <c r="BB831">
        <v>203</v>
      </c>
      <c r="BC831">
        <v>207</v>
      </c>
      <c r="BD831" t="s">
        <v>74</v>
      </c>
      <c r="BE831" t="s">
        <v>15249</v>
      </c>
      <c r="BF831" t="str">
        <f>HYPERLINK("http://dx.doi.org/10.1038/ngeo1722","http://dx.doi.org/10.1038/ngeo1722")</f>
        <v>http://dx.doi.org/10.1038/ngeo1722</v>
      </c>
      <c r="BG831" t="s">
        <v>74</v>
      </c>
      <c r="BH831" t="s">
        <v>74</v>
      </c>
      <c r="BI831">
        <v>5</v>
      </c>
      <c r="BJ831" t="s">
        <v>1426</v>
      </c>
      <c r="BK831" t="s">
        <v>102</v>
      </c>
      <c r="BL831" t="s">
        <v>219</v>
      </c>
      <c r="BM831" t="s">
        <v>15250</v>
      </c>
      <c r="BN831" t="s">
        <v>74</v>
      </c>
      <c r="BO831" t="s">
        <v>74</v>
      </c>
      <c r="BP831" t="s">
        <v>74</v>
      </c>
      <c r="BQ831" t="s">
        <v>74</v>
      </c>
      <c r="BR831" t="s">
        <v>105</v>
      </c>
      <c r="BS831" t="s">
        <v>15251</v>
      </c>
      <c r="BT831" t="str">
        <f>HYPERLINK("https%3A%2F%2Fwww.webofscience.com%2Fwos%2Fwoscc%2Ffull-record%2FWOS:000316945800021","View Full Record in Web of Science")</f>
        <v>View Full Record in Web of Science</v>
      </c>
    </row>
    <row r="832" spans="1:72" x14ac:dyDescent="0.15">
      <c r="A832" t="s">
        <v>72</v>
      </c>
      <c r="B832" t="s">
        <v>15252</v>
      </c>
      <c r="C832" t="s">
        <v>74</v>
      </c>
      <c r="D832" t="s">
        <v>74</v>
      </c>
      <c r="E832" t="s">
        <v>74</v>
      </c>
      <c r="F832" t="s">
        <v>15253</v>
      </c>
      <c r="G832" t="s">
        <v>74</v>
      </c>
      <c r="H832" t="s">
        <v>74</v>
      </c>
      <c r="I832" t="s">
        <v>15254</v>
      </c>
      <c r="J832" t="s">
        <v>1838</v>
      </c>
      <c r="K832" t="s">
        <v>74</v>
      </c>
      <c r="L832" t="s">
        <v>74</v>
      </c>
      <c r="M832" t="s">
        <v>78</v>
      </c>
      <c r="N832" t="s">
        <v>79</v>
      </c>
      <c r="O832" t="s">
        <v>74</v>
      </c>
      <c r="P832" t="s">
        <v>74</v>
      </c>
      <c r="Q832" t="s">
        <v>74</v>
      </c>
      <c r="R832" t="s">
        <v>74</v>
      </c>
      <c r="S832" t="s">
        <v>74</v>
      </c>
      <c r="T832" t="s">
        <v>74</v>
      </c>
      <c r="U832" t="s">
        <v>15255</v>
      </c>
      <c r="V832" t="s">
        <v>15256</v>
      </c>
      <c r="W832" t="s">
        <v>15257</v>
      </c>
      <c r="X832" t="s">
        <v>15258</v>
      </c>
      <c r="Y832" t="s">
        <v>15259</v>
      </c>
      <c r="Z832" t="s">
        <v>15260</v>
      </c>
      <c r="AA832" t="s">
        <v>15261</v>
      </c>
      <c r="AB832" t="s">
        <v>15262</v>
      </c>
      <c r="AC832" t="s">
        <v>15263</v>
      </c>
      <c r="AD832" t="s">
        <v>15264</v>
      </c>
      <c r="AE832" t="s">
        <v>15265</v>
      </c>
      <c r="AF832" t="s">
        <v>74</v>
      </c>
      <c r="AG832">
        <v>46</v>
      </c>
      <c r="AH832">
        <v>220</v>
      </c>
      <c r="AI832">
        <v>248</v>
      </c>
      <c r="AJ832">
        <v>4</v>
      </c>
      <c r="AK832">
        <v>120</v>
      </c>
      <c r="AL832" t="s">
        <v>670</v>
      </c>
      <c r="AM832" t="s">
        <v>391</v>
      </c>
      <c r="AN832" t="s">
        <v>3747</v>
      </c>
      <c r="AO832" t="s">
        <v>1853</v>
      </c>
      <c r="AP832" t="s">
        <v>1854</v>
      </c>
      <c r="AQ832" t="s">
        <v>74</v>
      </c>
      <c r="AR832" t="s">
        <v>1855</v>
      </c>
      <c r="AS832" t="s">
        <v>1856</v>
      </c>
      <c r="AT832" t="s">
        <v>14886</v>
      </c>
      <c r="AU832">
        <v>2013</v>
      </c>
      <c r="AV832">
        <v>6</v>
      </c>
      <c r="AW832">
        <v>3</v>
      </c>
      <c r="AX832" t="s">
        <v>74</v>
      </c>
      <c r="AY832" t="s">
        <v>74</v>
      </c>
      <c r="AZ832" t="s">
        <v>74</v>
      </c>
      <c r="BA832" t="s">
        <v>74</v>
      </c>
      <c r="BB832">
        <v>235</v>
      </c>
      <c r="BC832">
        <v>240</v>
      </c>
      <c r="BD832" t="s">
        <v>74</v>
      </c>
      <c r="BE832" t="s">
        <v>15266</v>
      </c>
      <c r="BF832" t="str">
        <f>HYPERLINK("http://dx.doi.org/10.1038/NGEO1738","http://dx.doi.org/10.1038/NGEO1738")</f>
        <v>http://dx.doi.org/10.1038/NGEO1738</v>
      </c>
      <c r="BG832" t="s">
        <v>74</v>
      </c>
      <c r="BH832" t="s">
        <v>74</v>
      </c>
      <c r="BI832">
        <v>6</v>
      </c>
      <c r="BJ832" t="s">
        <v>1426</v>
      </c>
      <c r="BK832" t="s">
        <v>102</v>
      </c>
      <c r="BL832" t="s">
        <v>219</v>
      </c>
      <c r="BM832" t="s">
        <v>15250</v>
      </c>
      <c r="BN832" t="s">
        <v>74</v>
      </c>
      <c r="BO832" t="s">
        <v>74</v>
      </c>
      <c r="BP832" t="s">
        <v>74</v>
      </c>
      <c r="BQ832" t="s">
        <v>74</v>
      </c>
      <c r="BR832" t="s">
        <v>105</v>
      </c>
      <c r="BS832" t="s">
        <v>15267</v>
      </c>
      <c r="BT832" t="str">
        <f>HYPERLINK("https%3A%2F%2Fwww.webofscience.com%2Fwos%2Fwoscc%2Ffull-record%2FWOS:000316945800027","View Full Record in Web of Science")</f>
        <v>View Full Record in Web of Science</v>
      </c>
    </row>
    <row r="833" spans="1:72" x14ac:dyDescent="0.15">
      <c r="A833" t="s">
        <v>72</v>
      </c>
      <c r="B833" t="s">
        <v>15268</v>
      </c>
      <c r="C833" t="s">
        <v>74</v>
      </c>
      <c r="D833" t="s">
        <v>74</v>
      </c>
      <c r="E833" t="s">
        <v>74</v>
      </c>
      <c r="F833" t="s">
        <v>15269</v>
      </c>
      <c r="G833" t="s">
        <v>74</v>
      </c>
      <c r="H833" t="s">
        <v>74</v>
      </c>
      <c r="I833" t="s">
        <v>15270</v>
      </c>
      <c r="J833" t="s">
        <v>3170</v>
      </c>
      <c r="K833" t="s">
        <v>74</v>
      </c>
      <c r="L833" t="s">
        <v>74</v>
      </c>
      <c r="M833" t="s">
        <v>203</v>
      </c>
      <c r="N833" t="s">
        <v>79</v>
      </c>
      <c r="O833" t="s">
        <v>74</v>
      </c>
      <c r="P833" t="s">
        <v>74</v>
      </c>
      <c r="Q833" t="s">
        <v>74</v>
      </c>
      <c r="R833" t="s">
        <v>74</v>
      </c>
      <c r="S833" t="s">
        <v>74</v>
      </c>
      <c r="T833" t="s">
        <v>15271</v>
      </c>
      <c r="U833" t="s">
        <v>15272</v>
      </c>
      <c r="V833" t="s">
        <v>15273</v>
      </c>
      <c r="W833" t="s">
        <v>15274</v>
      </c>
      <c r="X833" t="s">
        <v>15275</v>
      </c>
      <c r="Y833" t="s">
        <v>15276</v>
      </c>
      <c r="Z833" t="s">
        <v>15277</v>
      </c>
      <c r="AA833" t="s">
        <v>15278</v>
      </c>
      <c r="AB833" t="s">
        <v>15279</v>
      </c>
      <c r="AC833" t="s">
        <v>74</v>
      </c>
      <c r="AD833" t="s">
        <v>74</v>
      </c>
      <c r="AE833" t="s">
        <v>74</v>
      </c>
      <c r="AF833" t="s">
        <v>74</v>
      </c>
      <c r="AG833">
        <v>27</v>
      </c>
      <c r="AH833">
        <v>0</v>
      </c>
      <c r="AI833">
        <v>1</v>
      </c>
      <c r="AJ833">
        <v>0</v>
      </c>
      <c r="AK833">
        <v>15</v>
      </c>
      <c r="AL833" t="s">
        <v>212</v>
      </c>
      <c r="AM833" t="s">
        <v>213</v>
      </c>
      <c r="AN833" t="s">
        <v>214</v>
      </c>
      <c r="AO833" t="s">
        <v>3179</v>
      </c>
      <c r="AP833" t="s">
        <v>74</v>
      </c>
      <c r="AQ833" t="s">
        <v>74</v>
      </c>
      <c r="AR833" t="s">
        <v>3180</v>
      </c>
      <c r="AS833" t="s">
        <v>3181</v>
      </c>
      <c r="AT833" t="s">
        <v>14886</v>
      </c>
      <c r="AU833">
        <v>2013</v>
      </c>
      <c r="AV833">
        <v>56</v>
      </c>
      <c r="AW833">
        <v>3</v>
      </c>
      <c r="AX833" t="s">
        <v>74</v>
      </c>
      <c r="AY833" t="s">
        <v>74</v>
      </c>
      <c r="AZ833" t="s">
        <v>74</v>
      </c>
      <c r="BA833" t="s">
        <v>74</v>
      </c>
      <c r="BB833">
        <v>783</v>
      </c>
      <c r="BC833">
        <v>791</v>
      </c>
      <c r="BD833" t="s">
        <v>74</v>
      </c>
      <c r="BE833" t="s">
        <v>15280</v>
      </c>
      <c r="BF833" t="str">
        <f>HYPERLINK("http://dx.doi.org/10.6038/cjg20130307","http://dx.doi.org/10.6038/cjg20130307")</f>
        <v>http://dx.doi.org/10.6038/cjg20130307</v>
      </c>
      <c r="BG833" t="s">
        <v>74</v>
      </c>
      <c r="BH833" t="s">
        <v>74</v>
      </c>
      <c r="BI833">
        <v>9</v>
      </c>
      <c r="BJ833" t="s">
        <v>766</v>
      </c>
      <c r="BK833" t="s">
        <v>102</v>
      </c>
      <c r="BL833" t="s">
        <v>766</v>
      </c>
      <c r="BM833" t="s">
        <v>15281</v>
      </c>
      <c r="BN833" t="s">
        <v>74</v>
      </c>
      <c r="BO833" t="s">
        <v>74</v>
      </c>
      <c r="BP833" t="s">
        <v>74</v>
      </c>
      <c r="BQ833" t="s">
        <v>74</v>
      </c>
      <c r="BR833" t="s">
        <v>105</v>
      </c>
      <c r="BS833" t="s">
        <v>15282</v>
      </c>
      <c r="BT833" t="str">
        <f>HYPERLINK("https%3A%2F%2Fwww.webofscience.com%2Fwos%2Fwoscc%2Ffull-record%2FWOS:000317169200007","View Full Record in Web of Science")</f>
        <v>View Full Record in Web of Science</v>
      </c>
    </row>
    <row r="834" spans="1:72" x14ac:dyDescent="0.15">
      <c r="A834" t="s">
        <v>72</v>
      </c>
      <c r="B834" t="s">
        <v>15283</v>
      </c>
      <c r="C834" t="s">
        <v>74</v>
      </c>
      <c r="D834" t="s">
        <v>74</v>
      </c>
      <c r="E834" t="s">
        <v>74</v>
      </c>
      <c r="F834" t="s">
        <v>15284</v>
      </c>
      <c r="G834" t="s">
        <v>74</v>
      </c>
      <c r="H834" t="s">
        <v>74</v>
      </c>
      <c r="I834" t="s">
        <v>15285</v>
      </c>
      <c r="J834" t="s">
        <v>1504</v>
      </c>
      <c r="K834" t="s">
        <v>74</v>
      </c>
      <c r="L834" t="s">
        <v>74</v>
      </c>
      <c r="M834" t="s">
        <v>78</v>
      </c>
      <c r="N834" t="s">
        <v>79</v>
      </c>
      <c r="O834" t="s">
        <v>74</v>
      </c>
      <c r="P834" t="s">
        <v>74</v>
      </c>
      <c r="Q834" t="s">
        <v>74</v>
      </c>
      <c r="R834" t="s">
        <v>74</v>
      </c>
      <c r="S834" t="s">
        <v>74</v>
      </c>
      <c r="T834" t="s">
        <v>15286</v>
      </c>
      <c r="U834" t="s">
        <v>15287</v>
      </c>
      <c r="V834" t="s">
        <v>15288</v>
      </c>
      <c r="W834" t="s">
        <v>15289</v>
      </c>
      <c r="X834" t="s">
        <v>15290</v>
      </c>
      <c r="Y834" t="s">
        <v>15291</v>
      </c>
      <c r="Z834" t="s">
        <v>15292</v>
      </c>
      <c r="AA834" t="s">
        <v>15293</v>
      </c>
      <c r="AB834" t="s">
        <v>15294</v>
      </c>
      <c r="AC834" t="s">
        <v>74</v>
      </c>
      <c r="AD834" t="s">
        <v>74</v>
      </c>
      <c r="AE834" t="s">
        <v>74</v>
      </c>
      <c r="AF834" t="s">
        <v>74</v>
      </c>
      <c r="AG834">
        <v>210</v>
      </c>
      <c r="AH834">
        <v>22</v>
      </c>
      <c r="AI834">
        <v>23</v>
      </c>
      <c r="AJ834">
        <v>0</v>
      </c>
      <c r="AK834">
        <v>104</v>
      </c>
      <c r="AL834" t="s">
        <v>1515</v>
      </c>
      <c r="AM834" t="s">
        <v>442</v>
      </c>
      <c r="AN834" t="s">
        <v>1516</v>
      </c>
      <c r="AO834" t="s">
        <v>1517</v>
      </c>
      <c r="AP834" t="s">
        <v>1518</v>
      </c>
      <c r="AQ834" t="s">
        <v>74</v>
      </c>
      <c r="AR834" t="s">
        <v>1519</v>
      </c>
      <c r="AS834" t="s">
        <v>1520</v>
      </c>
      <c r="AT834" t="s">
        <v>14886</v>
      </c>
      <c r="AU834">
        <v>2013</v>
      </c>
      <c r="AV834">
        <v>27</v>
      </c>
      <c r="AW834" t="s">
        <v>74</v>
      </c>
      <c r="AX834" t="s">
        <v>74</v>
      </c>
      <c r="AY834">
        <v>1</v>
      </c>
      <c r="AZ834" t="s">
        <v>935</v>
      </c>
      <c r="BA834" t="s">
        <v>74</v>
      </c>
      <c r="BB834" t="s">
        <v>15295</v>
      </c>
      <c r="BC834" t="s">
        <v>15296</v>
      </c>
      <c r="BD834" t="s">
        <v>74</v>
      </c>
      <c r="BE834" t="s">
        <v>15297</v>
      </c>
      <c r="BF834" t="str">
        <f>HYPERLINK("http://dx.doi.org/10.1016/j.envsci.2012.03.011","http://dx.doi.org/10.1016/j.envsci.2012.03.011")</f>
        <v>http://dx.doi.org/10.1016/j.envsci.2012.03.011</v>
      </c>
      <c r="BG834" t="s">
        <v>74</v>
      </c>
      <c r="BH834" t="s">
        <v>74</v>
      </c>
      <c r="BI834">
        <v>17</v>
      </c>
      <c r="BJ834" t="s">
        <v>512</v>
      </c>
      <c r="BK834" t="s">
        <v>102</v>
      </c>
      <c r="BL834" t="s">
        <v>262</v>
      </c>
      <c r="BM834" t="s">
        <v>15298</v>
      </c>
      <c r="BN834" t="s">
        <v>74</v>
      </c>
      <c r="BO834" t="s">
        <v>74</v>
      </c>
      <c r="BP834" t="s">
        <v>74</v>
      </c>
      <c r="BQ834" t="s">
        <v>74</v>
      </c>
      <c r="BR834" t="s">
        <v>105</v>
      </c>
      <c r="BS834" t="s">
        <v>15299</v>
      </c>
      <c r="BT834" t="str">
        <f>HYPERLINK("https%3A%2F%2Fwww.webofscience.com%2Fwos%2Fwoscc%2Ffull-record%2FWOS:000317372700003","View Full Record in Web of Science")</f>
        <v>View Full Record in Web of Science</v>
      </c>
    </row>
    <row r="835" spans="1:72" x14ac:dyDescent="0.15">
      <c r="A835" t="s">
        <v>72</v>
      </c>
      <c r="B835" t="s">
        <v>15300</v>
      </c>
      <c r="C835" t="s">
        <v>74</v>
      </c>
      <c r="D835" t="s">
        <v>74</v>
      </c>
      <c r="E835" t="s">
        <v>74</v>
      </c>
      <c r="F835" t="s">
        <v>15301</v>
      </c>
      <c r="G835" t="s">
        <v>74</v>
      </c>
      <c r="H835" t="s">
        <v>74</v>
      </c>
      <c r="I835" t="s">
        <v>15302</v>
      </c>
      <c r="J835" t="s">
        <v>10153</v>
      </c>
      <c r="K835" t="s">
        <v>74</v>
      </c>
      <c r="L835" t="s">
        <v>74</v>
      </c>
      <c r="M835" t="s">
        <v>78</v>
      </c>
      <c r="N835" t="s">
        <v>79</v>
      </c>
      <c r="O835" t="s">
        <v>74</v>
      </c>
      <c r="P835" t="s">
        <v>74</v>
      </c>
      <c r="Q835" t="s">
        <v>74</v>
      </c>
      <c r="R835" t="s">
        <v>74</v>
      </c>
      <c r="S835" t="s">
        <v>74</v>
      </c>
      <c r="T835" t="s">
        <v>15303</v>
      </c>
      <c r="U835" t="s">
        <v>15304</v>
      </c>
      <c r="V835" t="s">
        <v>15305</v>
      </c>
      <c r="W835" t="s">
        <v>15306</v>
      </c>
      <c r="X835" t="s">
        <v>15307</v>
      </c>
      <c r="Y835" t="s">
        <v>15308</v>
      </c>
      <c r="Z835" t="s">
        <v>15309</v>
      </c>
      <c r="AA835" t="s">
        <v>15310</v>
      </c>
      <c r="AB835" t="s">
        <v>15311</v>
      </c>
      <c r="AC835" t="s">
        <v>15312</v>
      </c>
      <c r="AD835" t="s">
        <v>15313</v>
      </c>
      <c r="AE835" t="s">
        <v>15314</v>
      </c>
      <c r="AF835" t="s">
        <v>74</v>
      </c>
      <c r="AG835">
        <v>103</v>
      </c>
      <c r="AH835">
        <v>4</v>
      </c>
      <c r="AI835">
        <v>6</v>
      </c>
      <c r="AJ835">
        <v>0</v>
      </c>
      <c r="AK835">
        <v>17</v>
      </c>
      <c r="AL835" t="s">
        <v>195</v>
      </c>
      <c r="AM835" t="s">
        <v>155</v>
      </c>
      <c r="AN835" t="s">
        <v>196</v>
      </c>
      <c r="AO835" t="s">
        <v>10166</v>
      </c>
      <c r="AP835" t="s">
        <v>10167</v>
      </c>
      <c r="AQ835" t="s">
        <v>74</v>
      </c>
      <c r="AR835" t="s">
        <v>10168</v>
      </c>
      <c r="AS835" t="s">
        <v>10169</v>
      </c>
      <c r="AT835" t="s">
        <v>14886</v>
      </c>
      <c r="AU835">
        <v>2013</v>
      </c>
      <c r="AV835">
        <v>102</v>
      </c>
      <c r="AW835" t="s">
        <v>74</v>
      </c>
      <c r="AX835" t="s">
        <v>74</v>
      </c>
      <c r="AY835" t="s">
        <v>74</v>
      </c>
      <c r="AZ835" t="s">
        <v>74</v>
      </c>
      <c r="BA835" t="s">
        <v>74</v>
      </c>
      <c r="BB835">
        <v>20</v>
      </c>
      <c r="BC835">
        <v>32</v>
      </c>
      <c r="BD835" t="s">
        <v>74</v>
      </c>
      <c r="BE835" t="s">
        <v>15315</v>
      </c>
      <c r="BF835" t="str">
        <f>HYPERLINK("http://dx.doi.org/10.1016/j.gloplacha.2013.01.001","http://dx.doi.org/10.1016/j.gloplacha.2013.01.001")</f>
        <v>http://dx.doi.org/10.1016/j.gloplacha.2013.01.001</v>
      </c>
      <c r="BG835" t="s">
        <v>74</v>
      </c>
      <c r="BH835" t="s">
        <v>74</v>
      </c>
      <c r="BI835">
        <v>13</v>
      </c>
      <c r="BJ835" t="s">
        <v>650</v>
      </c>
      <c r="BK835" t="s">
        <v>102</v>
      </c>
      <c r="BL835" t="s">
        <v>651</v>
      </c>
      <c r="BM835" t="s">
        <v>15316</v>
      </c>
      <c r="BN835" t="s">
        <v>74</v>
      </c>
      <c r="BO835" t="s">
        <v>426</v>
      </c>
      <c r="BP835" t="s">
        <v>74</v>
      </c>
      <c r="BQ835" t="s">
        <v>74</v>
      </c>
      <c r="BR835" t="s">
        <v>105</v>
      </c>
      <c r="BS835" t="s">
        <v>15317</v>
      </c>
      <c r="BT835" t="str">
        <f>HYPERLINK("https%3A%2F%2Fwww.webofscience.com%2Fwos%2Fwoscc%2Ffull-record%2FWOS:000317253600003","View Full Record in Web of Science")</f>
        <v>View Full Record in Web of Science</v>
      </c>
    </row>
    <row r="836" spans="1:72" x14ac:dyDescent="0.15">
      <c r="A836" t="s">
        <v>72</v>
      </c>
      <c r="B836" t="s">
        <v>15318</v>
      </c>
      <c r="C836" t="s">
        <v>74</v>
      </c>
      <c r="D836" t="s">
        <v>74</v>
      </c>
      <c r="E836" t="s">
        <v>74</v>
      </c>
      <c r="F836" t="s">
        <v>15319</v>
      </c>
      <c r="G836" t="s">
        <v>74</v>
      </c>
      <c r="H836" t="s">
        <v>74</v>
      </c>
      <c r="I836" t="s">
        <v>15320</v>
      </c>
      <c r="J836" t="s">
        <v>311</v>
      </c>
      <c r="K836" t="s">
        <v>74</v>
      </c>
      <c r="L836" t="s">
        <v>74</v>
      </c>
      <c r="M836" t="s">
        <v>78</v>
      </c>
      <c r="N836" t="s">
        <v>79</v>
      </c>
      <c r="O836" t="s">
        <v>74</v>
      </c>
      <c r="P836" t="s">
        <v>74</v>
      </c>
      <c r="Q836" t="s">
        <v>74</v>
      </c>
      <c r="R836" t="s">
        <v>74</v>
      </c>
      <c r="S836" t="s">
        <v>74</v>
      </c>
      <c r="T836" t="s">
        <v>74</v>
      </c>
      <c r="U836" t="s">
        <v>15321</v>
      </c>
      <c r="V836" t="s">
        <v>15322</v>
      </c>
      <c r="W836" t="s">
        <v>15323</v>
      </c>
      <c r="X836" t="s">
        <v>15324</v>
      </c>
      <c r="Y836" t="s">
        <v>15325</v>
      </c>
      <c r="Z836" t="s">
        <v>15326</v>
      </c>
      <c r="AA836" t="s">
        <v>74</v>
      </c>
      <c r="AB836" t="s">
        <v>15327</v>
      </c>
      <c r="AC836" t="s">
        <v>15328</v>
      </c>
      <c r="AD836" t="s">
        <v>15329</v>
      </c>
      <c r="AE836" t="s">
        <v>15330</v>
      </c>
      <c r="AF836" t="s">
        <v>74</v>
      </c>
      <c r="AG836">
        <v>41</v>
      </c>
      <c r="AH836">
        <v>11</v>
      </c>
      <c r="AI836">
        <v>13</v>
      </c>
      <c r="AJ836">
        <v>0</v>
      </c>
      <c r="AK836">
        <v>15</v>
      </c>
      <c r="AL836" t="s">
        <v>237</v>
      </c>
      <c r="AM836" t="s">
        <v>238</v>
      </c>
      <c r="AN836" t="s">
        <v>1197</v>
      </c>
      <c r="AO836" t="s">
        <v>322</v>
      </c>
      <c r="AP836" t="s">
        <v>323</v>
      </c>
      <c r="AQ836" t="s">
        <v>74</v>
      </c>
      <c r="AR836" t="s">
        <v>324</v>
      </c>
      <c r="AS836" t="s">
        <v>325</v>
      </c>
      <c r="AT836" t="s">
        <v>14886</v>
      </c>
      <c r="AU836">
        <v>2013</v>
      </c>
      <c r="AV836">
        <v>43</v>
      </c>
      <c r="AW836">
        <v>3</v>
      </c>
      <c r="AX836" t="s">
        <v>74</v>
      </c>
      <c r="AY836" t="s">
        <v>74</v>
      </c>
      <c r="AZ836" t="s">
        <v>74</v>
      </c>
      <c r="BA836" t="s">
        <v>74</v>
      </c>
      <c r="BB836">
        <v>583</v>
      </c>
      <c r="BC836">
        <v>601</v>
      </c>
      <c r="BD836" t="s">
        <v>74</v>
      </c>
      <c r="BE836" t="s">
        <v>15331</v>
      </c>
      <c r="BF836" t="str">
        <f>HYPERLINK("http://dx.doi.org/10.1175/JPO-D-12-0125.1","http://dx.doi.org/10.1175/JPO-D-12-0125.1")</f>
        <v>http://dx.doi.org/10.1175/JPO-D-12-0125.1</v>
      </c>
      <c r="BG836" t="s">
        <v>74</v>
      </c>
      <c r="BH836" t="s">
        <v>74</v>
      </c>
      <c r="BI836">
        <v>19</v>
      </c>
      <c r="BJ836" t="s">
        <v>327</v>
      </c>
      <c r="BK836" t="s">
        <v>102</v>
      </c>
      <c r="BL836" t="s">
        <v>327</v>
      </c>
      <c r="BM836" t="s">
        <v>15332</v>
      </c>
      <c r="BN836" t="s">
        <v>74</v>
      </c>
      <c r="BO836" t="s">
        <v>577</v>
      </c>
      <c r="BP836" t="s">
        <v>74</v>
      </c>
      <c r="BQ836" t="s">
        <v>74</v>
      </c>
      <c r="BR836" t="s">
        <v>105</v>
      </c>
      <c r="BS836" t="s">
        <v>15333</v>
      </c>
      <c r="BT836" t="str">
        <f>HYPERLINK("https%3A%2F%2Fwww.webofscience.com%2Fwos%2Fwoscc%2Ffull-record%2FWOS:000317114800007","View Full Record in Web of Science")</f>
        <v>View Full Record in Web of Science</v>
      </c>
    </row>
    <row r="837" spans="1:72" x14ac:dyDescent="0.15">
      <c r="A837" t="s">
        <v>72</v>
      </c>
      <c r="B837" t="s">
        <v>15334</v>
      </c>
      <c r="C837" t="s">
        <v>74</v>
      </c>
      <c r="D837" t="s">
        <v>74</v>
      </c>
      <c r="E837" t="s">
        <v>74</v>
      </c>
      <c r="F837" t="s">
        <v>15335</v>
      </c>
      <c r="G837" t="s">
        <v>74</v>
      </c>
      <c r="H837" t="s">
        <v>74</v>
      </c>
      <c r="I837" t="s">
        <v>15336</v>
      </c>
      <c r="J837" t="s">
        <v>542</v>
      </c>
      <c r="K837" t="s">
        <v>74</v>
      </c>
      <c r="L837" t="s">
        <v>74</v>
      </c>
      <c r="M837" t="s">
        <v>78</v>
      </c>
      <c r="N837" t="s">
        <v>79</v>
      </c>
      <c r="O837" t="s">
        <v>74</v>
      </c>
      <c r="P837" t="s">
        <v>74</v>
      </c>
      <c r="Q837" t="s">
        <v>74</v>
      </c>
      <c r="R837" t="s">
        <v>74</v>
      </c>
      <c r="S837" t="s">
        <v>74</v>
      </c>
      <c r="T837" t="s">
        <v>74</v>
      </c>
      <c r="U837" t="s">
        <v>15337</v>
      </c>
      <c r="V837" t="s">
        <v>15338</v>
      </c>
      <c r="W837" t="s">
        <v>15339</v>
      </c>
      <c r="X837" t="s">
        <v>15340</v>
      </c>
      <c r="Y837" t="s">
        <v>15341</v>
      </c>
      <c r="Z837" t="s">
        <v>15342</v>
      </c>
      <c r="AA837" t="s">
        <v>15343</v>
      </c>
      <c r="AB837" t="s">
        <v>15344</v>
      </c>
      <c r="AC837" t="s">
        <v>15345</v>
      </c>
      <c r="AD837" t="s">
        <v>15346</v>
      </c>
      <c r="AE837" t="s">
        <v>15347</v>
      </c>
      <c r="AF837" t="s">
        <v>74</v>
      </c>
      <c r="AG837">
        <v>50</v>
      </c>
      <c r="AH837">
        <v>24</v>
      </c>
      <c r="AI837">
        <v>25</v>
      </c>
      <c r="AJ837">
        <v>1</v>
      </c>
      <c r="AK837">
        <v>23</v>
      </c>
      <c r="AL837" t="s">
        <v>237</v>
      </c>
      <c r="AM837" t="s">
        <v>238</v>
      </c>
      <c r="AN837" t="s">
        <v>239</v>
      </c>
      <c r="AO837" t="s">
        <v>555</v>
      </c>
      <c r="AP837" t="s">
        <v>575</v>
      </c>
      <c r="AQ837" t="s">
        <v>74</v>
      </c>
      <c r="AR837" t="s">
        <v>556</v>
      </c>
      <c r="AS837" t="s">
        <v>557</v>
      </c>
      <c r="AT837" t="s">
        <v>14886</v>
      </c>
      <c r="AU837">
        <v>2013</v>
      </c>
      <c r="AV837">
        <v>26</v>
      </c>
      <c r="AW837">
        <v>6</v>
      </c>
      <c r="AX837" t="s">
        <v>74</v>
      </c>
      <c r="AY837" t="s">
        <v>74</v>
      </c>
      <c r="AZ837" t="s">
        <v>74</v>
      </c>
      <c r="BA837" t="s">
        <v>74</v>
      </c>
      <c r="BB837">
        <v>2065</v>
      </c>
      <c r="BC837">
        <v>2076</v>
      </c>
      <c r="BD837" t="s">
        <v>74</v>
      </c>
      <c r="BE837" t="s">
        <v>15348</v>
      </c>
      <c r="BF837" t="str">
        <f>HYPERLINK("http://dx.doi.org/10.1175/JCLI-D-12-00167.1","http://dx.doi.org/10.1175/JCLI-D-12-00167.1")</f>
        <v>http://dx.doi.org/10.1175/JCLI-D-12-00167.1</v>
      </c>
      <c r="BG837" t="s">
        <v>74</v>
      </c>
      <c r="BH837" t="s">
        <v>74</v>
      </c>
      <c r="BI837">
        <v>12</v>
      </c>
      <c r="BJ837" t="s">
        <v>305</v>
      </c>
      <c r="BK837" t="s">
        <v>102</v>
      </c>
      <c r="BL837" t="s">
        <v>305</v>
      </c>
      <c r="BM837" t="s">
        <v>15349</v>
      </c>
      <c r="BN837" t="s">
        <v>74</v>
      </c>
      <c r="BO837" t="s">
        <v>248</v>
      </c>
      <c r="BP837" t="s">
        <v>74</v>
      </c>
      <c r="BQ837" t="s">
        <v>74</v>
      </c>
      <c r="BR837" t="s">
        <v>105</v>
      </c>
      <c r="BS837" t="s">
        <v>15350</v>
      </c>
      <c r="BT837" t="str">
        <f>HYPERLINK("https%3A%2F%2Fwww.webofscience.com%2Fwos%2Fwoscc%2Ffull-record%2FWOS:000316620500013","View Full Record in Web of Science")</f>
        <v>View Full Record in Web of Science</v>
      </c>
    </row>
    <row r="838" spans="1:72" x14ac:dyDescent="0.15">
      <c r="A838" t="s">
        <v>72</v>
      </c>
      <c r="B838" t="s">
        <v>15351</v>
      </c>
      <c r="C838" t="s">
        <v>74</v>
      </c>
      <c r="D838" t="s">
        <v>74</v>
      </c>
      <c r="E838" t="s">
        <v>74</v>
      </c>
      <c r="F838" t="s">
        <v>15352</v>
      </c>
      <c r="G838" t="s">
        <v>74</v>
      </c>
      <c r="H838" t="s">
        <v>74</v>
      </c>
      <c r="I838" t="s">
        <v>15353</v>
      </c>
      <c r="J838" t="s">
        <v>142</v>
      </c>
      <c r="K838" t="s">
        <v>74</v>
      </c>
      <c r="L838" t="s">
        <v>74</v>
      </c>
      <c r="M838" t="s">
        <v>78</v>
      </c>
      <c r="N838" t="s">
        <v>79</v>
      </c>
      <c r="O838" t="s">
        <v>74</v>
      </c>
      <c r="P838" t="s">
        <v>74</v>
      </c>
      <c r="Q838" t="s">
        <v>74</v>
      </c>
      <c r="R838" t="s">
        <v>74</v>
      </c>
      <c r="S838" t="s">
        <v>74</v>
      </c>
      <c r="T838" t="s">
        <v>15354</v>
      </c>
      <c r="U838" t="s">
        <v>15355</v>
      </c>
      <c r="V838" t="s">
        <v>15356</v>
      </c>
      <c r="W838" t="s">
        <v>15357</v>
      </c>
      <c r="X838" t="s">
        <v>15358</v>
      </c>
      <c r="Y838" t="s">
        <v>15359</v>
      </c>
      <c r="Z838" t="s">
        <v>15360</v>
      </c>
      <c r="AA838" t="s">
        <v>15361</v>
      </c>
      <c r="AB838" t="s">
        <v>15362</v>
      </c>
      <c r="AC838" t="s">
        <v>15363</v>
      </c>
      <c r="AD838" t="s">
        <v>15364</v>
      </c>
      <c r="AE838" t="s">
        <v>15365</v>
      </c>
      <c r="AF838" t="s">
        <v>74</v>
      </c>
      <c r="AG838">
        <v>53</v>
      </c>
      <c r="AH838">
        <v>19</v>
      </c>
      <c r="AI838">
        <v>20</v>
      </c>
      <c r="AJ838">
        <v>0</v>
      </c>
      <c r="AK838">
        <v>62</v>
      </c>
      <c r="AL838" t="s">
        <v>195</v>
      </c>
      <c r="AM838" t="s">
        <v>155</v>
      </c>
      <c r="AN838" t="s">
        <v>196</v>
      </c>
      <c r="AO838" t="s">
        <v>157</v>
      </c>
      <c r="AP838" t="s">
        <v>158</v>
      </c>
      <c r="AQ838" t="s">
        <v>74</v>
      </c>
      <c r="AR838" t="s">
        <v>159</v>
      </c>
      <c r="AS838" t="s">
        <v>160</v>
      </c>
      <c r="AT838" t="s">
        <v>14886</v>
      </c>
      <c r="AU838">
        <v>2013</v>
      </c>
      <c r="AV838">
        <v>441</v>
      </c>
      <c r="AW838" t="s">
        <v>74</v>
      </c>
      <c r="AX838" t="s">
        <v>74</v>
      </c>
      <c r="AY838" t="s">
        <v>74</v>
      </c>
      <c r="AZ838" t="s">
        <v>74</v>
      </c>
      <c r="BA838" t="s">
        <v>74</v>
      </c>
      <c r="BB838">
        <v>1</v>
      </c>
      <c r="BC838">
        <v>6</v>
      </c>
      <c r="BD838" t="s">
        <v>74</v>
      </c>
      <c r="BE838" t="s">
        <v>15366</v>
      </c>
      <c r="BF838" t="str">
        <f>HYPERLINK("http://dx.doi.org/10.1016/j.jembe.2013.01.003","http://dx.doi.org/10.1016/j.jembe.2013.01.003")</f>
        <v>http://dx.doi.org/10.1016/j.jembe.2013.01.003</v>
      </c>
      <c r="BG838" t="s">
        <v>74</v>
      </c>
      <c r="BH838" t="s">
        <v>74</v>
      </c>
      <c r="BI838">
        <v>6</v>
      </c>
      <c r="BJ838" t="s">
        <v>162</v>
      </c>
      <c r="BK838" t="s">
        <v>102</v>
      </c>
      <c r="BL838" t="s">
        <v>163</v>
      </c>
      <c r="BM838" t="s">
        <v>15367</v>
      </c>
      <c r="BN838" t="s">
        <v>74</v>
      </c>
      <c r="BO838" t="s">
        <v>74</v>
      </c>
      <c r="BP838" t="s">
        <v>74</v>
      </c>
      <c r="BQ838" t="s">
        <v>74</v>
      </c>
      <c r="BR838" t="s">
        <v>105</v>
      </c>
      <c r="BS838" t="s">
        <v>15368</v>
      </c>
      <c r="BT838" t="str">
        <f>HYPERLINK("https%3A%2F%2Fwww.webofscience.com%2Fwos%2Fwoscc%2Ffull-record%2FWOS:000316715000001","View Full Record in Web of Science")</f>
        <v>View Full Record in Web of Science</v>
      </c>
    </row>
    <row r="839" spans="1:72" x14ac:dyDescent="0.15">
      <c r="A839" t="s">
        <v>72</v>
      </c>
      <c r="B839" t="s">
        <v>15369</v>
      </c>
      <c r="C839" t="s">
        <v>74</v>
      </c>
      <c r="D839" t="s">
        <v>74</v>
      </c>
      <c r="E839" t="s">
        <v>74</v>
      </c>
      <c r="F839" t="s">
        <v>15370</v>
      </c>
      <c r="G839" t="s">
        <v>74</v>
      </c>
      <c r="H839" t="s">
        <v>74</v>
      </c>
      <c r="I839" t="s">
        <v>15371</v>
      </c>
      <c r="J839" t="s">
        <v>12555</v>
      </c>
      <c r="K839" t="s">
        <v>74</v>
      </c>
      <c r="L839" t="s">
        <v>74</v>
      </c>
      <c r="M839" t="s">
        <v>78</v>
      </c>
      <c r="N839" t="s">
        <v>79</v>
      </c>
      <c r="O839" t="s">
        <v>74</v>
      </c>
      <c r="P839" t="s">
        <v>74</v>
      </c>
      <c r="Q839" t="s">
        <v>74</v>
      </c>
      <c r="R839" t="s">
        <v>74</v>
      </c>
      <c r="S839" t="s">
        <v>74</v>
      </c>
      <c r="T839" t="s">
        <v>15372</v>
      </c>
      <c r="U839" t="s">
        <v>15373</v>
      </c>
      <c r="V839" t="s">
        <v>15374</v>
      </c>
      <c r="W839" t="s">
        <v>15375</v>
      </c>
      <c r="X839" t="s">
        <v>15376</v>
      </c>
      <c r="Y839" t="s">
        <v>15377</v>
      </c>
      <c r="Z839" t="s">
        <v>15378</v>
      </c>
      <c r="AA839" t="s">
        <v>15379</v>
      </c>
      <c r="AB839" t="s">
        <v>15380</v>
      </c>
      <c r="AC839" t="s">
        <v>15381</v>
      </c>
      <c r="AD839" t="s">
        <v>15382</v>
      </c>
      <c r="AE839" t="s">
        <v>15383</v>
      </c>
      <c r="AF839" t="s">
        <v>74</v>
      </c>
      <c r="AG839">
        <v>109</v>
      </c>
      <c r="AH839">
        <v>33</v>
      </c>
      <c r="AI839">
        <v>36</v>
      </c>
      <c r="AJ839">
        <v>0</v>
      </c>
      <c r="AK839">
        <v>7</v>
      </c>
      <c r="AL839" t="s">
        <v>506</v>
      </c>
      <c r="AM839" t="s">
        <v>442</v>
      </c>
      <c r="AN839" t="s">
        <v>507</v>
      </c>
      <c r="AO839" t="s">
        <v>12565</v>
      </c>
      <c r="AP839" t="s">
        <v>15384</v>
      </c>
      <c r="AQ839" t="s">
        <v>74</v>
      </c>
      <c r="AR839" t="s">
        <v>12566</v>
      </c>
      <c r="AS839" t="s">
        <v>12567</v>
      </c>
      <c r="AT839" t="s">
        <v>14886</v>
      </c>
      <c r="AU839">
        <v>2013</v>
      </c>
      <c r="AV839">
        <v>42</v>
      </c>
      <c r="AW839" t="s">
        <v>74</v>
      </c>
      <c r="AX839" t="s">
        <v>74</v>
      </c>
      <c r="AY839" t="s">
        <v>74</v>
      </c>
      <c r="AZ839" t="s">
        <v>74</v>
      </c>
      <c r="BA839" t="s">
        <v>74</v>
      </c>
      <c r="BB839">
        <v>171</v>
      </c>
      <c r="BC839">
        <v>185</v>
      </c>
      <c r="BD839" t="s">
        <v>74</v>
      </c>
      <c r="BE839" t="s">
        <v>15385</v>
      </c>
      <c r="BF839" t="str">
        <f>HYPERLINK("http://dx.doi.org/10.1016/j.jsames.2012.07.012","http://dx.doi.org/10.1016/j.jsames.2012.07.012")</f>
        <v>http://dx.doi.org/10.1016/j.jsames.2012.07.012</v>
      </c>
      <c r="BG839" t="s">
        <v>74</v>
      </c>
      <c r="BH839" t="s">
        <v>74</v>
      </c>
      <c r="BI839">
        <v>15</v>
      </c>
      <c r="BJ839" t="s">
        <v>1426</v>
      </c>
      <c r="BK839" t="s">
        <v>102</v>
      </c>
      <c r="BL839" t="s">
        <v>219</v>
      </c>
      <c r="BM839" t="s">
        <v>15386</v>
      </c>
      <c r="BN839" t="s">
        <v>74</v>
      </c>
      <c r="BO839" t="s">
        <v>74</v>
      </c>
      <c r="BP839" t="s">
        <v>74</v>
      </c>
      <c r="BQ839" t="s">
        <v>74</v>
      </c>
      <c r="BR839" t="s">
        <v>105</v>
      </c>
      <c r="BS839" t="s">
        <v>15387</v>
      </c>
      <c r="BT839" t="str">
        <f>HYPERLINK("https%3A%2F%2Fwww.webofscience.com%2Fwos%2Fwoscc%2Ffull-record%2FWOS:000315763100015","View Full Record in Web of Science")</f>
        <v>View Full Record in Web of Science</v>
      </c>
    </row>
    <row r="840" spans="1:72" x14ac:dyDescent="0.15">
      <c r="A840" t="s">
        <v>72</v>
      </c>
      <c r="B840" t="s">
        <v>15388</v>
      </c>
      <c r="C840" t="s">
        <v>74</v>
      </c>
      <c r="D840" t="s">
        <v>74</v>
      </c>
      <c r="E840" t="s">
        <v>74</v>
      </c>
      <c r="F840" t="s">
        <v>15389</v>
      </c>
      <c r="G840" t="s">
        <v>74</v>
      </c>
      <c r="H840" t="s">
        <v>74</v>
      </c>
      <c r="I840" t="s">
        <v>15390</v>
      </c>
      <c r="J840" t="s">
        <v>15391</v>
      </c>
      <c r="K840" t="s">
        <v>74</v>
      </c>
      <c r="L840" t="s">
        <v>74</v>
      </c>
      <c r="M840" t="s">
        <v>78</v>
      </c>
      <c r="N840" t="s">
        <v>79</v>
      </c>
      <c r="O840" t="s">
        <v>74</v>
      </c>
      <c r="P840" t="s">
        <v>74</v>
      </c>
      <c r="Q840" t="s">
        <v>74</v>
      </c>
      <c r="R840" t="s">
        <v>74</v>
      </c>
      <c r="S840" t="s">
        <v>74</v>
      </c>
      <c r="T840" t="s">
        <v>15392</v>
      </c>
      <c r="U840" t="s">
        <v>15393</v>
      </c>
      <c r="V840" t="s">
        <v>15394</v>
      </c>
      <c r="W840" t="s">
        <v>15395</v>
      </c>
      <c r="X840" t="s">
        <v>9615</v>
      </c>
      <c r="Y840" t="s">
        <v>15396</v>
      </c>
      <c r="Z840" t="s">
        <v>15397</v>
      </c>
      <c r="AA840" t="s">
        <v>74</v>
      </c>
      <c r="AB840" t="s">
        <v>74</v>
      </c>
      <c r="AC840" t="s">
        <v>15398</v>
      </c>
      <c r="AD840" t="s">
        <v>15399</v>
      </c>
      <c r="AE840" t="s">
        <v>15400</v>
      </c>
      <c r="AF840" t="s">
        <v>74</v>
      </c>
      <c r="AG840">
        <v>55</v>
      </c>
      <c r="AH840">
        <v>22</v>
      </c>
      <c r="AI840">
        <v>26</v>
      </c>
      <c r="AJ840">
        <v>0</v>
      </c>
      <c r="AK840">
        <v>17</v>
      </c>
      <c r="AL840" t="s">
        <v>7508</v>
      </c>
      <c r="AM840" t="s">
        <v>7509</v>
      </c>
      <c r="AN840" t="s">
        <v>7510</v>
      </c>
      <c r="AO840" t="s">
        <v>15401</v>
      </c>
      <c r="AP840" t="s">
        <v>15402</v>
      </c>
      <c r="AQ840" t="s">
        <v>74</v>
      </c>
      <c r="AR840" t="s">
        <v>15391</v>
      </c>
      <c r="AS840" t="s">
        <v>15403</v>
      </c>
      <c r="AT840" t="s">
        <v>15141</v>
      </c>
      <c r="AU840">
        <v>2013</v>
      </c>
      <c r="AV840">
        <v>105</v>
      </c>
      <c r="AW840">
        <v>2</v>
      </c>
      <c r="AX840" t="s">
        <v>74</v>
      </c>
      <c r="AY840" t="s">
        <v>74</v>
      </c>
      <c r="AZ840" t="s">
        <v>74</v>
      </c>
      <c r="BA840" t="s">
        <v>74</v>
      </c>
      <c r="BB840">
        <v>357</v>
      </c>
      <c r="BC840">
        <v>367</v>
      </c>
      <c r="BD840" t="s">
        <v>74</v>
      </c>
      <c r="BE840" t="s">
        <v>15404</v>
      </c>
      <c r="BF840" t="str">
        <f>HYPERLINK("http://dx.doi.org/10.3852/12-088","http://dx.doi.org/10.3852/12-088")</f>
        <v>http://dx.doi.org/10.3852/12-088</v>
      </c>
      <c r="BG840" t="s">
        <v>74</v>
      </c>
      <c r="BH840" t="s">
        <v>74</v>
      </c>
      <c r="BI840">
        <v>11</v>
      </c>
      <c r="BJ840" t="s">
        <v>7583</v>
      </c>
      <c r="BK840" t="s">
        <v>102</v>
      </c>
      <c r="BL840" t="s">
        <v>7583</v>
      </c>
      <c r="BM840" t="s">
        <v>15405</v>
      </c>
      <c r="BN840">
        <v>22962359</v>
      </c>
      <c r="BO840" t="s">
        <v>74</v>
      </c>
      <c r="BP840" t="s">
        <v>74</v>
      </c>
      <c r="BQ840" t="s">
        <v>74</v>
      </c>
      <c r="BR840" t="s">
        <v>105</v>
      </c>
      <c r="BS840" t="s">
        <v>15406</v>
      </c>
      <c r="BT840" t="str">
        <f>HYPERLINK("https%3A%2F%2Fwww.webofscience.com%2Fwos%2Fwoscc%2Ffull-record%2FWOS:000317088400011","View Full Record in Web of Science")</f>
        <v>View Full Record in Web of Science</v>
      </c>
    </row>
    <row r="841" spans="1:72" x14ac:dyDescent="0.15">
      <c r="A841" t="s">
        <v>72</v>
      </c>
      <c r="B841" t="s">
        <v>15407</v>
      </c>
      <c r="C841" t="s">
        <v>74</v>
      </c>
      <c r="D841" t="s">
        <v>74</v>
      </c>
      <c r="E841" t="s">
        <v>74</v>
      </c>
      <c r="F841" t="s">
        <v>15408</v>
      </c>
      <c r="G841" t="s">
        <v>74</v>
      </c>
      <c r="H841" t="s">
        <v>74</v>
      </c>
      <c r="I841" t="s">
        <v>15409</v>
      </c>
      <c r="J841" t="s">
        <v>3385</v>
      </c>
      <c r="K841" t="s">
        <v>74</v>
      </c>
      <c r="L841" t="s">
        <v>74</v>
      </c>
      <c r="M841" t="s">
        <v>78</v>
      </c>
      <c r="N841" t="s">
        <v>79</v>
      </c>
      <c r="O841" t="s">
        <v>74</v>
      </c>
      <c r="P841" t="s">
        <v>74</v>
      </c>
      <c r="Q841" t="s">
        <v>74</v>
      </c>
      <c r="R841" t="s">
        <v>74</v>
      </c>
      <c r="S841" t="s">
        <v>74</v>
      </c>
      <c r="T841" t="s">
        <v>15410</v>
      </c>
      <c r="U841" t="s">
        <v>15411</v>
      </c>
      <c r="V841" t="s">
        <v>15412</v>
      </c>
      <c r="W841" t="s">
        <v>15413</v>
      </c>
      <c r="X841" t="s">
        <v>15414</v>
      </c>
      <c r="Y841" t="s">
        <v>15415</v>
      </c>
      <c r="Z841" t="s">
        <v>9657</v>
      </c>
      <c r="AA841" t="s">
        <v>15416</v>
      </c>
      <c r="AB841" t="s">
        <v>15417</v>
      </c>
      <c r="AC841" t="s">
        <v>15418</v>
      </c>
      <c r="AD841" t="s">
        <v>9659</v>
      </c>
      <c r="AE841" t="s">
        <v>15419</v>
      </c>
      <c r="AF841" t="s">
        <v>74</v>
      </c>
      <c r="AG841">
        <v>17</v>
      </c>
      <c r="AH841">
        <v>9</v>
      </c>
      <c r="AI841">
        <v>10</v>
      </c>
      <c r="AJ841">
        <v>2</v>
      </c>
      <c r="AK841">
        <v>21</v>
      </c>
      <c r="AL841" t="s">
        <v>529</v>
      </c>
      <c r="AM841" t="s">
        <v>391</v>
      </c>
      <c r="AN841" t="s">
        <v>530</v>
      </c>
      <c r="AO841" t="s">
        <v>3396</v>
      </c>
      <c r="AP841" t="s">
        <v>74</v>
      </c>
      <c r="AQ841" t="s">
        <v>74</v>
      </c>
      <c r="AR841" t="s">
        <v>3398</v>
      </c>
      <c r="AS841" t="s">
        <v>3399</v>
      </c>
      <c r="AT841" t="s">
        <v>14886</v>
      </c>
      <c r="AU841">
        <v>2013</v>
      </c>
      <c r="AV841">
        <v>32</v>
      </c>
      <c r="AW841">
        <v>3</v>
      </c>
      <c r="AX841" t="s">
        <v>74</v>
      </c>
      <c r="AY841" t="s">
        <v>74</v>
      </c>
      <c r="AZ841" t="s">
        <v>74</v>
      </c>
      <c r="BA841" t="s">
        <v>74</v>
      </c>
      <c r="BB841">
        <v>19</v>
      </c>
      <c r="BC841">
        <v>27</v>
      </c>
      <c r="BD841" t="s">
        <v>74</v>
      </c>
      <c r="BE841" t="s">
        <v>15420</v>
      </c>
      <c r="BF841" t="str">
        <f>HYPERLINK("http://dx.doi.org/10.1007/s13131-013-0284-6","http://dx.doi.org/10.1007/s13131-013-0284-6")</f>
        <v>http://dx.doi.org/10.1007/s13131-013-0284-6</v>
      </c>
      <c r="BG841" t="s">
        <v>74</v>
      </c>
      <c r="BH841" t="s">
        <v>74</v>
      </c>
      <c r="BI841">
        <v>9</v>
      </c>
      <c r="BJ841" t="s">
        <v>327</v>
      </c>
      <c r="BK841" t="s">
        <v>102</v>
      </c>
      <c r="BL841" t="s">
        <v>327</v>
      </c>
      <c r="BM841" t="s">
        <v>15421</v>
      </c>
      <c r="BN841" t="s">
        <v>74</v>
      </c>
      <c r="BO841" t="s">
        <v>74</v>
      </c>
      <c r="BP841" t="s">
        <v>74</v>
      </c>
      <c r="BQ841" t="s">
        <v>74</v>
      </c>
      <c r="BR841" t="s">
        <v>105</v>
      </c>
      <c r="BS841" t="s">
        <v>15422</v>
      </c>
      <c r="BT841" t="str">
        <f>HYPERLINK("https%3A%2F%2Fwww.webofscience.com%2Fwos%2Fwoscc%2Ffull-record%2FWOS:000316239100003","View Full Record in Web of Science")</f>
        <v>View Full Record in Web of Science</v>
      </c>
    </row>
    <row r="842" spans="1:72" x14ac:dyDescent="0.15">
      <c r="A842" t="s">
        <v>72</v>
      </c>
      <c r="B842" t="s">
        <v>15423</v>
      </c>
      <c r="C842" t="s">
        <v>74</v>
      </c>
      <c r="D842" t="s">
        <v>74</v>
      </c>
      <c r="E842" t="s">
        <v>74</v>
      </c>
      <c r="F842" t="s">
        <v>15424</v>
      </c>
      <c r="G842" t="s">
        <v>74</v>
      </c>
      <c r="H842" t="s">
        <v>74</v>
      </c>
      <c r="I842" t="s">
        <v>15425</v>
      </c>
      <c r="J842" t="s">
        <v>15426</v>
      </c>
      <c r="K842" t="s">
        <v>74</v>
      </c>
      <c r="L842" t="s">
        <v>74</v>
      </c>
      <c r="M842" t="s">
        <v>78</v>
      </c>
      <c r="N842" t="s">
        <v>79</v>
      </c>
      <c r="O842" t="s">
        <v>74</v>
      </c>
      <c r="P842" t="s">
        <v>74</v>
      </c>
      <c r="Q842" t="s">
        <v>74</v>
      </c>
      <c r="R842" t="s">
        <v>74</v>
      </c>
      <c r="S842" t="s">
        <v>74</v>
      </c>
      <c r="T842" t="s">
        <v>15427</v>
      </c>
      <c r="U842" t="s">
        <v>15428</v>
      </c>
      <c r="V842" t="s">
        <v>15429</v>
      </c>
      <c r="W842" t="s">
        <v>15430</v>
      </c>
      <c r="X842" t="s">
        <v>15431</v>
      </c>
      <c r="Y842" t="s">
        <v>15432</v>
      </c>
      <c r="Z842" t="s">
        <v>15433</v>
      </c>
      <c r="AA842" t="s">
        <v>74</v>
      </c>
      <c r="AB842" t="s">
        <v>74</v>
      </c>
      <c r="AC842" t="s">
        <v>15434</v>
      </c>
      <c r="AD842" t="s">
        <v>15435</v>
      </c>
      <c r="AE842" t="s">
        <v>15436</v>
      </c>
      <c r="AF842" t="s">
        <v>74</v>
      </c>
      <c r="AG842">
        <v>26</v>
      </c>
      <c r="AH842">
        <v>12</v>
      </c>
      <c r="AI842">
        <v>13</v>
      </c>
      <c r="AJ842">
        <v>0</v>
      </c>
      <c r="AK842">
        <v>19</v>
      </c>
      <c r="AL842" t="s">
        <v>15437</v>
      </c>
      <c r="AM842" t="s">
        <v>15438</v>
      </c>
      <c r="AN842" t="s">
        <v>15439</v>
      </c>
      <c r="AO842" t="s">
        <v>15440</v>
      </c>
      <c r="AP842" t="s">
        <v>15441</v>
      </c>
      <c r="AQ842" t="s">
        <v>74</v>
      </c>
      <c r="AR842" t="s">
        <v>15442</v>
      </c>
      <c r="AS842" t="s">
        <v>15443</v>
      </c>
      <c r="AT842" t="s">
        <v>14886</v>
      </c>
      <c r="AU842">
        <v>2013</v>
      </c>
      <c r="AV842">
        <v>18</v>
      </c>
      <c r="AW842">
        <v>1</v>
      </c>
      <c r="AX842" t="s">
        <v>74</v>
      </c>
      <c r="AY842" t="s">
        <v>74</v>
      </c>
      <c r="AZ842" t="s">
        <v>74</v>
      </c>
      <c r="BA842" t="s">
        <v>74</v>
      </c>
      <c r="BB842">
        <v>21</v>
      </c>
      <c r="BC842">
        <v>28</v>
      </c>
      <c r="BD842" t="s">
        <v>74</v>
      </c>
      <c r="BE842" t="s">
        <v>15444</v>
      </c>
      <c r="BF842" t="str">
        <f>HYPERLINK("http://dx.doi.org/10.4265/bio.18.21","http://dx.doi.org/10.4265/bio.18.21")</f>
        <v>http://dx.doi.org/10.4265/bio.18.21</v>
      </c>
      <c r="BG842" t="s">
        <v>74</v>
      </c>
      <c r="BH842" t="s">
        <v>74</v>
      </c>
      <c r="BI842">
        <v>8</v>
      </c>
      <c r="BJ842" t="s">
        <v>15445</v>
      </c>
      <c r="BK842" t="s">
        <v>102</v>
      </c>
      <c r="BL842" t="s">
        <v>15446</v>
      </c>
      <c r="BM842" t="s">
        <v>15447</v>
      </c>
      <c r="BN842">
        <v>23538848</v>
      </c>
      <c r="BO842" t="s">
        <v>6170</v>
      </c>
      <c r="BP842" t="s">
        <v>74</v>
      </c>
      <c r="BQ842" t="s">
        <v>74</v>
      </c>
      <c r="BR842" t="s">
        <v>105</v>
      </c>
      <c r="BS842" t="s">
        <v>15448</v>
      </c>
      <c r="BT842" t="str">
        <f>HYPERLINK("https%3A%2F%2Fwww.webofscience.com%2Fwos%2Fwoscc%2Ffull-record%2FWOS:000316373600003","View Full Record in Web of Science")</f>
        <v>View Full Record in Web of Science</v>
      </c>
    </row>
    <row r="843" spans="1:72" x14ac:dyDescent="0.15">
      <c r="A843" t="s">
        <v>72</v>
      </c>
      <c r="B843" t="s">
        <v>15449</v>
      </c>
      <c r="C843" t="s">
        <v>74</v>
      </c>
      <c r="D843" t="s">
        <v>74</v>
      </c>
      <c r="E843" t="s">
        <v>74</v>
      </c>
      <c r="F843" t="s">
        <v>15450</v>
      </c>
      <c r="G843" t="s">
        <v>74</v>
      </c>
      <c r="H843" t="s">
        <v>74</v>
      </c>
      <c r="I843" t="s">
        <v>15451</v>
      </c>
      <c r="J843" t="s">
        <v>12200</v>
      </c>
      <c r="K843" t="s">
        <v>74</v>
      </c>
      <c r="L843" t="s">
        <v>74</v>
      </c>
      <c r="M843" t="s">
        <v>78</v>
      </c>
      <c r="N843" t="s">
        <v>79</v>
      </c>
      <c r="O843" t="s">
        <v>74</v>
      </c>
      <c r="P843" t="s">
        <v>74</v>
      </c>
      <c r="Q843" t="s">
        <v>74</v>
      </c>
      <c r="R843" t="s">
        <v>74</v>
      </c>
      <c r="S843" t="s">
        <v>74</v>
      </c>
      <c r="T843" t="s">
        <v>15452</v>
      </c>
      <c r="U843" t="s">
        <v>15453</v>
      </c>
      <c r="V843" t="s">
        <v>15454</v>
      </c>
      <c r="W843" t="s">
        <v>15455</v>
      </c>
      <c r="X843" t="s">
        <v>15456</v>
      </c>
      <c r="Y843" t="s">
        <v>15457</v>
      </c>
      <c r="Z843" t="s">
        <v>15458</v>
      </c>
      <c r="AA843" t="s">
        <v>74</v>
      </c>
      <c r="AB843" t="s">
        <v>74</v>
      </c>
      <c r="AC843" t="s">
        <v>15459</v>
      </c>
      <c r="AD843" t="s">
        <v>15460</v>
      </c>
      <c r="AE843" t="s">
        <v>15461</v>
      </c>
      <c r="AF843" t="s">
        <v>74</v>
      </c>
      <c r="AG843">
        <v>37</v>
      </c>
      <c r="AH843">
        <v>5</v>
      </c>
      <c r="AI843">
        <v>9</v>
      </c>
      <c r="AJ843">
        <v>3</v>
      </c>
      <c r="AK843">
        <v>38</v>
      </c>
      <c r="AL843" t="s">
        <v>212</v>
      </c>
      <c r="AM843" t="s">
        <v>213</v>
      </c>
      <c r="AN843" t="s">
        <v>214</v>
      </c>
      <c r="AO843" t="s">
        <v>12211</v>
      </c>
      <c r="AP843" t="s">
        <v>12651</v>
      </c>
      <c r="AQ843" t="s">
        <v>74</v>
      </c>
      <c r="AR843" t="s">
        <v>12212</v>
      </c>
      <c r="AS843" t="s">
        <v>12213</v>
      </c>
      <c r="AT843" t="s">
        <v>14886</v>
      </c>
      <c r="AU843">
        <v>2013</v>
      </c>
      <c r="AV843">
        <v>58</v>
      </c>
      <c r="AW843">
        <v>9</v>
      </c>
      <c r="AX843" t="s">
        <v>74</v>
      </c>
      <c r="AY843" t="s">
        <v>74</v>
      </c>
      <c r="AZ843" t="s">
        <v>74</v>
      </c>
      <c r="BA843" t="s">
        <v>74</v>
      </c>
      <c r="BB843">
        <v>1044</v>
      </c>
      <c r="BC843">
        <v>1052</v>
      </c>
      <c r="BD843" t="s">
        <v>74</v>
      </c>
      <c r="BE843" t="s">
        <v>15462</v>
      </c>
      <c r="BF843" t="str">
        <f>HYPERLINK("http://dx.doi.org/10.1007/s11434-012-5538-8","http://dx.doi.org/10.1007/s11434-012-5538-8")</f>
        <v>http://dx.doi.org/10.1007/s11434-012-5538-8</v>
      </c>
      <c r="BG843" t="s">
        <v>74</v>
      </c>
      <c r="BH843" t="s">
        <v>74</v>
      </c>
      <c r="BI843">
        <v>9</v>
      </c>
      <c r="BJ843" t="s">
        <v>1880</v>
      </c>
      <c r="BK843" t="s">
        <v>102</v>
      </c>
      <c r="BL843" t="s">
        <v>1881</v>
      </c>
      <c r="BM843" t="s">
        <v>15463</v>
      </c>
      <c r="BN843" t="s">
        <v>74</v>
      </c>
      <c r="BO843" t="s">
        <v>2011</v>
      </c>
      <c r="BP843" t="s">
        <v>74</v>
      </c>
      <c r="BQ843" t="s">
        <v>74</v>
      </c>
      <c r="BR843" t="s">
        <v>105</v>
      </c>
      <c r="BS843" t="s">
        <v>15464</v>
      </c>
      <c r="BT843" t="str">
        <f>HYPERLINK("https%3A%2F%2Fwww.webofscience.com%2Fwos%2Fwoscc%2Ffull-record%2FWOS:000316219500013","View Full Record in Web of Science")</f>
        <v>View Full Record in Web of Science</v>
      </c>
    </row>
    <row r="844" spans="1:72" x14ac:dyDescent="0.15">
      <c r="A844" t="s">
        <v>72</v>
      </c>
      <c r="B844" t="s">
        <v>15465</v>
      </c>
      <c r="C844" t="s">
        <v>74</v>
      </c>
      <c r="D844" t="s">
        <v>74</v>
      </c>
      <c r="E844" t="s">
        <v>74</v>
      </c>
      <c r="F844" t="s">
        <v>15466</v>
      </c>
      <c r="G844" t="s">
        <v>74</v>
      </c>
      <c r="H844" t="s">
        <v>74</v>
      </c>
      <c r="I844" t="s">
        <v>15467</v>
      </c>
      <c r="J844" t="s">
        <v>15468</v>
      </c>
      <c r="K844" t="s">
        <v>74</v>
      </c>
      <c r="L844" t="s">
        <v>74</v>
      </c>
      <c r="M844" t="s">
        <v>78</v>
      </c>
      <c r="N844" t="s">
        <v>79</v>
      </c>
      <c r="O844" t="s">
        <v>74</v>
      </c>
      <c r="P844" t="s">
        <v>74</v>
      </c>
      <c r="Q844" t="s">
        <v>74</v>
      </c>
      <c r="R844" t="s">
        <v>74</v>
      </c>
      <c r="S844" t="s">
        <v>74</v>
      </c>
      <c r="T844" t="s">
        <v>15469</v>
      </c>
      <c r="U844" t="s">
        <v>15470</v>
      </c>
      <c r="V844" t="s">
        <v>15471</v>
      </c>
      <c r="W844" t="s">
        <v>15472</v>
      </c>
      <c r="X844" t="s">
        <v>15473</v>
      </c>
      <c r="Y844" t="s">
        <v>15474</v>
      </c>
      <c r="Z844" t="s">
        <v>15475</v>
      </c>
      <c r="AA844" t="s">
        <v>74</v>
      </c>
      <c r="AB844" t="s">
        <v>74</v>
      </c>
      <c r="AC844" t="s">
        <v>74</v>
      </c>
      <c r="AD844" t="s">
        <v>74</v>
      </c>
      <c r="AE844" t="s">
        <v>74</v>
      </c>
      <c r="AF844" t="s">
        <v>74</v>
      </c>
      <c r="AG844">
        <v>40</v>
      </c>
      <c r="AH844">
        <v>7</v>
      </c>
      <c r="AI844">
        <v>9</v>
      </c>
      <c r="AJ844">
        <v>0</v>
      </c>
      <c r="AK844">
        <v>7</v>
      </c>
      <c r="AL844" t="s">
        <v>15476</v>
      </c>
      <c r="AM844" t="s">
        <v>15477</v>
      </c>
      <c r="AN844" t="s">
        <v>15478</v>
      </c>
      <c r="AO844" t="s">
        <v>15479</v>
      </c>
      <c r="AP844" t="s">
        <v>15480</v>
      </c>
      <c r="AQ844" t="s">
        <v>74</v>
      </c>
      <c r="AR844" t="s">
        <v>15468</v>
      </c>
      <c r="AS844" t="s">
        <v>15481</v>
      </c>
      <c r="AT844" t="s">
        <v>15214</v>
      </c>
      <c r="AU844">
        <v>2013</v>
      </c>
      <c r="AV844">
        <v>52</v>
      </c>
      <c r="AW844">
        <v>1</v>
      </c>
      <c r="AX844" t="s">
        <v>74</v>
      </c>
      <c r="AY844" t="s">
        <v>74</v>
      </c>
      <c r="AZ844" t="s">
        <v>74</v>
      </c>
      <c r="BA844" t="s">
        <v>74</v>
      </c>
      <c r="BB844">
        <v>49</v>
      </c>
      <c r="BC844">
        <v>58</v>
      </c>
      <c r="BD844" t="s">
        <v>74</v>
      </c>
      <c r="BE844" t="s">
        <v>15482</v>
      </c>
      <c r="BF844" t="str">
        <f>HYPERLINK("http://dx.doi.org/10.1080/00173134.2012.717964","http://dx.doi.org/10.1080/00173134.2012.717964")</f>
        <v>http://dx.doi.org/10.1080/00173134.2012.717964</v>
      </c>
      <c r="BG844" t="s">
        <v>74</v>
      </c>
      <c r="BH844" t="s">
        <v>74</v>
      </c>
      <c r="BI844">
        <v>10</v>
      </c>
      <c r="BJ844" t="s">
        <v>3795</v>
      </c>
      <c r="BK844" t="s">
        <v>102</v>
      </c>
      <c r="BL844" t="s">
        <v>3795</v>
      </c>
      <c r="BM844" t="s">
        <v>15483</v>
      </c>
      <c r="BN844" t="s">
        <v>74</v>
      </c>
      <c r="BO844" t="s">
        <v>104</v>
      </c>
      <c r="BP844" t="s">
        <v>74</v>
      </c>
      <c r="BQ844" t="s">
        <v>74</v>
      </c>
      <c r="BR844" t="s">
        <v>105</v>
      </c>
      <c r="BS844" t="s">
        <v>15484</v>
      </c>
      <c r="BT844" t="str">
        <f>HYPERLINK("https%3A%2F%2Fwww.webofscience.com%2Fwos%2Fwoscc%2Ffull-record%2FWOS:000316391700004","View Full Record in Web of Science")</f>
        <v>View Full Record in Web of Science</v>
      </c>
    </row>
    <row r="845" spans="1:72" x14ac:dyDescent="0.15">
      <c r="A845" t="s">
        <v>72</v>
      </c>
      <c r="B845" t="s">
        <v>15485</v>
      </c>
      <c r="C845" t="s">
        <v>74</v>
      </c>
      <c r="D845" t="s">
        <v>74</v>
      </c>
      <c r="E845" t="s">
        <v>74</v>
      </c>
      <c r="F845" t="s">
        <v>15486</v>
      </c>
      <c r="G845" t="s">
        <v>74</v>
      </c>
      <c r="H845" t="s">
        <v>74</v>
      </c>
      <c r="I845" t="s">
        <v>15487</v>
      </c>
      <c r="J845" t="s">
        <v>10908</v>
      </c>
      <c r="K845" t="s">
        <v>74</v>
      </c>
      <c r="L845" t="s">
        <v>74</v>
      </c>
      <c r="M845" t="s">
        <v>78</v>
      </c>
      <c r="N845" t="s">
        <v>79</v>
      </c>
      <c r="O845" t="s">
        <v>74</v>
      </c>
      <c r="P845" t="s">
        <v>74</v>
      </c>
      <c r="Q845" t="s">
        <v>74</v>
      </c>
      <c r="R845" t="s">
        <v>74</v>
      </c>
      <c r="S845" t="s">
        <v>74</v>
      </c>
      <c r="T845" t="s">
        <v>15488</v>
      </c>
      <c r="U845" t="s">
        <v>15489</v>
      </c>
      <c r="V845" t="s">
        <v>15490</v>
      </c>
      <c r="W845" t="s">
        <v>15491</v>
      </c>
      <c r="X845" t="s">
        <v>2692</v>
      </c>
      <c r="Y845" t="s">
        <v>15492</v>
      </c>
      <c r="Z845" t="s">
        <v>15493</v>
      </c>
      <c r="AA845" t="s">
        <v>74</v>
      </c>
      <c r="AB845" t="s">
        <v>15494</v>
      </c>
      <c r="AC845" t="s">
        <v>15495</v>
      </c>
      <c r="AD845" t="s">
        <v>15496</v>
      </c>
      <c r="AE845" t="s">
        <v>15497</v>
      </c>
      <c r="AF845" t="s">
        <v>74</v>
      </c>
      <c r="AG845">
        <v>73</v>
      </c>
      <c r="AH845">
        <v>15</v>
      </c>
      <c r="AI845">
        <v>18</v>
      </c>
      <c r="AJ845">
        <v>1</v>
      </c>
      <c r="AK845">
        <v>35</v>
      </c>
      <c r="AL845" t="s">
        <v>441</v>
      </c>
      <c r="AM845" t="s">
        <v>442</v>
      </c>
      <c r="AN845" t="s">
        <v>443</v>
      </c>
      <c r="AO845" t="s">
        <v>10920</v>
      </c>
      <c r="AP845" t="s">
        <v>10921</v>
      </c>
      <c r="AQ845" t="s">
        <v>74</v>
      </c>
      <c r="AR845" t="s">
        <v>10922</v>
      </c>
      <c r="AS845" t="s">
        <v>10923</v>
      </c>
      <c r="AT845" t="s">
        <v>15141</v>
      </c>
      <c r="AU845">
        <v>2013</v>
      </c>
      <c r="AV845">
        <v>35</v>
      </c>
      <c r="AW845">
        <v>2</v>
      </c>
      <c r="AX845" t="s">
        <v>74</v>
      </c>
      <c r="AY845" t="s">
        <v>74</v>
      </c>
      <c r="AZ845" t="s">
        <v>74</v>
      </c>
      <c r="BA845" t="s">
        <v>74</v>
      </c>
      <c r="BB845">
        <v>337</v>
      </c>
      <c r="BC845">
        <v>351</v>
      </c>
      <c r="BD845" t="s">
        <v>74</v>
      </c>
      <c r="BE845" t="s">
        <v>15498</v>
      </c>
      <c r="BF845" t="str">
        <f>HYPERLINK("http://dx.doi.org/10.1093/plankt/fbs086","http://dx.doi.org/10.1093/plankt/fbs086")</f>
        <v>http://dx.doi.org/10.1093/plankt/fbs086</v>
      </c>
      <c r="BG845" t="s">
        <v>74</v>
      </c>
      <c r="BH845" t="s">
        <v>74</v>
      </c>
      <c r="BI845">
        <v>15</v>
      </c>
      <c r="BJ845" t="s">
        <v>3206</v>
      </c>
      <c r="BK845" t="s">
        <v>102</v>
      </c>
      <c r="BL845" t="s">
        <v>3206</v>
      </c>
      <c r="BM845" t="s">
        <v>15499</v>
      </c>
      <c r="BN845" t="s">
        <v>74</v>
      </c>
      <c r="BO845" t="s">
        <v>104</v>
      </c>
      <c r="BP845" t="s">
        <v>74</v>
      </c>
      <c r="BQ845" t="s">
        <v>74</v>
      </c>
      <c r="BR845" t="s">
        <v>105</v>
      </c>
      <c r="BS845" t="s">
        <v>15500</v>
      </c>
      <c r="BT845" t="str">
        <f>HYPERLINK("https%3A%2F%2Fwww.webofscience.com%2Fwos%2Fwoscc%2Ffull-record%2FWOS:000316129700009","View Full Record in Web of Science")</f>
        <v>View Full Record in Web of Science</v>
      </c>
    </row>
    <row r="846" spans="1:72" x14ac:dyDescent="0.15">
      <c r="A846" t="s">
        <v>72</v>
      </c>
      <c r="B846" t="s">
        <v>15501</v>
      </c>
      <c r="C846" t="s">
        <v>74</v>
      </c>
      <c r="D846" t="s">
        <v>74</v>
      </c>
      <c r="E846" t="s">
        <v>74</v>
      </c>
      <c r="F846" t="s">
        <v>15502</v>
      </c>
      <c r="G846" t="s">
        <v>74</v>
      </c>
      <c r="H846" t="s">
        <v>74</v>
      </c>
      <c r="I846" t="s">
        <v>15503</v>
      </c>
      <c r="J846" t="s">
        <v>15504</v>
      </c>
      <c r="K846" t="s">
        <v>74</v>
      </c>
      <c r="L846" t="s">
        <v>74</v>
      </c>
      <c r="M846" t="s">
        <v>78</v>
      </c>
      <c r="N846" t="s">
        <v>79</v>
      </c>
      <c r="O846" t="s">
        <v>74</v>
      </c>
      <c r="P846" t="s">
        <v>74</v>
      </c>
      <c r="Q846" t="s">
        <v>74</v>
      </c>
      <c r="R846" t="s">
        <v>74</v>
      </c>
      <c r="S846" t="s">
        <v>74</v>
      </c>
      <c r="T846" t="s">
        <v>74</v>
      </c>
      <c r="U846" t="s">
        <v>15505</v>
      </c>
      <c r="V846" t="s">
        <v>15506</v>
      </c>
      <c r="W846" t="s">
        <v>15507</v>
      </c>
      <c r="X846" t="s">
        <v>15508</v>
      </c>
      <c r="Y846" t="s">
        <v>15509</v>
      </c>
      <c r="Z846" t="s">
        <v>15510</v>
      </c>
      <c r="AA846" t="s">
        <v>15511</v>
      </c>
      <c r="AB846" t="s">
        <v>15512</v>
      </c>
      <c r="AC846" t="s">
        <v>15513</v>
      </c>
      <c r="AD846" t="s">
        <v>15513</v>
      </c>
      <c r="AE846" t="s">
        <v>15514</v>
      </c>
      <c r="AF846" t="s">
        <v>74</v>
      </c>
      <c r="AG846">
        <v>94</v>
      </c>
      <c r="AH846">
        <v>48</v>
      </c>
      <c r="AI846">
        <v>51</v>
      </c>
      <c r="AJ846">
        <v>3</v>
      </c>
      <c r="AK846">
        <v>42</v>
      </c>
      <c r="AL846" t="s">
        <v>15515</v>
      </c>
      <c r="AM846" t="s">
        <v>15516</v>
      </c>
      <c r="AN846" t="s">
        <v>15517</v>
      </c>
      <c r="AO846" t="s">
        <v>15518</v>
      </c>
      <c r="AP846" t="s">
        <v>15519</v>
      </c>
      <c r="AQ846" t="s">
        <v>74</v>
      </c>
      <c r="AR846" t="s">
        <v>15520</v>
      </c>
      <c r="AS846" t="s">
        <v>15521</v>
      </c>
      <c r="AT846" t="s">
        <v>14886</v>
      </c>
      <c r="AU846">
        <v>2013</v>
      </c>
      <c r="AV846">
        <v>170</v>
      </c>
      <c r="AW846">
        <v>2</v>
      </c>
      <c r="AX846" t="s">
        <v>74</v>
      </c>
      <c r="AY846" t="s">
        <v>74</v>
      </c>
      <c r="AZ846" t="s">
        <v>74</v>
      </c>
      <c r="BA846" t="s">
        <v>74</v>
      </c>
      <c r="BB846">
        <v>365</v>
      </c>
      <c r="BC846">
        <v>377</v>
      </c>
      <c r="BD846" t="s">
        <v>74</v>
      </c>
      <c r="BE846" t="s">
        <v>15522</v>
      </c>
      <c r="BF846" t="str">
        <f>HYPERLINK("http://dx.doi.org/10.1144/jgs2012-040","http://dx.doi.org/10.1144/jgs2012-040")</f>
        <v>http://dx.doi.org/10.1144/jgs2012-040</v>
      </c>
      <c r="BG846" t="s">
        <v>74</v>
      </c>
      <c r="BH846" t="s">
        <v>74</v>
      </c>
      <c r="BI846">
        <v>13</v>
      </c>
      <c r="BJ846" t="s">
        <v>1426</v>
      </c>
      <c r="BK846" t="s">
        <v>102</v>
      </c>
      <c r="BL846" t="s">
        <v>219</v>
      </c>
      <c r="BM846" t="s">
        <v>15523</v>
      </c>
      <c r="BN846" t="s">
        <v>74</v>
      </c>
      <c r="BO846" t="s">
        <v>74</v>
      </c>
      <c r="BP846" t="s">
        <v>74</v>
      </c>
      <c r="BQ846" t="s">
        <v>74</v>
      </c>
      <c r="BR846" t="s">
        <v>105</v>
      </c>
      <c r="BS846" t="s">
        <v>15524</v>
      </c>
      <c r="BT846" t="str">
        <f>HYPERLINK("https%3A%2F%2Fwww.webofscience.com%2Fwos%2Fwoscc%2Ffull-record%2FWOS:000316115200012","View Full Record in Web of Science")</f>
        <v>View Full Record in Web of Science</v>
      </c>
    </row>
    <row r="847" spans="1:72" x14ac:dyDescent="0.15">
      <c r="A847" t="s">
        <v>72</v>
      </c>
      <c r="B847" t="s">
        <v>15525</v>
      </c>
      <c r="C847" t="s">
        <v>74</v>
      </c>
      <c r="D847" t="s">
        <v>74</v>
      </c>
      <c r="E847" t="s">
        <v>74</v>
      </c>
      <c r="F847" t="s">
        <v>15526</v>
      </c>
      <c r="G847" t="s">
        <v>74</v>
      </c>
      <c r="H847" t="s">
        <v>74</v>
      </c>
      <c r="I847" t="s">
        <v>15527</v>
      </c>
      <c r="J847" t="s">
        <v>15528</v>
      </c>
      <c r="K847" t="s">
        <v>74</v>
      </c>
      <c r="L847" t="s">
        <v>74</v>
      </c>
      <c r="M847" t="s">
        <v>78</v>
      </c>
      <c r="N847" t="s">
        <v>79</v>
      </c>
      <c r="O847" t="s">
        <v>74</v>
      </c>
      <c r="P847" t="s">
        <v>74</v>
      </c>
      <c r="Q847" t="s">
        <v>74</v>
      </c>
      <c r="R847" t="s">
        <v>74</v>
      </c>
      <c r="S847" t="s">
        <v>74</v>
      </c>
      <c r="T847" t="s">
        <v>15529</v>
      </c>
      <c r="U847" t="s">
        <v>15530</v>
      </c>
      <c r="V847" t="s">
        <v>15531</v>
      </c>
      <c r="W847" t="s">
        <v>15532</v>
      </c>
      <c r="X847" t="s">
        <v>15533</v>
      </c>
      <c r="Y847" t="s">
        <v>15534</v>
      </c>
      <c r="Z847" t="s">
        <v>15535</v>
      </c>
      <c r="AA847" t="s">
        <v>15536</v>
      </c>
      <c r="AB847" t="s">
        <v>15537</v>
      </c>
      <c r="AC847" t="s">
        <v>15538</v>
      </c>
      <c r="AD847" t="s">
        <v>15539</v>
      </c>
      <c r="AE847" t="s">
        <v>15540</v>
      </c>
      <c r="AF847" t="s">
        <v>74</v>
      </c>
      <c r="AG847">
        <v>36</v>
      </c>
      <c r="AH847">
        <v>2</v>
      </c>
      <c r="AI847">
        <v>2</v>
      </c>
      <c r="AJ847">
        <v>0</v>
      </c>
      <c r="AK847">
        <v>11</v>
      </c>
      <c r="AL847" t="s">
        <v>7508</v>
      </c>
      <c r="AM847" t="s">
        <v>7509</v>
      </c>
      <c r="AN847" t="s">
        <v>7510</v>
      </c>
      <c r="AO847" t="s">
        <v>15541</v>
      </c>
      <c r="AP847" t="s">
        <v>15542</v>
      </c>
      <c r="AQ847" t="s">
        <v>74</v>
      </c>
      <c r="AR847" t="s">
        <v>15543</v>
      </c>
      <c r="AS847" t="s">
        <v>15544</v>
      </c>
      <c r="AT847" t="s">
        <v>15214</v>
      </c>
      <c r="AU847">
        <v>2013</v>
      </c>
      <c r="AV847">
        <v>36</v>
      </c>
      <c r="AW847">
        <v>1</v>
      </c>
      <c r="AX847" t="s">
        <v>74</v>
      </c>
      <c r="AY847" t="s">
        <v>74</v>
      </c>
      <c r="AZ847" t="s">
        <v>74</v>
      </c>
      <c r="BA847" t="s">
        <v>74</v>
      </c>
      <c r="BB847">
        <v>109</v>
      </c>
      <c r="BC847">
        <v>122</v>
      </c>
      <c r="BD847" t="s">
        <v>74</v>
      </c>
      <c r="BE847" t="s">
        <v>15545</v>
      </c>
      <c r="BF847" t="str">
        <f>HYPERLINK("http://dx.doi.org/10.1080/01490419.2012.699504","http://dx.doi.org/10.1080/01490419.2012.699504")</f>
        <v>http://dx.doi.org/10.1080/01490419.2012.699504</v>
      </c>
      <c r="BG847" t="s">
        <v>74</v>
      </c>
      <c r="BH847" t="s">
        <v>74</v>
      </c>
      <c r="BI847">
        <v>14</v>
      </c>
      <c r="BJ847" t="s">
        <v>15546</v>
      </c>
      <c r="BK847" t="s">
        <v>102</v>
      </c>
      <c r="BL847" t="s">
        <v>15546</v>
      </c>
      <c r="BM847" t="s">
        <v>15547</v>
      </c>
      <c r="BN847" t="s">
        <v>74</v>
      </c>
      <c r="BO847" t="s">
        <v>74</v>
      </c>
      <c r="BP847" t="s">
        <v>74</v>
      </c>
      <c r="BQ847" t="s">
        <v>74</v>
      </c>
      <c r="BR847" t="s">
        <v>105</v>
      </c>
      <c r="BS847" t="s">
        <v>15548</v>
      </c>
      <c r="BT847" t="str">
        <f>HYPERLINK("https%3A%2F%2Fwww.webofscience.com%2Fwos%2Fwoscc%2Ffull-record%2FWOS:000315986700007","View Full Record in Web of Science")</f>
        <v>View Full Record in Web of Science</v>
      </c>
    </row>
    <row r="848" spans="1:72" x14ac:dyDescent="0.15">
      <c r="A848" t="s">
        <v>72</v>
      </c>
      <c r="B848" t="s">
        <v>15549</v>
      </c>
      <c r="C848" t="s">
        <v>74</v>
      </c>
      <c r="D848" t="s">
        <v>74</v>
      </c>
      <c r="E848" t="s">
        <v>74</v>
      </c>
      <c r="F848" t="s">
        <v>15550</v>
      </c>
      <c r="G848" t="s">
        <v>74</v>
      </c>
      <c r="H848" t="s">
        <v>74</v>
      </c>
      <c r="I848" t="s">
        <v>15551</v>
      </c>
      <c r="J848" t="s">
        <v>4690</v>
      </c>
      <c r="K848" t="s">
        <v>74</v>
      </c>
      <c r="L848" t="s">
        <v>74</v>
      </c>
      <c r="M848" t="s">
        <v>78</v>
      </c>
      <c r="N848" t="s">
        <v>1459</v>
      </c>
      <c r="O848" t="s">
        <v>74</v>
      </c>
      <c r="P848" t="s">
        <v>74</v>
      </c>
      <c r="Q848" t="s">
        <v>74</v>
      </c>
      <c r="R848" t="s">
        <v>74</v>
      </c>
      <c r="S848" t="s">
        <v>74</v>
      </c>
      <c r="T848" t="s">
        <v>15552</v>
      </c>
      <c r="U848" t="s">
        <v>15553</v>
      </c>
      <c r="V848" t="s">
        <v>15554</v>
      </c>
      <c r="W848" t="s">
        <v>15555</v>
      </c>
      <c r="X848" t="s">
        <v>13551</v>
      </c>
      <c r="Y848" t="s">
        <v>15556</v>
      </c>
      <c r="Z848" t="s">
        <v>15557</v>
      </c>
      <c r="AA848" t="s">
        <v>74</v>
      </c>
      <c r="AB848" t="s">
        <v>74</v>
      </c>
      <c r="AC848" t="s">
        <v>74</v>
      </c>
      <c r="AD848" t="s">
        <v>74</v>
      </c>
      <c r="AE848" t="s">
        <v>74</v>
      </c>
      <c r="AF848" t="s">
        <v>74</v>
      </c>
      <c r="AG848">
        <v>209</v>
      </c>
      <c r="AH848">
        <v>28</v>
      </c>
      <c r="AI848">
        <v>29</v>
      </c>
      <c r="AJ848">
        <v>1</v>
      </c>
      <c r="AK848">
        <v>94</v>
      </c>
      <c r="AL848" t="s">
        <v>506</v>
      </c>
      <c r="AM848" t="s">
        <v>442</v>
      </c>
      <c r="AN848" t="s">
        <v>507</v>
      </c>
      <c r="AO848" t="s">
        <v>4703</v>
      </c>
      <c r="AP848" t="s">
        <v>74</v>
      </c>
      <c r="AQ848" t="s">
        <v>74</v>
      </c>
      <c r="AR848" t="s">
        <v>4704</v>
      </c>
      <c r="AS848" t="s">
        <v>4705</v>
      </c>
      <c r="AT848" t="s">
        <v>15214</v>
      </c>
      <c r="AU848">
        <v>2013</v>
      </c>
      <c r="AV848">
        <v>63</v>
      </c>
      <c r="AW848" t="s">
        <v>74</v>
      </c>
      <c r="AX848" t="s">
        <v>74</v>
      </c>
      <c r="AY848" t="s">
        <v>74</v>
      </c>
      <c r="AZ848" t="s">
        <v>74</v>
      </c>
      <c r="BA848" t="s">
        <v>74</v>
      </c>
      <c r="BB848">
        <v>1</v>
      </c>
      <c r="BC848">
        <v>22</v>
      </c>
      <c r="BD848" t="s">
        <v>74</v>
      </c>
      <c r="BE848" t="s">
        <v>15558</v>
      </c>
      <c r="BF848" t="str">
        <f>HYPERLINK("http://dx.doi.org/10.1016/j.quascirev.2012.11.023","http://dx.doi.org/10.1016/j.quascirev.2012.11.023")</f>
        <v>http://dx.doi.org/10.1016/j.quascirev.2012.11.023</v>
      </c>
      <c r="BG848" t="s">
        <v>74</v>
      </c>
      <c r="BH848" t="s">
        <v>74</v>
      </c>
      <c r="BI848">
        <v>22</v>
      </c>
      <c r="BJ848" t="s">
        <v>650</v>
      </c>
      <c r="BK848" t="s">
        <v>102</v>
      </c>
      <c r="BL848" t="s">
        <v>651</v>
      </c>
      <c r="BM848" t="s">
        <v>15559</v>
      </c>
      <c r="BN848" t="s">
        <v>74</v>
      </c>
      <c r="BO848" t="s">
        <v>74</v>
      </c>
      <c r="BP848" t="s">
        <v>74</v>
      </c>
      <c r="BQ848" t="s">
        <v>74</v>
      </c>
      <c r="BR848" t="s">
        <v>105</v>
      </c>
      <c r="BS848" t="s">
        <v>15560</v>
      </c>
      <c r="BT848" t="str">
        <f>HYPERLINK("https%3A%2F%2Fwww.webofscience.com%2Fwos%2Fwoscc%2Ffull-record%2FWOS:000316043400001","View Full Record in Web of Science")</f>
        <v>View Full Record in Web of Science</v>
      </c>
    </row>
    <row r="849" spans="1:72" x14ac:dyDescent="0.15">
      <c r="A849" t="s">
        <v>72</v>
      </c>
      <c r="B849" t="s">
        <v>15561</v>
      </c>
      <c r="C849" t="s">
        <v>74</v>
      </c>
      <c r="D849" t="s">
        <v>74</v>
      </c>
      <c r="E849" t="s">
        <v>74</v>
      </c>
      <c r="F849" t="s">
        <v>15562</v>
      </c>
      <c r="G849" t="s">
        <v>74</v>
      </c>
      <c r="H849" t="s">
        <v>74</v>
      </c>
      <c r="I849" t="s">
        <v>15563</v>
      </c>
      <c r="J849" t="s">
        <v>4690</v>
      </c>
      <c r="K849" t="s">
        <v>74</v>
      </c>
      <c r="L849" t="s">
        <v>74</v>
      </c>
      <c r="M849" t="s">
        <v>78</v>
      </c>
      <c r="N849" t="s">
        <v>79</v>
      </c>
      <c r="O849" t="s">
        <v>74</v>
      </c>
      <c r="P849" t="s">
        <v>74</v>
      </c>
      <c r="Q849" t="s">
        <v>74</v>
      </c>
      <c r="R849" t="s">
        <v>74</v>
      </c>
      <c r="S849" t="s">
        <v>74</v>
      </c>
      <c r="T849" t="s">
        <v>15564</v>
      </c>
      <c r="U849" t="s">
        <v>15565</v>
      </c>
      <c r="V849" t="s">
        <v>15566</v>
      </c>
      <c r="W849" t="s">
        <v>15567</v>
      </c>
      <c r="X849" t="s">
        <v>15568</v>
      </c>
      <c r="Y849" t="s">
        <v>15569</v>
      </c>
      <c r="Z849" t="s">
        <v>15570</v>
      </c>
      <c r="AA849" t="s">
        <v>15571</v>
      </c>
      <c r="AB849" t="s">
        <v>15572</v>
      </c>
      <c r="AC849" t="s">
        <v>15573</v>
      </c>
      <c r="AD849" t="s">
        <v>15574</v>
      </c>
      <c r="AE849" t="s">
        <v>15575</v>
      </c>
      <c r="AF849" t="s">
        <v>74</v>
      </c>
      <c r="AG849">
        <v>59</v>
      </c>
      <c r="AH849">
        <v>47</v>
      </c>
      <c r="AI849">
        <v>53</v>
      </c>
      <c r="AJ849">
        <v>1</v>
      </c>
      <c r="AK849">
        <v>20</v>
      </c>
      <c r="AL849" t="s">
        <v>506</v>
      </c>
      <c r="AM849" t="s">
        <v>442</v>
      </c>
      <c r="AN849" t="s">
        <v>507</v>
      </c>
      <c r="AO849" t="s">
        <v>4703</v>
      </c>
      <c r="AP849" t="s">
        <v>74</v>
      </c>
      <c r="AQ849" t="s">
        <v>74</v>
      </c>
      <c r="AR849" t="s">
        <v>4704</v>
      </c>
      <c r="AS849" t="s">
        <v>4705</v>
      </c>
      <c r="AT849" t="s">
        <v>15214</v>
      </c>
      <c r="AU849">
        <v>2013</v>
      </c>
      <c r="AV849">
        <v>63</v>
      </c>
      <c r="AW849" t="s">
        <v>74</v>
      </c>
      <c r="AX849" t="s">
        <v>74</v>
      </c>
      <c r="AY849" t="s">
        <v>74</v>
      </c>
      <c r="AZ849" t="s">
        <v>74</v>
      </c>
      <c r="BA849" t="s">
        <v>74</v>
      </c>
      <c r="BB849">
        <v>109</v>
      </c>
      <c r="BC849">
        <v>127</v>
      </c>
      <c r="BD849" t="s">
        <v>74</v>
      </c>
      <c r="BE849" t="s">
        <v>15576</v>
      </c>
      <c r="BF849" t="str">
        <f>HYPERLINK("http://dx.doi.org/10.1016/j.quascirev.2012.11.021","http://dx.doi.org/10.1016/j.quascirev.2012.11.021")</f>
        <v>http://dx.doi.org/10.1016/j.quascirev.2012.11.021</v>
      </c>
      <c r="BG849" t="s">
        <v>74</v>
      </c>
      <c r="BH849" t="s">
        <v>74</v>
      </c>
      <c r="BI849">
        <v>19</v>
      </c>
      <c r="BJ849" t="s">
        <v>650</v>
      </c>
      <c r="BK849" t="s">
        <v>102</v>
      </c>
      <c r="BL849" t="s">
        <v>651</v>
      </c>
      <c r="BM849" t="s">
        <v>15559</v>
      </c>
      <c r="BN849" t="s">
        <v>74</v>
      </c>
      <c r="BO849" t="s">
        <v>74</v>
      </c>
      <c r="BP849" t="s">
        <v>74</v>
      </c>
      <c r="BQ849" t="s">
        <v>74</v>
      </c>
      <c r="BR849" t="s">
        <v>105</v>
      </c>
      <c r="BS849" t="s">
        <v>15577</v>
      </c>
      <c r="BT849" t="str">
        <f>HYPERLINK("https%3A%2F%2Fwww.webofscience.com%2Fwos%2Fwoscc%2Ffull-record%2FWOS:000316043400008","View Full Record in Web of Science")</f>
        <v>View Full Record in Web of Science</v>
      </c>
    </row>
    <row r="850" spans="1:72" x14ac:dyDescent="0.15">
      <c r="A850" t="s">
        <v>72</v>
      </c>
      <c r="B850" t="s">
        <v>15578</v>
      </c>
      <c r="C850" t="s">
        <v>74</v>
      </c>
      <c r="D850" t="s">
        <v>74</v>
      </c>
      <c r="E850" t="s">
        <v>74</v>
      </c>
      <c r="F850" t="s">
        <v>15579</v>
      </c>
      <c r="G850" t="s">
        <v>74</v>
      </c>
      <c r="H850" t="s">
        <v>74</v>
      </c>
      <c r="I850" t="s">
        <v>15580</v>
      </c>
      <c r="J850" t="s">
        <v>4690</v>
      </c>
      <c r="K850" t="s">
        <v>74</v>
      </c>
      <c r="L850" t="s">
        <v>74</v>
      </c>
      <c r="M850" t="s">
        <v>78</v>
      </c>
      <c r="N850" t="s">
        <v>79</v>
      </c>
      <c r="O850" t="s">
        <v>74</v>
      </c>
      <c r="P850" t="s">
        <v>74</v>
      </c>
      <c r="Q850" t="s">
        <v>74</v>
      </c>
      <c r="R850" t="s">
        <v>74</v>
      </c>
      <c r="S850" t="s">
        <v>74</v>
      </c>
      <c r="T850" t="s">
        <v>15581</v>
      </c>
      <c r="U850" t="s">
        <v>15582</v>
      </c>
      <c r="V850" t="s">
        <v>15583</v>
      </c>
      <c r="W850" t="s">
        <v>15584</v>
      </c>
      <c r="X850" t="s">
        <v>15585</v>
      </c>
      <c r="Y850" t="s">
        <v>15586</v>
      </c>
      <c r="Z850" t="s">
        <v>15587</v>
      </c>
      <c r="AA850" t="s">
        <v>15588</v>
      </c>
      <c r="AB850" t="s">
        <v>15589</v>
      </c>
      <c r="AC850" t="s">
        <v>15590</v>
      </c>
      <c r="AD850" t="s">
        <v>15591</v>
      </c>
      <c r="AE850" t="s">
        <v>15592</v>
      </c>
      <c r="AF850" t="s">
        <v>74</v>
      </c>
      <c r="AG850">
        <v>58</v>
      </c>
      <c r="AH850">
        <v>60</v>
      </c>
      <c r="AI850">
        <v>68</v>
      </c>
      <c r="AJ850">
        <v>0</v>
      </c>
      <c r="AK850">
        <v>34</v>
      </c>
      <c r="AL850" t="s">
        <v>506</v>
      </c>
      <c r="AM850" t="s">
        <v>442</v>
      </c>
      <c r="AN850" t="s">
        <v>507</v>
      </c>
      <c r="AO850" t="s">
        <v>4703</v>
      </c>
      <c r="AP850" t="s">
        <v>74</v>
      </c>
      <c r="AQ850" t="s">
        <v>74</v>
      </c>
      <c r="AR850" t="s">
        <v>4704</v>
      </c>
      <c r="AS850" t="s">
        <v>4705</v>
      </c>
      <c r="AT850" t="s">
        <v>15214</v>
      </c>
      <c r="AU850">
        <v>2013</v>
      </c>
      <c r="AV850">
        <v>63</v>
      </c>
      <c r="AW850" t="s">
        <v>74</v>
      </c>
      <c r="AX850" t="s">
        <v>74</v>
      </c>
      <c r="AY850" t="s">
        <v>74</v>
      </c>
      <c r="AZ850" t="s">
        <v>74</v>
      </c>
      <c r="BA850" t="s">
        <v>74</v>
      </c>
      <c r="BB850">
        <v>128</v>
      </c>
      <c r="BC850">
        <v>140</v>
      </c>
      <c r="BD850" t="s">
        <v>74</v>
      </c>
      <c r="BE850" t="s">
        <v>15593</v>
      </c>
      <c r="BF850" t="str">
        <f>HYPERLINK("http://dx.doi.org/10.1016/j.quascirev.2012.11.012","http://dx.doi.org/10.1016/j.quascirev.2012.11.012")</f>
        <v>http://dx.doi.org/10.1016/j.quascirev.2012.11.012</v>
      </c>
      <c r="BG850" t="s">
        <v>74</v>
      </c>
      <c r="BH850" t="s">
        <v>74</v>
      </c>
      <c r="BI850">
        <v>13</v>
      </c>
      <c r="BJ850" t="s">
        <v>650</v>
      </c>
      <c r="BK850" t="s">
        <v>102</v>
      </c>
      <c r="BL850" t="s">
        <v>651</v>
      </c>
      <c r="BM850" t="s">
        <v>15559</v>
      </c>
      <c r="BN850" t="s">
        <v>74</v>
      </c>
      <c r="BO850" t="s">
        <v>74</v>
      </c>
      <c r="BP850" t="s">
        <v>74</v>
      </c>
      <c r="BQ850" t="s">
        <v>74</v>
      </c>
      <c r="BR850" t="s">
        <v>105</v>
      </c>
      <c r="BS850" t="s">
        <v>15594</v>
      </c>
      <c r="BT850" t="str">
        <f>HYPERLINK("https%3A%2F%2Fwww.webofscience.com%2Fwos%2Fwoscc%2Ffull-record%2FWOS:000316043400009","View Full Record in Web of Science")</f>
        <v>View Full Record in Web of Science</v>
      </c>
    </row>
    <row r="851" spans="1:72" x14ac:dyDescent="0.15">
      <c r="A851" t="s">
        <v>72</v>
      </c>
      <c r="B851" t="s">
        <v>15595</v>
      </c>
      <c r="C851" t="s">
        <v>74</v>
      </c>
      <c r="D851" t="s">
        <v>74</v>
      </c>
      <c r="E851" t="s">
        <v>74</v>
      </c>
      <c r="F851" t="s">
        <v>15596</v>
      </c>
      <c r="G851" t="s">
        <v>74</v>
      </c>
      <c r="H851" t="s">
        <v>74</v>
      </c>
      <c r="I851" t="s">
        <v>15597</v>
      </c>
      <c r="J851" t="s">
        <v>15598</v>
      </c>
      <c r="K851" t="s">
        <v>74</v>
      </c>
      <c r="L851" t="s">
        <v>74</v>
      </c>
      <c r="M851" t="s">
        <v>78</v>
      </c>
      <c r="N851" t="s">
        <v>79</v>
      </c>
      <c r="O851" t="s">
        <v>74</v>
      </c>
      <c r="P851" t="s">
        <v>74</v>
      </c>
      <c r="Q851" t="s">
        <v>74</v>
      </c>
      <c r="R851" t="s">
        <v>74</v>
      </c>
      <c r="S851" t="s">
        <v>74</v>
      </c>
      <c r="T851" t="s">
        <v>15599</v>
      </c>
      <c r="U851" t="s">
        <v>15600</v>
      </c>
      <c r="V851" t="s">
        <v>15601</v>
      </c>
      <c r="W851" t="s">
        <v>15602</v>
      </c>
      <c r="X851" t="s">
        <v>15603</v>
      </c>
      <c r="Y851" t="s">
        <v>15604</v>
      </c>
      <c r="Z851" t="s">
        <v>15605</v>
      </c>
      <c r="AA851" t="s">
        <v>15606</v>
      </c>
      <c r="AB851" t="s">
        <v>74</v>
      </c>
      <c r="AC851" t="s">
        <v>15607</v>
      </c>
      <c r="AD851" t="s">
        <v>15608</v>
      </c>
      <c r="AE851" t="s">
        <v>15609</v>
      </c>
      <c r="AF851" t="s">
        <v>74</v>
      </c>
      <c r="AG851">
        <v>33</v>
      </c>
      <c r="AH851">
        <v>2</v>
      </c>
      <c r="AI851">
        <v>5</v>
      </c>
      <c r="AJ851">
        <v>1</v>
      </c>
      <c r="AK851">
        <v>19</v>
      </c>
      <c r="AL851" t="s">
        <v>212</v>
      </c>
      <c r="AM851" t="s">
        <v>213</v>
      </c>
      <c r="AN851" t="s">
        <v>15610</v>
      </c>
      <c r="AO851" t="s">
        <v>15611</v>
      </c>
      <c r="AP851" t="s">
        <v>74</v>
      </c>
      <c r="AQ851" t="s">
        <v>74</v>
      </c>
      <c r="AR851" t="s">
        <v>15612</v>
      </c>
      <c r="AS851" t="s">
        <v>15613</v>
      </c>
      <c r="AT851" t="s">
        <v>14886</v>
      </c>
      <c r="AU851">
        <v>2013</v>
      </c>
      <c r="AV851">
        <v>31</v>
      </c>
      <c r="AW851">
        <v>2</v>
      </c>
      <c r="AX851" t="s">
        <v>74</v>
      </c>
      <c r="AY851" t="s">
        <v>74</v>
      </c>
      <c r="AZ851" t="s">
        <v>74</v>
      </c>
      <c r="BA851" t="s">
        <v>74</v>
      </c>
      <c r="BB851">
        <v>445</v>
      </c>
      <c r="BC851">
        <v>453</v>
      </c>
      <c r="BD851" t="s">
        <v>74</v>
      </c>
      <c r="BE851" t="s">
        <v>15614</v>
      </c>
      <c r="BF851" t="str">
        <f>HYPERLINK("http://dx.doi.org/10.1007/s00343-013-2040-3","http://dx.doi.org/10.1007/s00343-013-2040-3")</f>
        <v>http://dx.doi.org/10.1007/s00343-013-2040-3</v>
      </c>
      <c r="BG851" t="s">
        <v>74</v>
      </c>
      <c r="BH851" t="s">
        <v>74</v>
      </c>
      <c r="BI851">
        <v>9</v>
      </c>
      <c r="BJ851" t="s">
        <v>3205</v>
      </c>
      <c r="BK851" t="s">
        <v>102</v>
      </c>
      <c r="BL851" t="s">
        <v>3206</v>
      </c>
      <c r="BM851" t="s">
        <v>15615</v>
      </c>
      <c r="BN851" t="s">
        <v>74</v>
      </c>
      <c r="BO851" t="s">
        <v>74</v>
      </c>
      <c r="BP851" t="s">
        <v>74</v>
      </c>
      <c r="BQ851" t="s">
        <v>74</v>
      </c>
      <c r="BR851" t="s">
        <v>105</v>
      </c>
      <c r="BS851" t="s">
        <v>15616</v>
      </c>
      <c r="BT851" t="str">
        <f>HYPERLINK("https%3A%2F%2Fwww.webofscience.com%2Fwos%2Fwoscc%2Ffull-record%2FWOS:000316018300022","View Full Record in Web of Science")</f>
        <v>View Full Record in Web of Science</v>
      </c>
    </row>
    <row r="852" spans="1:72" x14ac:dyDescent="0.15">
      <c r="A852" t="s">
        <v>72</v>
      </c>
      <c r="B852" t="s">
        <v>15617</v>
      </c>
      <c r="C852" t="s">
        <v>74</v>
      </c>
      <c r="D852" t="s">
        <v>74</v>
      </c>
      <c r="E852" t="s">
        <v>74</v>
      </c>
      <c r="F852" t="s">
        <v>15618</v>
      </c>
      <c r="G852" t="s">
        <v>74</v>
      </c>
      <c r="H852" t="s">
        <v>74</v>
      </c>
      <c r="I852" t="s">
        <v>15619</v>
      </c>
      <c r="J852" t="s">
        <v>2854</v>
      </c>
      <c r="K852" t="s">
        <v>74</v>
      </c>
      <c r="L852" t="s">
        <v>74</v>
      </c>
      <c r="M852" t="s">
        <v>78</v>
      </c>
      <c r="N852" t="s">
        <v>79</v>
      </c>
      <c r="O852" t="s">
        <v>74</v>
      </c>
      <c r="P852" t="s">
        <v>74</v>
      </c>
      <c r="Q852" t="s">
        <v>74</v>
      </c>
      <c r="R852" t="s">
        <v>74</v>
      </c>
      <c r="S852" t="s">
        <v>74</v>
      </c>
      <c r="T852" t="s">
        <v>15620</v>
      </c>
      <c r="U852" t="s">
        <v>15621</v>
      </c>
      <c r="V852" t="s">
        <v>15622</v>
      </c>
      <c r="W852" t="s">
        <v>15623</v>
      </c>
      <c r="X852" t="s">
        <v>15624</v>
      </c>
      <c r="Y852" t="s">
        <v>15625</v>
      </c>
      <c r="Z852" t="s">
        <v>15626</v>
      </c>
      <c r="AA852" t="s">
        <v>15627</v>
      </c>
      <c r="AB852" t="s">
        <v>15628</v>
      </c>
      <c r="AC852" t="s">
        <v>15629</v>
      </c>
      <c r="AD852" t="s">
        <v>904</v>
      </c>
      <c r="AE852" t="s">
        <v>15630</v>
      </c>
      <c r="AF852" t="s">
        <v>74</v>
      </c>
      <c r="AG852">
        <v>77</v>
      </c>
      <c r="AH852">
        <v>20</v>
      </c>
      <c r="AI852">
        <v>23</v>
      </c>
      <c r="AJ852">
        <v>0</v>
      </c>
      <c r="AK852">
        <v>8</v>
      </c>
      <c r="AL852" t="s">
        <v>368</v>
      </c>
      <c r="AM852" t="s">
        <v>369</v>
      </c>
      <c r="AN852" t="s">
        <v>370</v>
      </c>
      <c r="AO852" t="s">
        <v>2863</v>
      </c>
      <c r="AP852" t="s">
        <v>2864</v>
      </c>
      <c r="AQ852" t="s">
        <v>74</v>
      </c>
      <c r="AR852" t="s">
        <v>2865</v>
      </c>
      <c r="AS852" t="s">
        <v>2866</v>
      </c>
      <c r="AT852" t="s">
        <v>15631</v>
      </c>
      <c r="AU852">
        <v>2013</v>
      </c>
      <c r="AV852">
        <v>48</v>
      </c>
      <c r="AW852" t="s">
        <v>15632</v>
      </c>
      <c r="AX852" t="s">
        <v>74</v>
      </c>
      <c r="AY852" t="s">
        <v>74</v>
      </c>
      <c r="AZ852" t="s">
        <v>74</v>
      </c>
      <c r="BA852" t="s">
        <v>74</v>
      </c>
      <c r="BB852">
        <v>114</v>
      </c>
      <c r="BC852">
        <v>125</v>
      </c>
      <c r="BD852" t="s">
        <v>74</v>
      </c>
      <c r="BE852" t="s">
        <v>15633</v>
      </c>
      <c r="BF852" t="str">
        <f>HYPERLINK("http://dx.doi.org/10.1002/gj.2415","http://dx.doi.org/10.1002/gj.2415")</f>
        <v>http://dx.doi.org/10.1002/gj.2415</v>
      </c>
      <c r="BG852" t="s">
        <v>74</v>
      </c>
      <c r="BH852" t="s">
        <v>74</v>
      </c>
      <c r="BI852">
        <v>12</v>
      </c>
      <c r="BJ852" t="s">
        <v>1426</v>
      </c>
      <c r="BK852" t="s">
        <v>102</v>
      </c>
      <c r="BL852" t="s">
        <v>219</v>
      </c>
      <c r="BM852" t="s">
        <v>15634</v>
      </c>
      <c r="BN852" t="s">
        <v>74</v>
      </c>
      <c r="BO852" t="s">
        <v>426</v>
      </c>
      <c r="BP852" t="s">
        <v>74</v>
      </c>
      <c r="BQ852" t="s">
        <v>74</v>
      </c>
      <c r="BR852" t="s">
        <v>105</v>
      </c>
      <c r="BS852" t="s">
        <v>15635</v>
      </c>
      <c r="BT852" t="str">
        <f>HYPERLINK("https%3A%2F%2Fwww.webofscience.com%2Fwos%2Fwoscc%2Ffull-record%2FWOS:000315693600002","View Full Record in Web of Science")</f>
        <v>View Full Record in Web of Science</v>
      </c>
    </row>
    <row r="853" spans="1:72" x14ac:dyDescent="0.15">
      <c r="A853" t="s">
        <v>72</v>
      </c>
      <c r="B853" t="s">
        <v>15636</v>
      </c>
      <c r="C853" t="s">
        <v>74</v>
      </c>
      <c r="D853" t="s">
        <v>74</v>
      </c>
      <c r="E853" t="s">
        <v>74</v>
      </c>
      <c r="F853" t="s">
        <v>15637</v>
      </c>
      <c r="G853" t="s">
        <v>74</v>
      </c>
      <c r="H853" t="s">
        <v>74</v>
      </c>
      <c r="I853" t="s">
        <v>15638</v>
      </c>
      <c r="J853" t="s">
        <v>15639</v>
      </c>
      <c r="K853" t="s">
        <v>74</v>
      </c>
      <c r="L853" t="s">
        <v>74</v>
      </c>
      <c r="M853" t="s">
        <v>78</v>
      </c>
      <c r="N853" t="s">
        <v>79</v>
      </c>
      <c r="O853" t="s">
        <v>74</v>
      </c>
      <c r="P853" t="s">
        <v>74</v>
      </c>
      <c r="Q853" t="s">
        <v>74</v>
      </c>
      <c r="R853" t="s">
        <v>74</v>
      </c>
      <c r="S853" t="s">
        <v>74</v>
      </c>
      <c r="T853" t="s">
        <v>15640</v>
      </c>
      <c r="U853" t="s">
        <v>15641</v>
      </c>
      <c r="V853" t="s">
        <v>15642</v>
      </c>
      <c r="W853" t="s">
        <v>15643</v>
      </c>
      <c r="X853" t="s">
        <v>15644</v>
      </c>
      <c r="Y853" t="s">
        <v>15645</v>
      </c>
      <c r="Z853" t="s">
        <v>15646</v>
      </c>
      <c r="AA853" t="s">
        <v>15647</v>
      </c>
      <c r="AB853" t="s">
        <v>15648</v>
      </c>
      <c r="AC853" t="s">
        <v>15649</v>
      </c>
      <c r="AD853" t="s">
        <v>15650</v>
      </c>
      <c r="AE853" t="s">
        <v>15651</v>
      </c>
      <c r="AF853" t="s">
        <v>74</v>
      </c>
      <c r="AG853">
        <v>66</v>
      </c>
      <c r="AH853">
        <v>26</v>
      </c>
      <c r="AI853">
        <v>29</v>
      </c>
      <c r="AJ853">
        <v>2</v>
      </c>
      <c r="AK853">
        <v>54</v>
      </c>
      <c r="AL853" t="s">
        <v>368</v>
      </c>
      <c r="AM853" t="s">
        <v>369</v>
      </c>
      <c r="AN853" t="s">
        <v>370</v>
      </c>
      <c r="AO853" t="s">
        <v>15652</v>
      </c>
      <c r="AP853" t="s">
        <v>15653</v>
      </c>
      <c r="AQ853" t="s">
        <v>74</v>
      </c>
      <c r="AR853" t="s">
        <v>15654</v>
      </c>
      <c r="AS853" t="s">
        <v>15655</v>
      </c>
      <c r="AT853" t="s">
        <v>14886</v>
      </c>
      <c r="AU853">
        <v>2013</v>
      </c>
      <c r="AV853">
        <v>82</v>
      </c>
      <c r="AW853">
        <v>3</v>
      </c>
      <c r="AX853" t="s">
        <v>74</v>
      </c>
      <c r="AY853" t="s">
        <v>74</v>
      </c>
      <c r="AZ853" t="s">
        <v>74</v>
      </c>
      <c r="BA853" t="s">
        <v>74</v>
      </c>
      <c r="BB853">
        <v>764</v>
      </c>
      <c r="BC853">
        <v>788</v>
      </c>
      <c r="BD853" t="s">
        <v>74</v>
      </c>
      <c r="BE853" t="s">
        <v>15656</v>
      </c>
      <c r="BF853" t="str">
        <f>HYPERLINK("http://dx.doi.org/10.1111/jfb.3495","http://dx.doi.org/10.1111/jfb.3495")</f>
        <v>http://dx.doi.org/10.1111/jfb.3495</v>
      </c>
      <c r="BG853" t="s">
        <v>74</v>
      </c>
      <c r="BH853" t="s">
        <v>74</v>
      </c>
      <c r="BI853">
        <v>25</v>
      </c>
      <c r="BJ853" t="s">
        <v>487</v>
      </c>
      <c r="BK853" t="s">
        <v>102</v>
      </c>
      <c r="BL853" t="s">
        <v>487</v>
      </c>
      <c r="BM853" t="s">
        <v>15657</v>
      </c>
      <c r="BN853">
        <v>23464543</v>
      </c>
      <c r="BO853" t="s">
        <v>74</v>
      </c>
      <c r="BP853" t="s">
        <v>74</v>
      </c>
      <c r="BQ853" t="s">
        <v>74</v>
      </c>
      <c r="BR853" t="s">
        <v>105</v>
      </c>
      <c r="BS853" t="s">
        <v>15658</v>
      </c>
      <c r="BT853" t="str">
        <f>HYPERLINK("https%3A%2F%2Fwww.webofscience.com%2Fwos%2Fwoscc%2Ffull-record%2FWOS:000316004400002","View Full Record in Web of Science")</f>
        <v>View Full Record in Web of Science</v>
      </c>
    </row>
    <row r="854" spans="1:72" x14ac:dyDescent="0.15">
      <c r="A854" t="s">
        <v>72</v>
      </c>
      <c r="B854" t="s">
        <v>15659</v>
      </c>
      <c r="C854" t="s">
        <v>74</v>
      </c>
      <c r="D854" t="s">
        <v>74</v>
      </c>
      <c r="E854" t="s">
        <v>74</v>
      </c>
      <c r="F854" t="s">
        <v>15660</v>
      </c>
      <c r="G854" t="s">
        <v>74</v>
      </c>
      <c r="H854" t="s">
        <v>74</v>
      </c>
      <c r="I854" t="s">
        <v>15661</v>
      </c>
      <c r="J854" t="s">
        <v>8560</v>
      </c>
      <c r="K854" t="s">
        <v>74</v>
      </c>
      <c r="L854" t="s">
        <v>74</v>
      </c>
      <c r="M854" t="s">
        <v>78</v>
      </c>
      <c r="N854" t="s">
        <v>79</v>
      </c>
      <c r="O854" t="s">
        <v>74</v>
      </c>
      <c r="P854" t="s">
        <v>74</v>
      </c>
      <c r="Q854" t="s">
        <v>74</v>
      </c>
      <c r="R854" t="s">
        <v>74</v>
      </c>
      <c r="S854" t="s">
        <v>74</v>
      </c>
      <c r="T854" t="s">
        <v>15662</v>
      </c>
      <c r="U854" t="s">
        <v>15663</v>
      </c>
      <c r="V854" t="s">
        <v>15664</v>
      </c>
      <c r="W854" t="s">
        <v>15665</v>
      </c>
      <c r="X854" t="s">
        <v>15666</v>
      </c>
      <c r="Y854" t="s">
        <v>15667</v>
      </c>
      <c r="Z854" t="s">
        <v>15668</v>
      </c>
      <c r="AA854" t="s">
        <v>74</v>
      </c>
      <c r="AB854" t="s">
        <v>74</v>
      </c>
      <c r="AC854" t="s">
        <v>15669</v>
      </c>
      <c r="AD854" t="s">
        <v>15670</v>
      </c>
      <c r="AE854" t="s">
        <v>15671</v>
      </c>
      <c r="AF854" t="s">
        <v>74</v>
      </c>
      <c r="AG854">
        <v>54</v>
      </c>
      <c r="AH854">
        <v>12</v>
      </c>
      <c r="AI854">
        <v>18</v>
      </c>
      <c r="AJ854">
        <v>1</v>
      </c>
      <c r="AK854">
        <v>56</v>
      </c>
      <c r="AL854" t="s">
        <v>154</v>
      </c>
      <c r="AM854" t="s">
        <v>155</v>
      </c>
      <c r="AN854" t="s">
        <v>156</v>
      </c>
      <c r="AO854" t="s">
        <v>8572</v>
      </c>
      <c r="AP854" t="s">
        <v>74</v>
      </c>
      <c r="AQ854" t="s">
        <v>74</v>
      </c>
      <c r="AR854" t="s">
        <v>8560</v>
      </c>
      <c r="AS854" t="s">
        <v>8574</v>
      </c>
      <c r="AT854" t="s">
        <v>14886</v>
      </c>
      <c r="AU854">
        <v>2013</v>
      </c>
      <c r="AV854">
        <v>516</v>
      </c>
      <c r="AW854">
        <v>1</v>
      </c>
      <c r="AX854" t="s">
        <v>74</v>
      </c>
      <c r="AY854" t="s">
        <v>74</v>
      </c>
      <c r="AZ854" t="s">
        <v>74</v>
      </c>
      <c r="BA854" t="s">
        <v>74</v>
      </c>
      <c r="BB854">
        <v>184</v>
      </c>
      <c r="BC854">
        <v>189</v>
      </c>
      <c r="BD854" t="s">
        <v>74</v>
      </c>
      <c r="BE854" t="s">
        <v>15672</v>
      </c>
      <c r="BF854" t="str">
        <f>HYPERLINK("http://dx.doi.org/10.1016/j.gene.2012.11.052","http://dx.doi.org/10.1016/j.gene.2012.11.052")</f>
        <v>http://dx.doi.org/10.1016/j.gene.2012.11.052</v>
      </c>
      <c r="BG854" t="s">
        <v>74</v>
      </c>
      <c r="BH854" t="s">
        <v>74</v>
      </c>
      <c r="BI854">
        <v>6</v>
      </c>
      <c r="BJ854" t="s">
        <v>536</v>
      </c>
      <c r="BK854" t="s">
        <v>102</v>
      </c>
      <c r="BL854" t="s">
        <v>536</v>
      </c>
      <c r="BM854" t="s">
        <v>15673</v>
      </c>
      <c r="BN854">
        <v>23246695</v>
      </c>
      <c r="BO854" t="s">
        <v>74</v>
      </c>
      <c r="BP854" t="s">
        <v>74</v>
      </c>
      <c r="BQ854" t="s">
        <v>74</v>
      </c>
      <c r="BR854" t="s">
        <v>105</v>
      </c>
      <c r="BS854" t="s">
        <v>15674</v>
      </c>
      <c r="BT854" t="str">
        <f>HYPERLINK("https%3A%2F%2Fwww.webofscience.com%2Fwos%2Fwoscc%2Ffull-record%2FWOS:000315367500030","View Full Record in Web of Science")</f>
        <v>View Full Record in Web of Science</v>
      </c>
    </row>
    <row r="855" spans="1:72" x14ac:dyDescent="0.15">
      <c r="A855" t="s">
        <v>72</v>
      </c>
      <c r="B855" t="s">
        <v>15675</v>
      </c>
      <c r="C855" t="s">
        <v>74</v>
      </c>
      <c r="D855" t="s">
        <v>74</v>
      </c>
      <c r="E855" t="s">
        <v>74</v>
      </c>
      <c r="F855" t="s">
        <v>15676</v>
      </c>
      <c r="G855" t="s">
        <v>74</v>
      </c>
      <c r="H855" t="s">
        <v>74</v>
      </c>
      <c r="I855" t="s">
        <v>15677</v>
      </c>
      <c r="J855" t="s">
        <v>6762</v>
      </c>
      <c r="K855" t="s">
        <v>74</v>
      </c>
      <c r="L855" t="s">
        <v>74</v>
      </c>
      <c r="M855" t="s">
        <v>78</v>
      </c>
      <c r="N855" t="s">
        <v>79</v>
      </c>
      <c r="O855" t="s">
        <v>74</v>
      </c>
      <c r="P855" t="s">
        <v>74</v>
      </c>
      <c r="Q855" t="s">
        <v>74</v>
      </c>
      <c r="R855" t="s">
        <v>74</v>
      </c>
      <c r="S855" t="s">
        <v>74</v>
      </c>
      <c r="T855" t="s">
        <v>15678</v>
      </c>
      <c r="U855" t="s">
        <v>15679</v>
      </c>
      <c r="V855" t="s">
        <v>15680</v>
      </c>
      <c r="W855" t="s">
        <v>15681</v>
      </c>
      <c r="X855" t="s">
        <v>15682</v>
      </c>
      <c r="Y855" t="s">
        <v>15683</v>
      </c>
      <c r="Z855" t="s">
        <v>15684</v>
      </c>
      <c r="AA855" t="s">
        <v>15685</v>
      </c>
      <c r="AB855" t="s">
        <v>74</v>
      </c>
      <c r="AC855" t="s">
        <v>74</v>
      </c>
      <c r="AD855" t="s">
        <v>74</v>
      </c>
      <c r="AE855" t="s">
        <v>74</v>
      </c>
      <c r="AF855" t="s">
        <v>74</v>
      </c>
      <c r="AG855">
        <v>40</v>
      </c>
      <c r="AH855">
        <v>9</v>
      </c>
      <c r="AI855">
        <v>10</v>
      </c>
      <c r="AJ855">
        <v>0</v>
      </c>
      <c r="AK855">
        <v>24</v>
      </c>
      <c r="AL855" t="s">
        <v>15686</v>
      </c>
      <c r="AM855" t="s">
        <v>643</v>
      </c>
      <c r="AN855" t="s">
        <v>15687</v>
      </c>
      <c r="AO855" t="s">
        <v>6775</v>
      </c>
      <c r="AP855" t="s">
        <v>7651</v>
      </c>
      <c r="AQ855" t="s">
        <v>74</v>
      </c>
      <c r="AR855" t="s">
        <v>6776</v>
      </c>
      <c r="AS855" t="s">
        <v>6777</v>
      </c>
      <c r="AT855" t="s">
        <v>14886</v>
      </c>
      <c r="AU855">
        <v>2013</v>
      </c>
      <c r="AV855">
        <v>67</v>
      </c>
      <c r="AW855">
        <v>1</v>
      </c>
      <c r="AX855" t="s">
        <v>74</v>
      </c>
      <c r="AY855" t="s">
        <v>74</v>
      </c>
      <c r="AZ855" t="s">
        <v>74</v>
      </c>
      <c r="BA855" t="s">
        <v>74</v>
      </c>
      <c r="BB855">
        <v>33</v>
      </c>
      <c r="BC855">
        <v>48</v>
      </c>
      <c r="BD855" t="s">
        <v>74</v>
      </c>
      <c r="BE855" t="s">
        <v>15688</v>
      </c>
      <c r="BF855" t="str">
        <f>HYPERLINK("http://dx.doi.org/10.1007/s10152-012-0302-7","http://dx.doi.org/10.1007/s10152-012-0302-7")</f>
        <v>http://dx.doi.org/10.1007/s10152-012-0302-7</v>
      </c>
      <c r="BG855" t="s">
        <v>74</v>
      </c>
      <c r="BH855" t="s">
        <v>74</v>
      </c>
      <c r="BI855">
        <v>16</v>
      </c>
      <c r="BJ855" t="s">
        <v>3206</v>
      </c>
      <c r="BK855" t="s">
        <v>102</v>
      </c>
      <c r="BL855" t="s">
        <v>3206</v>
      </c>
      <c r="BM855" t="s">
        <v>15689</v>
      </c>
      <c r="BN855" t="s">
        <v>74</v>
      </c>
      <c r="BO855" t="s">
        <v>104</v>
      </c>
      <c r="BP855" t="s">
        <v>74</v>
      </c>
      <c r="BQ855" t="s">
        <v>74</v>
      </c>
      <c r="BR855" t="s">
        <v>105</v>
      </c>
      <c r="BS855" t="s">
        <v>15690</v>
      </c>
      <c r="BT855" t="str">
        <f>HYPERLINK("https%3A%2F%2Fwww.webofscience.com%2Fwos%2Fwoscc%2Ffull-record%2FWOS:000315444300003","View Full Record in Web of Science")</f>
        <v>View Full Record in Web of Science</v>
      </c>
    </row>
    <row r="856" spans="1:72" x14ac:dyDescent="0.15">
      <c r="A856" t="s">
        <v>72</v>
      </c>
      <c r="B856" t="s">
        <v>15691</v>
      </c>
      <c r="C856" t="s">
        <v>74</v>
      </c>
      <c r="D856" t="s">
        <v>74</v>
      </c>
      <c r="E856" t="s">
        <v>74</v>
      </c>
      <c r="F856" t="s">
        <v>15692</v>
      </c>
      <c r="G856" t="s">
        <v>74</v>
      </c>
      <c r="H856" t="s">
        <v>74</v>
      </c>
      <c r="I856" t="s">
        <v>15693</v>
      </c>
      <c r="J856" t="s">
        <v>15694</v>
      </c>
      <c r="K856" t="s">
        <v>74</v>
      </c>
      <c r="L856" t="s">
        <v>74</v>
      </c>
      <c r="M856" t="s">
        <v>78</v>
      </c>
      <c r="N856" t="s">
        <v>79</v>
      </c>
      <c r="O856" t="s">
        <v>74</v>
      </c>
      <c r="P856" t="s">
        <v>74</v>
      </c>
      <c r="Q856" t="s">
        <v>74</v>
      </c>
      <c r="R856" t="s">
        <v>74</v>
      </c>
      <c r="S856" t="s">
        <v>74</v>
      </c>
      <c r="T856" t="s">
        <v>15695</v>
      </c>
      <c r="U856" t="s">
        <v>15696</v>
      </c>
      <c r="V856" t="s">
        <v>15697</v>
      </c>
      <c r="W856" t="s">
        <v>15698</v>
      </c>
      <c r="X856" t="s">
        <v>15699</v>
      </c>
      <c r="Y856" t="s">
        <v>15700</v>
      </c>
      <c r="Z856" t="s">
        <v>15701</v>
      </c>
      <c r="AA856" t="s">
        <v>15702</v>
      </c>
      <c r="AB856" t="s">
        <v>15703</v>
      </c>
      <c r="AC856" t="s">
        <v>15704</v>
      </c>
      <c r="AD856" t="s">
        <v>15705</v>
      </c>
      <c r="AE856" t="s">
        <v>15706</v>
      </c>
      <c r="AF856" t="s">
        <v>74</v>
      </c>
      <c r="AG856">
        <v>54</v>
      </c>
      <c r="AH856">
        <v>11</v>
      </c>
      <c r="AI856">
        <v>15</v>
      </c>
      <c r="AJ856">
        <v>2</v>
      </c>
      <c r="AK856">
        <v>53</v>
      </c>
      <c r="AL856" t="s">
        <v>368</v>
      </c>
      <c r="AM856" t="s">
        <v>369</v>
      </c>
      <c r="AN856" t="s">
        <v>370</v>
      </c>
      <c r="AO856" t="s">
        <v>15707</v>
      </c>
      <c r="AP856" t="s">
        <v>15708</v>
      </c>
      <c r="AQ856" t="s">
        <v>74</v>
      </c>
      <c r="AR856" t="s">
        <v>15709</v>
      </c>
      <c r="AS856" t="s">
        <v>15710</v>
      </c>
      <c r="AT856" t="s">
        <v>14886</v>
      </c>
      <c r="AU856">
        <v>2013</v>
      </c>
      <c r="AV856">
        <v>34</v>
      </c>
      <c r="AW856">
        <v>1</v>
      </c>
      <c r="AX856" t="s">
        <v>74</v>
      </c>
      <c r="AY856" t="s">
        <v>74</v>
      </c>
      <c r="AZ856" t="s">
        <v>74</v>
      </c>
      <c r="BA856" t="s">
        <v>74</v>
      </c>
      <c r="BB856">
        <v>103</v>
      </c>
      <c r="BC856">
        <v>111</v>
      </c>
      <c r="BD856" t="s">
        <v>74</v>
      </c>
      <c r="BE856" t="s">
        <v>15711</v>
      </c>
      <c r="BF856" t="str">
        <f>HYPERLINK("http://dx.doi.org/10.1111/j.1439-0485.2012.00529.x","http://dx.doi.org/10.1111/j.1439-0485.2012.00529.x")</f>
        <v>http://dx.doi.org/10.1111/j.1439-0485.2012.00529.x</v>
      </c>
      <c r="BG856" t="s">
        <v>74</v>
      </c>
      <c r="BH856" t="s">
        <v>74</v>
      </c>
      <c r="BI856">
        <v>9</v>
      </c>
      <c r="BJ856" t="s">
        <v>1809</v>
      </c>
      <c r="BK856" t="s">
        <v>102</v>
      </c>
      <c r="BL856" t="s">
        <v>1809</v>
      </c>
      <c r="BM856" t="s">
        <v>15712</v>
      </c>
      <c r="BN856" t="s">
        <v>74</v>
      </c>
      <c r="BO856" t="s">
        <v>74</v>
      </c>
      <c r="BP856" t="s">
        <v>74</v>
      </c>
      <c r="BQ856" t="s">
        <v>74</v>
      </c>
      <c r="BR856" t="s">
        <v>105</v>
      </c>
      <c r="BS856" t="s">
        <v>15713</v>
      </c>
      <c r="BT856" t="str">
        <f>HYPERLINK("https%3A%2F%2Fwww.webofscience.com%2Fwos%2Fwoscc%2Ffull-record%2FWOS:000315397400011","View Full Record in Web of Science")</f>
        <v>View Full Record in Web of Science</v>
      </c>
    </row>
    <row r="857" spans="1:72" x14ac:dyDescent="0.15">
      <c r="A857" t="s">
        <v>72</v>
      </c>
      <c r="B857" t="s">
        <v>15714</v>
      </c>
      <c r="C857" t="s">
        <v>74</v>
      </c>
      <c r="D857" t="s">
        <v>74</v>
      </c>
      <c r="E857" t="s">
        <v>74</v>
      </c>
      <c r="F857" t="s">
        <v>15715</v>
      </c>
      <c r="G857" t="s">
        <v>74</v>
      </c>
      <c r="H857" t="s">
        <v>74</v>
      </c>
      <c r="I857" t="s">
        <v>15716</v>
      </c>
      <c r="J857" t="s">
        <v>15717</v>
      </c>
      <c r="K857" t="s">
        <v>74</v>
      </c>
      <c r="L857" t="s">
        <v>74</v>
      </c>
      <c r="M857" t="s">
        <v>78</v>
      </c>
      <c r="N857" t="s">
        <v>79</v>
      </c>
      <c r="O857" t="s">
        <v>74</v>
      </c>
      <c r="P857" t="s">
        <v>74</v>
      </c>
      <c r="Q857" t="s">
        <v>74</v>
      </c>
      <c r="R857" t="s">
        <v>74</v>
      </c>
      <c r="S857" t="s">
        <v>74</v>
      </c>
      <c r="T857" t="s">
        <v>15718</v>
      </c>
      <c r="U857" t="s">
        <v>15719</v>
      </c>
      <c r="V857" t="s">
        <v>15720</v>
      </c>
      <c r="W857" t="s">
        <v>15721</v>
      </c>
      <c r="X857" t="s">
        <v>15722</v>
      </c>
      <c r="Y857" t="s">
        <v>15723</v>
      </c>
      <c r="Z857" t="s">
        <v>15724</v>
      </c>
      <c r="AA857" t="s">
        <v>74</v>
      </c>
      <c r="AB857" t="s">
        <v>15725</v>
      </c>
      <c r="AC857" t="s">
        <v>15726</v>
      </c>
      <c r="AD857" t="s">
        <v>15727</v>
      </c>
      <c r="AE857" t="s">
        <v>15728</v>
      </c>
      <c r="AF857" t="s">
        <v>74</v>
      </c>
      <c r="AG857">
        <v>59</v>
      </c>
      <c r="AH857">
        <v>25</v>
      </c>
      <c r="AI857">
        <v>26</v>
      </c>
      <c r="AJ857">
        <v>0</v>
      </c>
      <c r="AK857">
        <v>88</v>
      </c>
      <c r="AL857" t="s">
        <v>529</v>
      </c>
      <c r="AM857" t="s">
        <v>391</v>
      </c>
      <c r="AN857" t="s">
        <v>1220</v>
      </c>
      <c r="AO857" t="s">
        <v>15729</v>
      </c>
      <c r="AP857" t="s">
        <v>15730</v>
      </c>
      <c r="AQ857" t="s">
        <v>74</v>
      </c>
      <c r="AR857" t="s">
        <v>15717</v>
      </c>
      <c r="AS857" t="s">
        <v>15731</v>
      </c>
      <c r="AT857" t="s">
        <v>14886</v>
      </c>
      <c r="AU857">
        <v>2013</v>
      </c>
      <c r="AV857">
        <v>237</v>
      </c>
      <c r="AW857">
        <v>3</v>
      </c>
      <c r="AX857" t="s">
        <v>74</v>
      </c>
      <c r="AY857" t="s">
        <v>74</v>
      </c>
      <c r="AZ857" t="s">
        <v>74</v>
      </c>
      <c r="BA857" t="s">
        <v>74</v>
      </c>
      <c r="BB857">
        <v>823</v>
      </c>
      <c r="BC857">
        <v>836</v>
      </c>
      <c r="BD857" t="s">
        <v>74</v>
      </c>
      <c r="BE857" t="s">
        <v>15732</v>
      </c>
      <c r="BF857" t="str">
        <f>HYPERLINK("http://dx.doi.org/10.1007/s00425-012-1797-5","http://dx.doi.org/10.1007/s00425-012-1797-5")</f>
        <v>http://dx.doi.org/10.1007/s00425-012-1797-5</v>
      </c>
      <c r="BG857" t="s">
        <v>74</v>
      </c>
      <c r="BH857" t="s">
        <v>74</v>
      </c>
      <c r="BI857">
        <v>14</v>
      </c>
      <c r="BJ857" t="s">
        <v>3795</v>
      </c>
      <c r="BK857" t="s">
        <v>102</v>
      </c>
      <c r="BL857" t="s">
        <v>3795</v>
      </c>
      <c r="BM857" t="s">
        <v>15733</v>
      </c>
      <c r="BN857">
        <v>23135329</v>
      </c>
      <c r="BO857" t="s">
        <v>74</v>
      </c>
      <c r="BP857" t="s">
        <v>74</v>
      </c>
      <c r="BQ857" t="s">
        <v>74</v>
      </c>
      <c r="BR857" t="s">
        <v>105</v>
      </c>
      <c r="BS857" t="s">
        <v>15734</v>
      </c>
      <c r="BT857" t="str">
        <f>HYPERLINK("https%3A%2F%2Fwww.webofscience.com%2Fwos%2Fwoscc%2Ffull-record%2FWOS:000315382900014","View Full Record in Web of Science")</f>
        <v>View Full Record in Web of Science</v>
      </c>
    </row>
    <row r="858" spans="1:72" x14ac:dyDescent="0.15">
      <c r="A858" t="s">
        <v>72</v>
      </c>
      <c r="B858" t="s">
        <v>15735</v>
      </c>
      <c r="C858" t="s">
        <v>74</v>
      </c>
      <c r="D858" t="s">
        <v>74</v>
      </c>
      <c r="E858" t="s">
        <v>74</v>
      </c>
      <c r="F858" t="s">
        <v>15736</v>
      </c>
      <c r="G858" t="s">
        <v>74</v>
      </c>
      <c r="H858" t="s">
        <v>74</v>
      </c>
      <c r="I858" t="s">
        <v>15737</v>
      </c>
      <c r="J858" t="s">
        <v>15738</v>
      </c>
      <c r="K858" t="s">
        <v>74</v>
      </c>
      <c r="L858" t="s">
        <v>74</v>
      </c>
      <c r="M858" t="s">
        <v>78</v>
      </c>
      <c r="N858" t="s">
        <v>79</v>
      </c>
      <c r="O858" t="s">
        <v>74</v>
      </c>
      <c r="P858" t="s">
        <v>74</v>
      </c>
      <c r="Q858" t="s">
        <v>74</v>
      </c>
      <c r="R858" t="s">
        <v>74</v>
      </c>
      <c r="S858" t="s">
        <v>74</v>
      </c>
      <c r="T858" t="s">
        <v>15739</v>
      </c>
      <c r="U858" t="s">
        <v>15740</v>
      </c>
      <c r="V858" t="s">
        <v>15741</v>
      </c>
      <c r="W858" t="s">
        <v>15742</v>
      </c>
      <c r="X858" t="s">
        <v>15743</v>
      </c>
      <c r="Y858" t="s">
        <v>15744</v>
      </c>
      <c r="Z858" t="s">
        <v>15745</v>
      </c>
      <c r="AA858" t="s">
        <v>15746</v>
      </c>
      <c r="AB858" t="s">
        <v>15747</v>
      </c>
      <c r="AC858" t="s">
        <v>15748</v>
      </c>
      <c r="AD858" t="s">
        <v>15748</v>
      </c>
      <c r="AE858" t="s">
        <v>15749</v>
      </c>
      <c r="AF858" t="s">
        <v>74</v>
      </c>
      <c r="AG858">
        <v>32</v>
      </c>
      <c r="AH858">
        <v>5</v>
      </c>
      <c r="AI858">
        <v>5</v>
      </c>
      <c r="AJ858">
        <v>0</v>
      </c>
      <c r="AK858">
        <v>15</v>
      </c>
      <c r="AL858" t="s">
        <v>954</v>
      </c>
      <c r="AM858" t="s">
        <v>955</v>
      </c>
      <c r="AN858" t="s">
        <v>956</v>
      </c>
      <c r="AO858" t="s">
        <v>15750</v>
      </c>
      <c r="AP858" t="s">
        <v>74</v>
      </c>
      <c r="AQ858" t="s">
        <v>74</v>
      </c>
      <c r="AR858" t="s">
        <v>15738</v>
      </c>
      <c r="AS858" t="s">
        <v>15751</v>
      </c>
      <c r="AT858" t="s">
        <v>14886</v>
      </c>
      <c r="AU858">
        <v>2013</v>
      </c>
      <c r="AV858">
        <v>69</v>
      </c>
      <c r="AW858">
        <v>2</v>
      </c>
      <c r="AX858" t="s">
        <v>74</v>
      </c>
      <c r="AY858" t="s">
        <v>74</v>
      </c>
      <c r="AZ858" t="s">
        <v>74</v>
      </c>
      <c r="BA858" t="s">
        <v>74</v>
      </c>
      <c r="BB858">
        <v>186</v>
      </c>
      <c r="BC858">
        <v>193</v>
      </c>
      <c r="BD858" t="s">
        <v>74</v>
      </c>
      <c r="BE858" t="s">
        <v>15752</v>
      </c>
      <c r="BF858" t="str">
        <f>HYPERLINK("http://dx.doi.org/10.1016/j.plasmid.2012.12.002","http://dx.doi.org/10.1016/j.plasmid.2012.12.002")</f>
        <v>http://dx.doi.org/10.1016/j.plasmid.2012.12.002</v>
      </c>
      <c r="BG858" t="s">
        <v>74</v>
      </c>
      <c r="BH858" t="s">
        <v>74</v>
      </c>
      <c r="BI858">
        <v>8</v>
      </c>
      <c r="BJ858" t="s">
        <v>15753</v>
      </c>
      <c r="BK858" t="s">
        <v>102</v>
      </c>
      <c r="BL858" t="s">
        <v>15753</v>
      </c>
      <c r="BM858" t="s">
        <v>15754</v>
      </c>
      <c r="BN858">
        <v>23266397</v>
      </c>
      <c r="BO858" t="s">
        <v>74</v>
      </c>
      <c r="BP858" t="s">
        <v>74</v>
      </c>
      <c r="BQ858" t="s">
        <v>74</v>
      </c>
      <c r="BR858" t="s">
        <v>105</v>
      </c>
      <c r="BS858" t="s">
        <v>15755</v>
      </c>
      <c r="BT858" t="str">
        <f>HYPERLINK("https%3A%2F%2Fwww.webofscience.com%2Fwos%2Fwoscc%2Ffull-record%2FWOS:000315474900008","View Full Record in Web of Science")</f>
        <v>View Full Record in Web of Science</v>
      </c>
    </row>
    <row r="859" spans="1:72" x14ac:dyDescent="0.15">
      <c r="A859" t="s">
        <v>72</v>
      </c>
      <c r="B859" t="s">
        <v>15756</v>
      </c>
      <c r="C859" t="s">
        <v>74</v>
      </c>
      <c r="D859" t="s">
        <v>74</v>
      </c>
      <c r="E859" t="s">
        <v>74</v>
      </c>
      <c r="F859" t="s">
        <v>15757</v>
      </c>
      <c r="G859" t="s">
        <v>74</v>
      </c>
      <c r="H859" t="s">
        <v>74</v>
      </c>
      <c r="I859" t="s">
        <v>15758</v>
      </c>
      <c r="J859" t="s">
        <v>15759</v>
      </c>
      <c r="K859" t="s">
        <v>74</v>
      </c>
      <c r="L859" t="s">
        <v>74</v>
      </c>
      <c r="M859" t="s">
        <v>78</v>
      </c>
      <c r="N859" t="s">
        <v>79</v>
      </c>
      <c r="O859" t="s">
        <v>74</v>
      </c>
      <c r="P859" t="s">
        <v>74</v>
      </c>
      <c r="Q859" t="s">
        <v>74</v>
      </c>
      <c r="R859" t="s">
        <v>74</v>
      </c>
      <c r="S859" t="s">
        <v>74</v>
      </c>
      <c r="T859" t="s">
        <v>15760</v>
      </c>
      <c r="U859" t="s">
        <v>15761</v>
      </c>
      <c r="V859" t="s">
        <v>15762</v>
      </c>
      <c r="W859" t="s">
        <v>15763</v>
      </c>
      <c r="X859" t="s">
        <v>15764</v>
      </c>
      <c r="Y859" t="s">
        <v>15765</v>
      </c>
      <c r="Z859" t="s">
        <v>15766</v>
      </c>
      <c r="AA859" t="s">
        <v>15767</v>
      </c>
      <c r="AB859" t="s">
        <v>15768</v>
      </c>
      <c r="AC859" t="s">
        <v>15769</v>
      </c>
      <c r="AD859" t="s">
        <v>15770</v>
      </c>
      <c r="AE859" t="s">
        <v>15771</v>
      </c>
      <c r="AF859" t="s">
        <v>74</v>
      </c>
      <c r="AG859">
        <v>29</v>
      </c>
      <c r="AH859">
        <v>0</v>
      </c>
      <c r="AI859">
        <v>0</v>
      </c>
      <c r="AJ859">
        <v>1</v>
      </c>
      <c r="AK859">
        <v>63</v>
      </c>
      <c r="AL859" t="s">
        <v>529</v>
      </c>
      <c r="AM859" t="s">
        <v>391</v>
      </c>
      <c r="AN859" t="s">
        <v>530</v>
      </c>
      <c r="AO859" t="s">
        <v>15772</v>
      </c>
      <c r="AP859" t="s">
        <v>15773</v>
      </c>
      <c r="AQ859" t="s">
        <v>74</v>
      </c>
      <c r="AR859" t="s">
        <v>15774</v>
      </c>
      <c r="AS859" t="s">
        <v>15775</v>
      </c>
      <c r="AT859" t="s">
        <v>14886</v>
      </c>
      <c r="AU859">
        <v>2013</v>
      </c>
      <c r="AV859">
        <v>19</v>
      </c>
      <c r="AW859">
        <v>2</v>
      </c>
      <c r="AX859" t="s">
        <v>74</v>
      </c>
      <c r="AY859" t="s">
        <v>74</v>
      </c>
      <c r="AZ859" t="s">
        <v>74</v>
      </c>
      <c r="BA859" t="s">
        <v>74</v>
      </c>
      <c r="BB859">
        <v>135</v>
      </c>
      <c r="BC859">
        <v>145</v>
      </c>
      <c r="BD859" t="s">
        <v>74</v>
      </c>
      <c r="BE859" t="s">
        <v>15776</v>
      </c>
      <c r="BF859" t="str">
        <f>HYPERLINK("http://dx.doi.org/10.1007/s10498-012-9184-1","http://dx.doi.org/10.1007/s10498-012-9184-1")</f>
        <v>http://dx.doi.org/10.1007/s10498-012-9184-1</v>
      </c>
      <c r="BG859" t="s">
        <v>74</v>
      </c>
      <c r="BH859" t="s">
        <v>74</v>
      </c>
      <c r="BI859">
        <v>11</v>
      </c>
      <c r="BJ859" t="s">
        <v>766</v>
      </c>
      <c r="BK859" t="s">
        <v>102</v>
      </c>
      <c r="BL859" t="s">
        <v>766</v>
      </c>
      <c r="BM859" t="s">
        <v>15777</v>
      </c>
      <c r="BN859" t="s">
        <v>74</v>
      </c>
      <c r="BO859" t="s">
        <v>74</v>
      </c>
      <c r="BP859" t="s">
        <v>74</v>
      </c>
      <c r="BQ859" t="s">
        <v>74</v>
      </c>
      <c r="BR859" t="s">
        <v>105</v>
      </c>
      <c r="BS859" t="s">
        <v>15778</v>
      </c>
      <c r="BT859" t="str">
        <f>HYPERLINK("https%3A%2F%2Fwww.webofscience.com%2Fwos%2Fwoscc%2Ffull-record%2FWOS:000315333400003","View Full Record in Web of Science")</f>
        <v>View Full Record in Web of Science</v>
      </c>
    </row>
    <row r="860" spans="1:72" x14ac:dyDescent="0.15">
      <c r="A860" t="s">
        <v>72</v>
      </c>
      <c r="B860" t="s">
        <v>15779</v>
      </c>
      <c r="C860" t="s">
        <v>74</v>
      </c>
      <c r="D860" t="s">
        <v>74</v>
      </c>
      <c r="E860" t="s">
        <v>74</v>
      </c>
      <c r="F860" t="s">
        <v>15780</v>
      </c>
      <c r="G860" t="s">
        <v>74</v>
      </c>
      <c r="H860" t="s">
        <v>74</v>
      </c>
      <c r="I860" t="s">
        <v>15781</v>
      </c>
      <c r="J860" t="s">
        <v>15782</v>
      </c>
      <c r="K860" t="s">
        <v>74</v>
      </c>
      <c r="L860" t="s">
        <v>74</v>
      </c>
      <c r="M860" t="s">
        <v>78</v>
      </c>
      <c r="N860" t="s">
        <v>79</v>
      </c>
      <c r="O860" t="s">
        <v>74</v>
      </c>
      <c r="P860" t="s">
        <v>74</v>
      </c>
      <c r="Q860" t="s">
        <v>74</v>
      </c>
      <c r="R860" t="s">
        <v>74</v>
      </c>
      <c r="S860" t="s">
        <v>74</v>
      </c>
      <c r="T860" t="s">
        <v>15783</v>
      </c>
      <c r="U860" t="s">
        <v>15784</v>
      </c>
      <c r="V860" t="s">
        <v>15785</v>
      </c>
      <c r="W860" t="s">
        <v>15786</v>
      </c>
      <c r="X860" t="s">
        <v>15787</v>
      </c>
      <c r="Y860" t="s">
        <v>15788</v>
      </c>
      <c r="Z860" t="s">
        <v>15789</v>
      </c>
      <c r="AA860" t="s">
        <v>15790</v>
      </c>
      <c r="AB860" t="s">
        <v>74</v>
      </c>
      <c r="AC860" t="s">
        <v>15791</v>
      </c>
      <c r="AD860" t="s">
        <v>15792</v>
      </c>
      <c r="AE860" t="s">
        <v>15793</v>
      </c>
      <c r="AF860" t="s">
        <v>74</v>
      </c>
      <c r="AG860">
        <v>43</v>
      </c>
      <c r="AH860">
        <v>13</v>
      </c>
      <c r="AI860">
        <v>17</v>
      </c>
      <c r="AJ860">
        <v>3</v>
      </c>
      <c r="AK860">
        <v>76</v>
      </c>
      <c r="AL860" t="s">
        <v>506</v>
      </c>
      <c r="AM860" t="s">
        <v>442</v>
      </c>
      <c r="AN860" t="s">
        <v>507</v>
      </c>
      <c r="AO860" t="s">
        <v>15794</v>
      </c>
      <c r="AP860" t="s">
        <v>15795</v>
      </c>
      <c r="AQ860" t="s">
        <v>74</v>
      </c>
      <c r="AR860" t="s">
        <v>15796</v>
      </c>
      <c r="AS860" t="s">
        <v>15797</v>
      </c>
      <c r="AT860" t="s">
        <v>14886</v>
      </c>
      <c r="AU860">
        <v>2013</v>
      </c>
      <c r="AV860">
        <v>67</v>
      </c>
      <c r="AW860" t="s">
        <v>74</v>
      </c>
      <c r="AX860" t="s">
        <v>74</v>
      </c>
      <c r="AY860" t="s">
        <v>74</v>
      </c>
      <c r="AZ860" t="s">
        <v>74</v>
      </c>
      <c r="BA860" t="s">
        <v>74</v>
      </c>
      <c r="BB860">
        <v>8</v>
      </c>
      <c r="BC860">
        <v>13</v>
      </c>
      <c r="BD860" t="s">
        <v>74</v>
      </c>
      <c r="BE860" t="s">
        <v>15798</v>
      </c>
      <c r="BF860" t="str">
        <f>HYPERLINK("http://dx.doi.org/10.1016/j.atmosenv.2012.10.029","http://dx.doi.org/10.1016/j.atmosenv.2012.10.029")</f>
        <v>http://dx.doi.org/10.1016/j.atmosenv.2012.10.029</v>
      </c>
      <c r="BG860" t="s">
        <v>74</v>
      </c>
      <c r="BH860" t="s">
        <v>74</v>
      </c>
      <c r="BI860">
        <v>6</v>
      </c>
      <c r="BJ860" t="s">
        <v>3227</v>
      </c>
      <c r="BK860" t="s">
        <v>102</v>
      </c>
      <c r="BL860" t="s">
        <v>3228</v>
      </c>
      <c r="BM860" t="s">
        <v>15799</v>
      </c>
      <c r="BN860" t="s">
        <v>74</v>
      </c>
      <c r="BO860" t="s">
        <v>74</v>
      </c>
      <c r="BP860" t="s">
        <v>74</v>
      </c>
      <c r="BQ860" t="s">
        <v>74</v>
      </c>
      <c r="BR860" t="s">
        <v>105</v>
      </c>
      <c r="BS860" t="s">
        <v>15800</v>
      </c>
      <c r="BT860" t="str">
        <f>HYPERLINK("https%3A%2F%2Fwww.webofscience.com%2Fwos%2Fwoscc%2Ffull-record%2FWOS:000315173300002","View Full Record in Web of Science")</f>
        <v>View Full Record in Web of Science</v>
      </c>
    </row>
    <row r="861" spans="1:72" x14ac:dyDescent="0.15">
      <c r="A861" t="s">
        <v>72</v>
      </c>
      <c r="B861" t="s">
        <v>15801</v>
      </c>
      <c r="C861" t="s">
        <v>74</v>
      </c>
      <c r="D861" t="s">
        <v>74</v>
      </c>
      <c r="E861" t="s">
        <v>74</v>
      </c>
      <c r="F861" t="s">
        <v>15802</v>
      </c>
      <c r="G861" t="s">
        <v>74</v>
      </c>
      <c r="H861" t="s">
        <v>74</v>
      </c>
      <c r="I861" t="s">
        <v>15803</v>
      </c>
      <c r="J861" t="s">
        <v>7774</v>
      </c>
      <c r="K861" t="s">
        <v>74</v>
      </c>
      <c r="L861" t="s">
        <v>74</v>
      </c>
      <c r="M861" t="s">
        <v>78</v>
      </c>
      <c r="N861" t="s">
        <v>79</v>
      </c>
      <c r="O861" t="s">
        <v>74</v>
      </c>
      <c r="P861" t="s">
        <v>74</v>
      </c>
      <c r="Q861" t="s">
        <v>74</v>
      </c>
      <c r="R861" t="s">
        <v>74</v>
      </c>
      <c r="S861" t="s">
        <v>74</v>
      </c>
      <c r="T861" t="s">
        <v>15804</v>
      </c>
      <c r="U861" t="s">
        <v>15805</v>
      </c>
      <c r="V861" t="s">
        <v>15806</v>
      </c>
      <c r="W861" t="s">
        <v>15807</v>
      </c>
      <c r="X861" t="s">
        <v>15808</v>
      </c>
      <c r="Y861" t="s">
        <v>15809</v>
      </c>
      <c r="Z861" t="s">
        <v>15810</v>
      </c>
      <c r="AA861" t="s">
        <v>15811</v>
      </c>
      <c r="AB861" t="s">
        <v>15812</v>
      </c>
      <c r="AC861" t="s">
        <v>15813</v>
      </c>
      <c r="AD861" t="s">
        <v>15814</v>
      </c>
      <c r="AE861" t="s">
        <v>15815</v>
      </c>
      <c r="AF861" t="s">
        <v>74</v>
      </c>
      <c r="AG861">
        <v>57</v>
      </c>
      <c r="AH861">
        <v>10</v>
      </c>
      <c r="AI861">
        <v>12</v>
      </c>
      <c r="AJ861">
        <v>0</v>
      </c>
      <c r="AK861">
        <v>55</v>
      </c>
      <c r="AL861" t="s">
        <v>15816</v>
      </c>
      <c r="AM861" t="s">
        <v>15817</v>
      </c>
      <c r="AN861" t="s">
        <v>15818</v>
      </c>
      <c r="AO861" t="s">
        <v>7787</v>
      </c>
      <c r="AP861" t="s">
        <v>7788</v>
      </c>
      <c r="AQ861" t="s">
        <v>74</v>
      </c>
      <c r="AR861" t="s">
        <v>7789</v>
      </c>
      <c r="AS861" t="s">
        <v>7790</v>
      </c>
      <c r="AT861" t="s">
        <v>14886</v>
      </c>
      <c r="AU861">
        <v>2013</v>
      </c>
      <c r="AV861">
        <v>84</v>
      </c>
      <c r="AW861">
        <v>1</v>
      </c>
      <c r="AX861" t="s">
        <v>74</v>
      </c>
      <c r="AY861" t="s">
        <v>74</v>
      </c>
      <c r="AZ861" t="s">
        <v>74</v>
      </c>
      <c r="BA861" t="s">
        <v>74</v>
      </c>
      <c r="BB861">
        <v>13</v>
      </c>
      <c r="BC861">
        <v>22</v>
      </c>
      <c r="BD861" t="s">
        <v>74</v>
      </c>
      <c r="BE861" t="s">
        <v>15819</v>
      </c>
      <c r="BF861" t="str">
        <f>HYPERLINK("http://dx.doi.org/10.1111/jofo.12001","http://dx.doi.org/10.1111/jofo.12001")</f>
        <v>http://dx.doi.org/10.1111/jofo.12001</v>
      </c>
      <c r="BG861" t="s">
        <v>74</v>
      </c>
      <c r="BH861" t="s">
        <v>74</v>
      </c>
      <c r="BI861">
        <v>10</v>
      </c>
      <c r="BJ861" t="s">
        <v>7792</v>
      </c>
      <c r="BK861" t="s">
        <v>102</v>
      </c>
      <c r="BL861" t="s">
        <v>2120</v>
      </c>
      <c r="BM861" t="s">
        <v>15820</v>
      </c>
      <c r="BN861" t="s">
        <v>74</v>
      </c>
      <c r="BO861" t="s">
        <v>74</v>
      </c>
      <c r="BP861" t="s">
        <v>74</v>
      </c>
      <c r="BQ861" t="s">
        <v>74</v>
      </c>
      <c r="BR861" t="s">
        <v>105</v>
      </c>
      <c r="BS861" t="s">
        <v>15821</v>
      </c>
      <c r="BT861" t="str">
        <f>HYPERLINK("https%3A%2F%2Fwww.webofscience.com%2Fwos%2Fwoscc%2Ffull-record%2FWOS:000315329000002","View Full Record in Web of Science")</f>
        <v>View Full Record in Web of Science</v>
      </c>
    </row>
    <row r="862" spans="1:72" x14ac:dyDescent="0.15">
      <c r="A862" t="s">
        <v>72</v>
      </c>
      <c r="B862" t="s">
        <v>15822</v>
      </c>
      <c r="C862" t="s">
        <v>74</v>
      </c>
      <c r="D862" t="s">
        <v>74</v>
      </c>
      <c r="E862" t="s">
        <v>74</v>
      </c>
      <c r="F862" t="s">
        <v>15823</v>
      </c>
      <c r="G862" t="s">
        <v>74</v>
      </c>
      <c r="H862" t="s">
        <v>74</v>
      </c>
      <c r="I862" t="s">
        <v>15824</v>
      </c>
      <c r="J862" t="s">
        <v>15825</v>
      </c>
      <c r="K862" t="s">
        <v>74</v>
      </c>
      <c r="L862" t="s">
        <v>74</v>
      </c>
      <c r="M862" t="s">
        <v>78</v>
      </c>
      <c r="N862" t="s">
        <v>79</v>
      </c>
      <c r="O862" t="s">
        <v>74</v>
      </c>
      <c r="P862" t="s">
        <v>74</v>
      </c>
      <c r="Q862" t="s">
        <v>74</v>
      </c>
      <c r="R862" t="s">
        <v>74</v>
      </c>
      <c r="S862" t="s">
        <v>74</v>
      </c>
      <c r="T862" t="s">
        <v>74</v>
      </c>
      <c r="U862" t="s">
        <v>15826</v>
      </c>
      <c r="V862" t="s">
        <v>15827</v>
      </c>
      <c r="W862" t="s">
        <v>15828</v>
      </c>
      <c r="X862" t="s">
        <v>2569</v>
      </c>
      <c r="Y862" t="s">
        <v>15829</v>
      </c>
      <c r="Z862" t="s">
        <v>15830</v>
      </c>
      <c r="AA862" t="s">
        <v>74</v>
      </c>
      <c r="AB862" t="s">
        <v>15831</v>
      </c>
      <c r="AC862" t="s">
        <v>15832</v>
      </c>
      <c r="AD862" t="s">
        <v>9659</v>
      </c>
      <c r="AE862" t="s">
        <v>15833</v>
      </c>
      <c r="AF862" t="s">
        <v>74</v>
      </c>
      <c r="AG862">
        <v>33</v>
      </c>
      <c r="AH862">
        <v>2</v>
      </c>
      <c r="AI862">
        <v>2</v>
      </c>
      <c r="AJ862">
        <v>1</v>
      </c>
      <c r="AK862">
        <v>22</v>
      </c>
      <c r="AL862" t="s">
        <v>529</v>
      </c>
      <c r="AM862" t="s">
        <v>391</v>
      </c>
      <c r="AN862" t="s">
        <v>530</v>
      </c>
      <c r="AO862" t="s">
        <v>15834</v>
      </c>
      <c r="AP862" t="s">
        <v>15835</v>
      </c>
      <c r="AQ862" t="s">
        <v>74</v>
      </c>
      <c r="AR862" t="s">
        <v>15836</v>
      </c>
      <c r="AS862" t="s">
        <v>15837</v>
      </c>
      <c r="AT862" t="s">
        <v>14886</v>
      </c>
      <c r="AU862">
        <v>2013</v>
      </c>
      <c r="AV862">
        <v>66</v>
      </c>
      <c r="AW862">
        <v>3</v>
      </c>
      <c r="AX862" t="s">
        <v>74</v>
      </c>
      <c r="AY862" t="s">
        <v>74</v>
      </c>
      <c r="AZ862" t="s">
        <v>74</v>
      </c>
      <c r="BA862" t="s">
        <v>74</v>
      </c>
      <c r="BB862">
        <v>259</v>
      </c>
      <c r="BC862">
        <v>265</v>
      </c>
      <c r="BD862" t="s">
        <v>74</v>
      </c>
      <c r="BE862" t="s">
        <v>15838</v>
      </c>
      <c r="BF862" t="str">
        <f>HYPERLINK("http://dx.doi.org/10.1007/s00284-012-0266-5","http://dx.doi.org/10.1007/s00284-012-0266-5")</f>
        <v>http://dx.doi.org/10.1007/s00284-012-0266-5</v>
      </c>
      <c r="BG862" t="s">
        <v>74</v>
      </c>
      <c r="BH862" t="s">
        <v>74</v>
      </c>
      <c r="BI862">
        <v>7</v>
      </c>
      <c r="BJ862" t="s">
        <v>3107</v>
      </c>
      <c r="BK862" t="s">
        <v>102</v>
      </c>
      <c r="BL862" t="s">
        <v>3107</v>
      </c>
      <c r="BM862" t="s">
        <v>15839</v>
      </c>
      <c r="BN862">
        <v>23179079</v>
      </c>
      <c r="BO862" t="s">
        <v>74</v>
      </c>
      <c r="BP862" t="s">
        <v>74</v>
      </c>
      <c r="BQ862" t="s">
        <v>74</v>
      </c>
      <c r="BR862" t="s">
        <v>105</v>
      </c>
      <c r="BS862" t="s">
        <v>15840</v>
      </c>
      <c r="BT862" t="str">
        <f>HYPERLINK("https%3A%2F%2Fwww.webofscience.com%2Fwos%2Fwoscc%2Ffull-record%2FWOS:000314182400008","View Full Record in Web of Science")</f>
        <v>View Full Record in Web of Science</v>
      </c>
    </row>
    <row r="863" spans="1:72" x14ac:dyDescent="0.15">
      <c r="A863" t="s">
        <v>72</v>
      </c>
      <c r="B863" t="s">
        <v>15841</v>
      </c>
      <c r="C863" t="s">
        <v>74</v>
      </c>
      <c r="D863" t="s">
        <v>74</v>
      </c>
      <c r="E863" t="s">
        <v>74</v>
      </c>
      <c r="F863" t="s">
        <v>15842</v>
      </c>
      <c r="G863" t="s">
        <v>74</v>
      </c>
      <c r="H863" t="s">
        <v>74</v>
      </c>
      <c r="I863" t="s">
        <v>15843</v>
      </c>
      <c r="J863" t="s">
        <v>15844</v>
      </c>
      <c r="K863" t="s">
        <v>74</v>
      </c>
      <c r="L863" t="s">
        <v>74</v>
      </c>
      <c r="M863" t="s">
        <v>78</v>
      </c>
      <c r="N863" t="s">
        <v>79</v>
      </c>
      <c r="O863" t="s">
        <v>74</v>
      </c>
      <c r="P863" t="s">
        <v>74</v>
      </c>
      <c r="Q863" t="s">
        <v>74</v>
      </c>
      <c r="R863" t="s">
        <v>74</v>
      </c>
      <c r="S863" t="s">
        <v>74</v>
      </c>
      <c r="T863" t="s">
        <v>15845</v>
      </c>
      <c r="U863" t="s">
        <v>15846</v>
      </c>
      <c r="V863" t="s">
        <v>15847</v>
      </c>
      <c r="W863" t="s">
        <v>15848</v>
      </c>
      <c r="X863" t="s">
        <v>15849</v>
      </c>
      <c r="Y863" t="s">
        <v>15850</v>
      </c>
      <c r="Z863" t="s">
        <v>15851</v>
      </c>
      <c r="AA863" t="s">
        <v>15852</v>
      </c>
      <c r="AB863" t="s">
        <v>15853</v>
      </c>
      <c r="AC863" t="s">
        <v>15854</v>
      </c>
      <c r="AD863" t="s">
        <v>15855</v>
      </c>
      <c r="AE863" t="s">
        <v>15856</v>
      </c>
      <c r="AF863" t="s">
        <v>74</v>
      </c>
      <c r="AG863">
        <v>32</v>
      </c>
      <c r="AH863">
        <v>58</v>
      </c>
      <c r="AI863">
        <v>60</v>
      </c>
      <c r="AJ863">
        <v>2</v>
      </c>
      <c r="AK863">
        <v>93</v>
      </c>
      <c r="AL863" t="s">
        <v>529</v>
      </c>
      <c r="AM863" t="s">
        <v>1151</v>
      </c>
      <c r="AN863" t="s">
        <v>1152</v>
      </c>
      <c r="AO863" t="s">
        <v>15857</v>
      </c>
      <c r="AP863" t="s">
        <v>15858</v>
      </c>
      <c r="AQ863" t="s">
        <v>74</v>
      </c>
      <c r="AR863" t="s">
        <v>15844</v>
      </c>
      <c r="AS863" t="s">
        <v>15859</v>
      </c>
      <c r="AT863" t="s">
        <v>14886</v>
      </c>
      <c r="AU863">
        <v>2013</v>
      </c>
      <c r="AV863">
        <v>22</v>
      </c>
      <c r="AW863">
        <v>2</v>
      </c>
      <c r="AX863" t="s">
        <v>74</v>
      </c>
      <c r="AY863" t="s">
        <v>74</v>
      </c>
      <c r="AZ863" t="s">
        <v>74</v>
      </c>
      <c r="BA863" t="s">
        <v>74</v>
      </c>
      <c r="BB863">
        <v>240</v>
      </c>
      <c r="BC863">
        <v>250</v>
      </c>
      <c r="BD863" t="s">
        <v>74</v>
      </c>
      <c r="BE863" t="s">
        <v>15860</v>
      </c>
      <c r="BF863" t="str">
        <f>HYPERLINK("http://dx.doi.org/10.1007/s10646-012-1020-2","http://dx.doi.org/10.1007/s10646-012-1020-2")</f>
        <v>http://dx.doi.org/10.1007/s10646-012-1020-2</v>
      </c>
      <c r="BG863" t="s">
        <v>74</v>
      </c>
      <c r="BH863" t="s">
        <v>74</v>
      </c>
      <c r="BI863">
        <v>11</v>
      </c>
      <c r="BJ863" t="s">
        <v>15861</v>
      </c>
      <c r="BK863" t="s">
        <v>102</v>
      </c>
      <c r="BL863" t="s">
        <v>15862</v>
      </c>
      <c r="BM863" t="s">
        <v>15863</v>
      </c>
      <c r="BN863">
        <v>23184332</v>
      </c>
      <c r="BO863" t="s">
        <v>74</v>
      </c>
      <c r="BP863" t="s">
        <v>74</v>
      </c>
      <c r="BQ863" t="s">
        <v>74</v>
      </c>
      <c r="BR863" t="s">
        <v>105</v>
      </c>
      <c r="BS863" t="s">
        <v>15864</v>
      </c>
      <c r="BT863" t="str">
        <f>HYPERLINK("https%3A%2F%2Fwww.webofscience.com%2Fwos%2Fwoscc%2Ffull-record%2FWOS:000314898100004","View Full Record in Web of Science")</f>
        <v>View Full Record in Web of Science</v>
      </c>
    </row>
    <row r="864" spans="1:72" x14ac:dyDescent="0.15">
      <c r="A864" t="s">
        <v>72</v>
      </c>
      <c r="B864" t="s">
        <v>15865</v>
      </c>
      <c r="C864" t="s">
        <v>74</v>
      </c>
      <c r="D864" t="s">
        <v>74</v>
      </c>
      <c r="E864" t="s">
        <v>74</v>
      </c>
      <c r="F864" t="s">
        <v>15866</v>
      </c>
      <c r="G864" t="s">
        <v>74</v>
      </c>
      <c r="H864" t="s">
        <v>74</v>
      </c>
      <c r="I864" t="s">
        <v>15867</v>
      </c>
      <c r="J864" t="s">
        <v>15868</v>
      </c>
      <c r="K864" t="s">
        <v>74</v>
      </c>
      <c r="L864" t="s">
        <v>74</v>
      </c>
      <c r="M864" t="s">
        <v>78</v>
      </c>
      <c r="N864" t="s">
        <v>79</v>
      </c>
      <c r="O864" t="s">
        <v>74</v>
      </c>
      <c r="P864" t="s">
        <v>74</v>
      </c>
      <c r="Q864" t="s">
        <v>74</v>
      </c>
      <c r="R864" t="s">
        <v>74</v>
      </c>
      <c r="S864" t="s">
        <v>74</v>
      </c>
      <c r="T864" t="s">
        <v>74</v>
      </c>
      <c r="U864" t="s">
        <v>15869</v>
      </c>
      <c r="V864" t="s">
        <v>15870</v>
      </c>
      <c r="W864" t="s">
        <v>15871</v>
      </c>
      <c r="X864" t="s">
        <v>15872</v>
      </c>
      <c r="Y864" t="s">
        <v>15873</v>
      </c>
      <c r="Z864" t="s">
        <v>15874</v>
      </c>
      <c r="AA864" t="s">
        <v>74</v>
      </c>
      <c r="AB864" t="s">
        <v>15875</v>
      </c>
      <c r="AC864" t="s">
        <v>15876</v>
      </c>
      <c r="AD864" t="s">
        <v>15877</v>
      </c>
      <c r="AE864" t="s">
        <v>15878</v>
      </c>
      <c r="AF864" t="s">
        <v>74</v>
      </c>
      <c r="AG864">
        <v>29</v>
      </c>
      <c r="AH864">
        <v>26</v>
      </c>
      <c r="AI864">
        <v>28</v>
      </c>
      <c r="AJ864">
        <v>0</v>
      </c>
      <c r="AK864">
        <v>42</v>
      </c>
      <c r="AL864" t="s">
        <v>368</v>
      </c>
      <c r="AM864" t="s">
        <v>369</v>
      </c>
      <c r="AN864" t="s">
        <v>370</v>
      </c>
      <c r="AO864" t="s">
        <v>15879</v>
      </c>
      <c r="AP864" t="s">
        <v>15880</v>
      </c>
      <c r="AQ864" t="s">
        <v>74</v>
      </c>
      <c r="AR864" t="s">
        <v>15881</v>
      </c>
      <c r="AS864" t="s">
        <v>15882</v>
      </c>
      <c r="AT864" t="s">
        <v>15141</v>
      </c>
      <c r="AU864">
        <v>2013</v>
      </c>
      <c r="AV864">
        <v>30</v>
      </c>
      <c r="AW864">
        <v>2</v>
      </c>
      <c r="AX864" t="s">
        <v>74</v>
      </c>
      <c r="AY864" t="s">
        <v>74</v>
      </c>
      <c r="AZ864" t="s">
        <v>74</v>
      </c>
      <c r="BA864" t="s">
        <v>74</v>
      </c>
      <c r="BB864">
        <v>194</v>
      </c>
      <c r="BC864">
        <v>215</v>
      </c>
      <c r="BD864" t="s">
        <v>74</v>
      </c>
      <c r="BE864" t="s">
        <v>15883</v>
      </c>
      <c r="BF864" t="str">
        <f>HYPERLINK("http://dx.doi.org/10.1002/rob.21445","http://dx.doi.org/10.1002/rob.21445")</f>
        <v>http://dx.doi.org/10.1002/rob.21445</v>
      </c>
      <c r="BG864" t="s">
        <v>74</v>
      </c>
      <c r="BH864" t="s">
        <v>74</v>
      </c>
      <c r="BI864">
        <v>22</v>
      </c>
      <c r="BJ864" t="s">
        <v>15884</v>
      </c>
      <c r="BK864" t="s">
        <v>102</v>
      </c>
      <c r="BL864" t="s">
        <v>15884</v>
      </c>
      <c r="BM864" t="s">
        <v>15885</v>
      </c>
      <c r="BN864" t="s">
        <v>74</v>
      </c>
      <c r="BO864" t="s">
        <v>74</v>
      </c>
      <c r="BP864" t="s">
        <v>74</v>
      </c>
      <c r="BQ864" t="s">
        <v>74</v>
      </c>
      <c r="BR864" t="s">
        <v>105</v>
      </c>
      <c r="BS864" t="s">
        <v>15886</v>
      </c>
      <c r="BT864" t="str">
        <f>HYPERLINK("https%3A%2F%2Fwww.webofscience.com%2Fwos%2Fwoscc%2Ffull-record%2FWOS:000314757600002","View Full Record in Web of Science")</f>
        <v>View Full Record in Web of Science</v>
      </c>
    </row>
    <row r="865" spans="1:72" x14ac:dyDescent="0.15">
      <c r="A865" t="s">
        <v>72</v>
      </c>
      <c r="B865" t="s">
        <v>15887</v>
      </c>
      <c r="C865" t="s">
        <v>74</v>
      </c>
      <c r="D865" t="s">
        <v>74</v>
      </c>
      <c r="E865" t="s">
        <v>74</v>
      </c>
      <c r="F865" t="s">
        <v>15888</v>
      </c>
      <c r="G865" t="s">
        <v>74</v>
      </c>
      <c r="H865" t="s">
        <v>74</v>
      </c>
      <c r="I865" t="s">
        <v>15889</v>
      </c>
      <c r="J865" t="s">
        <v>3345</v>
      </c>
      <c r="K865" t="s">
        <v>74</v>
      </c>
      <c r="L865" t="s">
        <v>74</v>
      </c>
      <c r="M865" t="s">
        <v>78</v>
      </c>
      <c r="N865" t="s">
        <v>79</v>
      </c>
      <c r="O865" t="s">
        <v>74</v>
      </c>
      <c r="P865" t="s">
        <v>74</v>
      </c>
      <c r="Q865" t="s">
        <v>74</v>
      </c>
      <c r="R865" t="s">
        <v>74</v>
      </c>
      <c r="S865" t="s">
        <v>74</v>
      </c>
      <c r="T865" t="s">
        <v>15890</v>
      </c>
      <c r="U865" t="s">
        <v>15891</v>
      </c>
      <c r="V865" t="s">
        <v>15892</v>
      </c>
      <c r="W865" t="s">
        <v>15893</v>
      </c>
      <c r="X865" t="s">
        <v>15894</v>
      </c>
      <c r="Y865" t="s">
        <v>15895</v>
      </c>
      <c r="Z865" t="s">
        <v>15896</v>
      </c>
      <c r="AA865" t="s">
        <v>74</v>
      </c>
      <c r="AB865" t="s">
        <v>74</v>
      </c>
      <c r="AC865" t="s">
        <v>15897</v>
      </c>
      <c r="AD865" t="s">
        <v>15898</v>
      </c>
      <c r="AE865" t="s">
        <v>15899</v>
      </c>
      <c r="AF865" t="s">
        <v>74</v>
      </c>
      <c r="AG865">
        <v>50</v>
      </c>
      <c r="AH865">
        <v>7</v>
      </c>
      <c r="AI865">
        <v>9</v>
      </c>
      <c r="AJ865">
        <v>0</v>
      </c>
      <c r="AK865">
        <v>17</v>
      </c>
      <c r="AL865" t="s">
        <v>529</v>
      </c>
      <c r="AM865" t="s">
        <v>391</v>
      </c>
      <c r="AN865" t="s">
        <v>1220</v>
      </c>
      <c r="AO865" t="s">
        <v>3358</v>
      </c>
      <c r="AP865" t="s">
        <v>3359</v>
      </c>
      <c r="AQ865" t="s">
        <v>74</v>
      </c>
      <c r="AR865" t="s">
        <v>3360</v>
      </c>
      <c r="AS865" t="s">
        <v>3361</v>
      </c>
      <c r="AT865" t="s">
        <v>14886</v>
      </c>
      <c r="AU865">
        <v>2013</v>
      </c>
      <c r="AV865">
        <v>36</v>
      </c>
      <c r="AW865">
        <v>3</v>
      </c>
      <c r="AX865" t="s">
        <v>74</v>
      </c>
      <c r="AY865" t="s">
        <v>74</v>
      </c>
      <c r="AZ865" t="s">
        <v>74</v>
      </c>
      <c r="BA865" t="s">
        <v>74</v>
      </c>
      <c r="BB865">
        <v>335</v>
      </c>
      <c r="BC865">
        <v>342</v>
      </c>
      <c r="BD865" t="s">
        <v>74</v>
      </c>
      <c r="BE865" t="s">
        <v>15900</v>
      </c>
      <c r="BF865" t="str">
        <f>HYPERLINK("http://dx.doi.org/10.1007/s00300-012-1262-8","http://dx.doi.org/10.1007/s00300-012-1262-8")</f>
        <v>http://dx.doi.org/10.1007/s00300-012-1262-8</v>
      </c>
      <c r="BG865" t="s">
        <v>74</v>
      </c>
      <c r="BH865" t="s">
        <v>74</v>
      </c>
      <c r="BI865">
        <v>8</v>
      </c>
      <c r="BJ865" t="s">
        <v>1158</v>
      </c>
      <c r="BK865" t="s">
        <v>102</v>
      </c>
      <c r="BL865" t="s">
        <v>1159</v>
      </c>
      <c r="BM865" t="s">
        <v>15901</v>
      </c>
      <c r="BN865" t="s">
        <v>74</v>
      </c>
      <c r="BO865" t="s">
        <v>74</v>
      </c>
      <c r="BP865" t="s">
        <v>74</v>
      </c>
      <c r="BQ865" t="s">
        <v>74</v>
      </c>
      <c r="BR865" t="s">
        <v>105</v>
      </c>
      <c r="BS865" t="s">
        <v>15902</v>
      </c>
      <c r="BT865" t="str">
        <f>HYPERLINK("https%3A%2F%2Fwww.webofscience.com%2Fwos%2Fwoscc%2Ffull-record%2FWOS:000314852300003","View Full Record in Web of Science")</f>
        <v>View Full Record in Web of Science</v>
      </c>
    </row>
    <row r="866" spans="1:72" x14ac:dyDescent="0.15">
      <c r="A866" t="s">
        <v>72</v>
      </c>
      <c r="B866" t="s">
        <v>15903</v>
      </c>
      <c r="C866" t="s">
        <v>74</v>
      </c>
      <c r="D866" t="s">
        <v>74</v>
      </c>
      <c r="E866" t="s">
        <v>74</v>
      </c>
      <c r="F866" t="s">
        <v>15904</v>
      </c>
      <c r="G866" t="s">
        <v>74</v>
      </c>
      <c r="H866" t="s">
        <v>74</v>
      </c>
      <c r="I866" t="s">
        <v>15905</v>
      </c>
      <c r="J866" t="s">
        <v>3345</v>
      </c>
      <c r="K866" t="s">
        <v>74</v>
      </c>
      <c r="L866" t="s">
        <v>74</v>
      </c>
      <c r="M866" t="s">
        <v>78</v>
      </c>
      <c r="N866" t="s">
        <v>79</v>
      </c>
      <c r="O866" t="s">
        <v>74</v>
      </c>
      <c r="P866" t="s">
        <v>74</v>
      </c>
      <c r="Q866" t="s">
        <v>74</v>
      </c>
      <c r="R866" t="s">
        <v>74</v>
      </c>
      <c r="S866" t="s">
        <v>74</v>
      </c>
      <c r="T866" t="s">
        <v>15906</v>
      </c>
      <c r="U866" t="s">
        <v>15907</v>
      </c>
      <c r="V866" t="s">
        <v>15908</v>
      </c>
      <c r="W866" t="s">
        <v>15909</v>
      </c>
      <c r="X866" t="s">
        <v>15910</v>
      </c>
      <c r="Y866" t="s">
        <v>15911</v>
      </c>
      <c r="Z866" t="s">
        <v>15912</v>
      </c>
      <c r="AA866" t="s">
        <v>15913</v>
      </c>
      <c r="AB866" t="s">
        <v>15914</v>
      </c>
      <c r="AC866" t="s">
        <v>15915</v>
      </c>
      <c r="AD866" t="s">
        <v>15916</v>
      </c>
      <c r="AE866" t="s">
        <v>15917</v>
      </c>
      <c r="AF866" t="s">
        <v>74</v>
      </c>
      <c r="AG866">
        <v>65</v>
      </c>
      <c r="AH866">
        <v>24</v>
      </c>
      <c r="AI866">
        <v>27</v>
      </c>
      <c r="AJ866">
        <v>3</v>
      </c>
      <c r="AK866">
        <v>43</v>
      </c>
      <c r="AL866" t="s">
        <v>529</v>
      </c>
      <c r="AM866" t="s">
        <v>391</v>
      </c>
      <c r="AN866" t="s">
        <v>1220</v>
      </c>
      <c r="AO866" t="s">
        <v>3358</v>
      </c>
      <c r="AP866" t="s">
        <v>3359</v>
      </c>
      <c r="AQ866" t="s">
        <v>74</v>
      </c>
      <c r="AR866" t="s">
        <v>3360</v>
      </c>
      <c r="AS866" t="s">
        <v>3361</v>
      </c>
      <c r="AT866" t="s">
        <v>14886</v>
      </c>
      <c r="AU866">
        <v>2013</v>
      </c>
      <c r="AV866">
        <v>36</v>
      </c>
      <c r="AW866">
        <v>3</v>
      </c>
      <c r="AX866" t="s">
        <v>74</v>
      </c>
      <c r="AY866" t="s">
        <v>74</v>
      </c>
      <c r="AZ866" t="s">
        <v>74</v>
      </c>
      <c r="BA866" t="s">
        <v>74</v>
      </c>
      <c r="BB866">
        <v>349</v>
      </c>
      <c r="BC866">
        <v>362</v>
      </c>
      <c r="BD866" t="s">
        <v>74</v>
      </c>
      <c r="BE866" t="s">
        <v>15918</v>
      </c>
      <c r="BF866" t="str">
        <f>HYPERLINK("http://dx.doi.org/10.1007/s00300-012-1264-6","http://dx.doi.org/10.1007/s00300-012-1264-6")</f>
        <v>http://dx.doi.org/10.1007/s00300-012-1264-6</v>
      </c>
      <c r="BG866" t="s">
        <v>74</v>
      </c>
      <c r="BH866" t="s">
        <v>74</v>
      </c>
      <c r="BI866">
        <v>14</v>
      </c>
      <c r="BJ866" t="s">
        <v>1158</v>
      </c>
      <c r="BK866" t="s">
        <v>102</v>
      </c>
      <c r="BL866" t="s">
        <v>1159</v>
      </c>
      <c r="BM866" t="s">
        <v>15901</v>
      </c>
      <c r="BN866" t="s">
        <v>74</v>
      </c>
      <c r="BO866" t="s">
        <v>74</v>
      </c>
      <c r="BP866" t="s">
        <v>74</v>
      </c>
      <c r="BQ866" t="s">
        <v>74</v>
      </c>
      <c r="BR866" t="s">
        <v>105</v>
      </c>
      <c r="BS866" t="s">
        <v>15919</v>
      </c>
      <c r="BT866" t="str">
        <f>HYPERLINK("https%3A%2F%2Fwww.webofscience.com%2Fwos%2Fwoscc%2Ffull-record%2FWOS:000314852300005","View Full Record in Web of Science")</f>
        <v>View Full Record in Web of Science</v>
      </c>
    </row>
    <row r="867" spans="1:72" x14ac:dyDescent="0.15">
      <c r="A867" t="s">
        <v>72</v>
      </c>
      <c r="B867" t="s">
        <v>15920</v>
      </c>
      <c r="C867" t="s">
        <v>74</v>
      </c>
      <c r="D867" t="s">
        <v>74</v>
      </c>
      <c r="E867" t="s">
        <v>74</v>
      </c>
      <c r="F867" t="s">
        <v>15921</v>
      </c>
      <c r="G867" t="s">
        <v>74</v>
      </c>
      <c r="H867" t="s">
        <v>74</v>
      </c>
      <c r="I867" t="s">
        <v>15922</v>
      </c>
      <c r="J867" t="s">
        <v>3345</v>
      </c>
      <c r="K867" t="s">
        <v>74</v>
      </c>
      <c r="L867" t="s">
        <v>74</v>
      </c>
      <c r="M867" t="s">
        <v>78</v>
      </c>
      <c r="N867" t="s">
        <v>79</v>
      </c>
      <c r="O867" t="s">
        <v>74</v>
      </c>
      <c r="P867" t="s">
        <v>74</v>
      </c>
      <c r="Q867" t="s">
        <v>74</v>
      </c>
      <c r="R867" t="s">
        <v>74</v>
      </c>
      <c r="S867" t="s">
        <v>74</v>
      </c>
      <c r="T867" t="s">
        <v>15923</v>
      </c>
      <c r="U867" t="s">
        <v>15924</v>
      </c>
      <c r="V867" t="s">
        <v>15925</v>
      </c>
      <c r="W867" t="s">
        <v>15926</v>
      </c>
      <c r="X867" t="s">
        <v>15927</v>
      </c>
      <c r="Y867" t="s">
        <v>15744</v>
      </c>
      <c r="Z867" t="s">
        <v>15745</v>
      </c>
      <c r="AA867" t="s">
        <v>15928</v>
      </c>
      <c r="AB867" t="s">
        <v>15929</v>
      </c>
      <c r="AC867" t="s">
        <v>15930</v>
      </c>
      <c r="AD867" t="s">
        <v>15931</v>
      </c>
      <c r="AE867" t="s">
        <v>15932</v>
      </c>
      <c r="AF867" t="s">
        <v>74</v>
      </c>
      <c r="AG867">
        <v>71</v>
      </c>
      <c r="AH867">
        <v>35</v>
      </c>
      <c r="AI867">
        <v>41</v>
      </c>
      <c r="AJ867">
        <v>0</v>
      </c>
      <c r="AK867">
        <v>25</v>
      </c>
      <c r="AL867" t="s">
        <v>529</v>
      </c>
      <c r="AM867" t="s">
        <v>391</v>
      </c>
      <c r="AN867" t="s">
        <v>530</v>
      </c>
      <c r="AO867" t="s">
        <v>3358</v>
      </c>
      <c r="AP867" t="s">
        <v>3359</v>
      </c>
      <c r="AQ867" t="s">
        <v>74</v>
      </c>
      <c r="AR867" t="s">
        <v>3360</v>
      </c>
      <c r="AS867" t="s">
        <v>3361</v>
      </c>
      <c r="AT867" t="s">
        <v>14886</v>
      </c>
      <c r="AU867">
        <v>2013</v>
      </c>
      <c r="AV867">
        <v>36</v>
      </c>
      <c r="AW867">
        <v>3</v>
      </c>
      <c r="AX867" t="s">
        <v>74</v>
      </c>
      <c r="AY867" t="s">
        <v>74</v>
      </c>
      <c r="AZ867" t="s">
        <v>74</v>
      </c>
      <c r="BA867" t="s">
        <v>74</v>
      </c>
      <c r="BB867">
        <v>381</v>
      </c>
      <c r="BC867">
        <v>389</v>
      </c>
      <c r="BD867" t="s">
        <v>74</v>
      </c>
      <c r="BE867" t="s">
        <v>15933</v>
      </c>
      <c r="BF867" t="str">
        <f>HYPERLINK("http://dx.doi.org/10.1007/s00300-012-1268-2","http://dx.doi.org/10.1007/s00300-012-1268-2")</f>
        <v>http://dx.doi.org/10.1007/s00300-012-1268-2</v>
      </c>
      <c r="BG867" t="s">
        <v>74</v>
      </c>
      <c r="BH867" t="s">
        <v>74</v>
      </c>
      <c r="BI867">
        <v>9</v>
      </c>
      <c r="BJ867" t="s">
        <v>1158</v>
      </c>
      <c r="BK867" t="s">
        <v>102</v>
      </c>
      <c r="BL867" t="s">
        <v>1159</v>
      </c>
      <c r="BM867" t="s">
        <v>15901</v>
      </c>
      <c r="BN867" t="s">
        <v>74</v>
      </c>
      <c r="BO867" t="s">
        <v>74</v>
      </c>
      <c r="BP867" t="s">
        <v>74</v>
      </c>
      <c r="BQ867" t="s">
        <v>74</v>
      </c>
      <c r="BR867" t="s">
        <v>105</v>
      </c>
      <c r="BS867" t="s">
        <v>15934</v>
      </c>
      <c r="BT867" t="str">
        <f>HYPERLINK("https%3A%2F%2Fwww.webofscience.com%2Fwos%2Fwoscc%2Ffull-record%2FWOS:000314852300008","View Full Record in Web of Science")</f>
        <v>View Full Record in Web of Science</v>
      </c>
    </row>
    <row r="868" spans="1:72" x14ac:dyDescent="0.15">
      <c r="A868" t="s">
        <v>72</v>
      </c>
      <c r="B868" t="s">
        <v>15935</v>
      </c>
      <c r="C868" t="s">
        <v>74</v>
      </c>
      <c r="D868" t="s">
        <v>74</v>
      </c>
      <c r="E868" t="s">
        <v>74</v>
      </c>
      <c r="F868" t="s">
        <v>15936</v>
      </c>
      <c r="G868" t="s">
        <v>74</v>
      </c>
      <c r="H868" t="s">
        <v>74</v>
      </c>
      <c r="I868" t="s">
        <v>15937</v>
      </c>
      <c r="J868" t="s">
        <v>3345</v>
      </c>
      <c r="K868" t="s">
        <v>74</v>
      </c>
      <c r="L868" t="s">
        <v>74</v>
      </c>
      <c r="M868" t="s">
        <v>78</v>
      </c>
      <c r="N868" t="s">
        <v>79</v>
      </c>
      <c r="O868" t="s">
        <v>74</v>
      </c>
      <c r="P868" t="s">
        <v>74</v>
      </c>
      <c r="Q868" t="s">
        <v>74</v>
      </c>
      <c r="R868" t="s">
        <v>74</v>
      </c>
      <c r="S868" t="s">
        <v>74</v>
      </c>
      <c r="T868" t="s">
        <v>15938</v>
      </c>
      <c r="U868" t="s">
        <v>15939</v>
      </c>
      <c r="V868" t="s">
        <v>15940</v>
      </c>
      <c r="W868" t="s">
        <v>15941</v>
      </c>
      <c r="X868" t="s">
        <v>15942</v>
      </c>
      <c r="Y868" t="s">
        <v>15911</v>
      </c>
      <c r="Z868" t="s">
        <v>15912</v>
      </c>
      <c r="AA868" t="s">
        <v>15943</v>
      </c>
      <c r="AB868" t="s">
        <v>15944</v>
      </c>
      <c r="AC868" t="s">
        <v>15945</v>
      </c>
      <c r="AD868" t="s">
        <v>15946</v>
      </c>
      <c r="AE868" t="s">
        <v>15947</v>
      </c>
      <c r="AF868" t="s">
        <v>74</v>
      </c>
      <c r="AG868">
        <v>55</v>
      </c>
      <c r="AH868">
        <v>5</v>
      </c>
      <c r="AI868">
        <v>5</v>
      </c>
      <c r="AJ868">
        <v>1</v>
      </c>
      <c r="AK868">
        <v>30</v>
      </c>
      <c r="AL868" t="s">
        <v>529</v>
      </c>
      <c r="AM868" t="s">
        <v>391</v>
      </c>
      <c r="AN868" t="s">
        <v>1220</v>
      </c>
      <c r="AO868" t="s">
        <v>3358</v>
      </c>
      <c r="AP868" t="s">
        <v>3359</v>
      </c>
      <c r="AQ868" t="s">
        <v>74</v>
      </c>
      <c r="AR868" t="s">
        <v>3360</v>
      </c>
      <c r="AS868" t="s">
        <v>3361</v>
      </c>
      <c r="AT868" t="s">
        <v>14886</v>
      </c>
      <c r="AU868">
        <v>2013</v>
      </c>
      <c r="AV868">
        <v>36</v>
      </c>
      <c r="AW868">
        <v>3</v>
      </c>
      <c r="AX868" t="s">
        <v>74</v>
      </c>
      <c r="AY868" t="s">
        <v>74</v>
      </c>
      <c r="AZ868" t="s">
        <v>74</v>
      </c>
      <c r="BA868" t="s">
        <v>74</v>
      </c>
      <c r="BB868">
        <v>409</v>
      </c>
      <c r="BC868">
        <v>418</v>
      </c>
      <c r="BD868" t="s">
        <v>74</v>
      </c>
      <c r="BE868" t="s">
        <v>15948</v>
      </c>
      <c r="BF868" t="str">
        <f>HYPERLINK("http://dx.doi.org/10.1007/s00300-012-1271-7","http://dx.doi.org/10.1007/s00300-012-1271-7")</f>
        <v>http://dx.doi.org/10.1007/s00300-012-1271-7</v>
      </c>
      <c r="BG868" t="s">
        <v>74</v>
      </c>
      <c r="BH868" t="s">
        <v>74</v>
      </c>
      <c r="BI868">
        <v>10</v>
      </c>
      <c r="BJ868" t="s">
        <v>1158</v>
      </c>
      <c r="BK868" t="s">
        <v>102</v>
      </c>
      <c r="BL868" t="s">
        <v>1159</v>
      </c>
      <c r="BM868" t="s">
        <v>15901</v>
      </c>
      <c r="BN868" t="s">
        <v>74</v>
      </c>
      <c r="BO868" t="s">
        <v>74</v>
      </c>
      <c r="BP868" t="s">
        <v>74</v>
      </c>
      <c r="BQ868" t="s">
        <v>74</v>
      </c>
      <c r="BR868" t="s">
        <v>105</v>
      </c>
      <c r="BS868" t="s">
        <v>15949</v>
      </c>
      <c r="BT868" t="str">
        <f>HYPERLINK("https%3A%2F%2Fwww.webofscience.com%2Fwos%2Fwoscc%2Ffull-record%2FWOS:000314852300010","View Full Record in Web of Science")</f>
        <v>View Full Record in Web of Science</v>
      </c>
    </row>
    <row r="869" spans="1:72" x14ac:dyDescent="0.15">
      <c r="A869" t="s">
        <v>72</v>
      </c>
      <c r="B869" t="s">
        <v>15950</v>
      </c>
      <c r="C869" t="s">
        <v>74</v>
      </c>
      <c r="D869" t="s">
        <v>74</v>
      </c>
      <c r="E869" t="s">
        <v>74</v>
      </c>
      <c r="F869" t="s">
        <v>15951</v>
      </c>
      <c r="G869" t="s">
        <v>74</v>
      </c>
      <c r="H869" t="s">
        <v>74</v>
      </c>
      <c r="I869" t="s">
        <v>15952</v>
      </c>
      <c r="J869" t="s">
        <v>14655</v>
      </c>
      <c r="K869" t="s">
        <v>74</v>
      </c>
      <c r="L869" t="s">
        <v>74</v>
      </c>
      <c r="M869" t="s">
        <v>78</v>
      </c>
      <c r="N869" t="s">
        <v>79</v>
      </c>
      <c r="O869" t="s">
        <v>74</v>
      </c>
      <c r="P869" t="s">
        <v>74</v>
      </c>
      <c r="Q869" t="s">
        <v>74</v>
      </c>
      <c r="R869" t="s">
        <v>74</v>
      </c>
      <c r="S869" t="s">
        <v>74</v>
      </c>
      <c r="T869" t="s">
        <v>74</v>
      </c>
      <c r="U869" t="s">
        <v>15953</v>
      </c>
      <c r="V869" t="s">
        <v>15954</v>
      </c>
      <c r="W869" t="s">
        <v>15955</v>
      </c>
      <c r="X869" t="s">
        <v>15956</v>
      </c>
      <c r="Y869" t="s">
        <v>15957</v>
      </c>
      <c r="Z869" t="s">
        <v>15958</v>
      </c>
      <c r="AA869" t="s">
        <v>74</v>
      </c>
      <c r="AB869" t="s">
        <v>15959</v>
      </c>
      <c r="AC869" t="s">
        <v>15960</v>
      </c>
      <c r="AD869" t="s">
        <v>15961</v>
      </c>
      <c r="AE869" t="s">
        <v>15962</v>
      </c>
      <c r="AF869" t="s">
        <v>74</v>
      </c>
      <c r="AG869">
        <v>113</v>
      </c>
      <c r="AH869">
        <v>27</v>
      </c>
      <c r="AI869">
        <v>29</v>
      </c>
      <c r="AJ869">
        <v>5</v>
      </c>
      <c r="AK869">
        <v>101</v>
      </c>
      <c r="AL869" t="s">
        <v>506</v>
      </c>
      <c r="AM869" t="s">
        <v>442</v>
      </c>
      <c r="AN869" t="s">
        <v>507</v>
      </c>
      <c r="AO869" t="s">
        <v>14665</v>
      </c>
      <c r="AP869" t="s">
        <v>14666</v>
      </c>
      <c r="AQ869" t="s">
        <v>74</v>
      </c>
      <c r="AR869" t="s">
        <v>14667</v>
      </c>
      <c r="AS869" t="s">
        <v>14668</v>
      </c>
      <c r="AT869" t="s">
        <v>15214</v>
      </c>
      <c r="AU869">
        <v>2013</v>
      </c>
      <c r="AV869">
        <v>104</v>
      </c>
      <c r="AW869" t="s">
        <v>74</v>
      </c>
      <c r="AX869" t="s">
        <v>74</v>
      </c>
      <c r="AY869" t="s">
        <v>74</v>
      </c>
      <c r="AZ869" t="s">
        <v>74</v>
      </c>
      <c r="BA869" t="s">
        <v>74</v>
      </c>
      <c r="BB869">
        <v>1</v>
      </c>
      <c r="BC869">
        <v>18</v>
      </c>
      <c r="BD869" t="s">
        <v>74</v>
      </c>
      <c r="BE869" t="s">
        <v>15963</v>
      </c>
      <c r="BF869" t="str">
        <f>HYPERLINK("http://dx.doi.org/10.1016/j.gca.2012.11.029","http://dx.doi.org/10.1016/j.gca.2012.11.029")</f>
        <v>http://dx.doi.org/10.1016/j.gca.2012.11.029</v>
      </c>
      <c r="BG869" t="s">
        <v>74</v>
      </c>
      <c r="BH869" t="s">
        <v>74</v>
      </c>
      <c r="BI869">
        <v>18</v>
      </c>
      <c r="BJ869" t="s">
        <v>766</v>
      </c>
      <c r="BK869" t="s">
        <v>102</v>
      </c>
      <c r="BL869" t="s">
        <v>766</v>
      </c>
      <c r="BM869" t="s">
        <v>15964</v>
      </c>
      <c r="BN869" t="s">
        <v>74</v>
      </c>
      <c r="BO869" t="s">
        <v>74</v>
      </c>
      <c r="BP869" t="s">
        <v>74</v>
      </c>
      <c r="BQ869" t="s">
        <v>74</v>
      </c>
      <c r="BR869" t="s">
        <v>105</v>
      </c>
      <c r="BS869" t="s">
        <v>15965</v>
      </c>
      <c r="BT869" t="str">
        <f>HYPERLINK("https%3A%2F%2Fwww.webofscience.com%2Fwos%2Fwoscc%2Ffull-record%2FWOS:000314664500001","View Full Record in Web of Science")</f>
        <v>View Full Record in Web of Science</v>
      </c>
    </row>
    <row r="870" spans="1:72" x14ac:dyDescent="0.15">
      <c r="A870" t="s">
        <v>72</v>
      </c>
      <c r="B870" t="s">
        <v>15966</v>
      </c>
      <c r="C870" t="s">
        <v>74</v>
      </c>
      <c r="D870" t="s">
        <v>74</v>
      </c>
      <c r="E870" t="s">
        <v>74</v>
      </c>
      <c r="F870" t="s">
        <v>15967</v>
      </c>
      <c r="G870" t="s">
        <v>74</v>
      </c>
      <c r="H870" t="s">
        <v>74</v>
      </c>
      <c r="I870" t="s">
        <v>15968</v>
      </c>
      <c r="J870" t="s">
        <v>14655</v>
      </c>
      <c r="K870" t="s">
        <v>74</v>
      </c>
      <c r="L870" t="s">
        <v>74</v>
      </c>
      <c r="M870" t="s">
        <v>78</v>
      </c>
      <c r="N870" t="s">
        <v>79</v>
      </c>
      <c r="O870" t="s">
        <v>74</v>
      </c>
      <c r="P870" t="s">
        <v>74</v>
      </c>
      <c r="Q870" t="s">
        <v>74</v>
      </c>
      <c r="R870" t="s">
        <v>74</v>
      </c>
      <c r="S870" t="s">
        <v>74</v>
      </c>
      <c r="T870" t="s">
        <v>74</v>
      </c>
      <c r="U870" t="s">
        <v>15969</v>
      </c>
      <c r="V870" t="s">
        <v>15970</v>
      </c>
      <c r="W870" t="s">
        <v>15971</v>
      </c>
      <c r="X870" t="s">
        <v>15972</v>
      </c>
      <c r="Y870" t="s">
        <v>15973</v>
      </c>
      <c r="Z870" t="s">
        <v>15974</v>
      </c>
      <c r="AA870" t="s">
        <v>74</v>
      </c>
      <c r="AB870" t="s">
        <v>15975</v>
      </c>
      <c r="AC870" t="s">
        <v>15976</v>
      </c>
      <c r="AD870" t="s">
        <v>15976</v>
      </c>
      <c r="AE870" t="s">
        <v>15977</v>
      </c>
      <c r="AF870" t="s">
        <v>74</v>
      </c>
      <c r="AG870">
        <v>54</v>
      </c>
      <c r="AH870">
        <v>9</v>
      </c>
      <c r="AI870">
        <v>9</v>
      </c>
      <c r="AJ870">
        <v>0</v>
      </c>
      <c r="AK870">
        <v>36</v>
      </c>
      <c r="AL870" t="s">
        <v>506</v>
      </c>
      <c r="AM870" t="s">
        <v>442</v>
      </c>
      <c r="AN870" t="s">
        <v>507</v>
      </c>
      <c r="AO870" t="s">
        <v>14665</v>
      </c>
      <c r="AP870" t="s">
        <v>14666</v>
      </c>
      <c r="AQ870" t="s">
        <v>74</v>
      </c>
      <c r="AR870" t="s">
        <v>14667</v>
      </c>
      <c r="AS870" t="s">
        <v>14668</v>
      </c>
      <c r="AT870" t="s">
        <v>15214</v>
      </c>
      <c r="AU870">
        <v>2013</v>
      </c>
      <c r="AV870">
        <v>104</v>
      </c>
      <c r="AW870" t="s">
        <v>74</v>
      </c>
      <c r="AX870" t="s">
        <v>74</v>
      </c>
      <c r="AY870" t="s">
        <v>74</v>
      </c>
      <c r="AZ870" t="s">
        <v>74</v>
      </c>
      <c r="BA870" t="s">
        <v>74</v>
      </c>
      <c r="BB870">
        <v>111</v>
      </c>
      <c r="BC870">
        <v>122</v>
      </c>
      <c r="BD870" t="s">
        <v>74</v>
      </c>
      <c r="BE870" t="s">
        <v>15978</v>
      </c>
      <c r="BF870" t="str">
        <f>HYPERLINK("http://dx.doi.org/10.1016/j.gca.2012.11.021","http://dx.doi.org/10.1016/j.gca.2012.11.021")</f>
        <v>http://dx.doi.org/10.1016/j.gca.2012.11.021</v>
      </c>
      <c r="BG870" t="s">
        <v>74</v>
      </c>
      <c r="BH870" t="s">
        <v>74</v>
      </c>
      <c r="BI870">
        <v>12</v>
      </c>
      <c r="BJ870" t="s">
        <v>766</v>
      </c>
      <c r="BK870" t="s">
        <v>102</v>
      </c>
      <c r="BL870" t="s">
        <v>766</v>
      </c>
      <c r="BM870" t="s">
        <v>15964</v>
      </c>
      <c r="BN870" t="s">
        <v>74</v>
      </c>
      <c r="BO870" t="s">
        <v>74</v>
      </c>
      <c r="BP870" t="s">
        <v>74</v>
      </c>
      <c r="BQ870" t="s">
        <v>74</v>
      </c>
      <c r="BR870" t="s">
        <v>105</v>
      </c>
      <c r="BS870" t="s">
        <v>15979</v>
      </c>
      <c r="BT870" t="str">
        <f>HYPERLINK("https%3A%2F%2Fwww.webofscience.com%2Fwos%2Fwoscc%2Ffull-record%2FWOS:000314664500008","View Full Record in Web of Science")</f>
        <v>View Full Record in Web of Science</v>
      </c>
    </row>
    <row r="871" spans="1:72" x14ac:dyDescent="0.15">
      <c r="A871" t="s">
        <v>72</v>
      </c>
      <c r="B871" t="s">
        <v>15980</v>
      </c>
      <c r="C871" t="s">
        <v>74</v>
      </c>
      <c r="D871" t="s">
        <v>74</v>
      </c>
      <c r="E871" t="s">
        <v>74</v>
      </c>
      <c r="F871" t="s">
        <v>15981</v>
      </c>
      <c r="G871" t="s">
        <v>74</v>
      </c>
      <c r="H871" t="s">
        <v>74</v>
      </c>
      <c r="I871" t="s">
        <v>15982</v>
      </c>
      <c r="J871" t="s">
        <v>10176</v>
      </c>
      <c r="K871" t="s">
        <v>74</v>
      </c>
      <c r="L871" t="s">
        <v>74</v>
      </c>
      <c r="M871" t="s">
        <v>78</v>
      </c>
      <c r="N871" t="s">
        <v>79</v>
      </c>
      <c r="O871" t="s">
        <v>74</v>
      </c>
      <c r="P871" t="s">
        <v>74</v>
      </c>
      <c r="Q871" t="s">
        <v>74</v>
      </c>
      <c r="R871" t="s">
        <v>74</v>
      </c>
      <c r="S871" t="s">
        <v>74</v>
      </c>
      <c r="T871" t="s">
        <v>15983</v>
      </c>
      <c r="U871" t="s">
        <v>15984</v>
      </c>
      <c r="V871" t="s">
        <v>15985</v>
      </c>
      <c r="W871" t="s">
        <v>15986</v>
      </c>
      <c r="X871" t="s">
        <v>15987</v>
      </c>
      <c r="Y871" t="s">
        <v>15988</v>
      </c>
      <c r="Z871" t="s">
        <v>15989</v>
      </c>
      <c r="AA871" t="s">
        <v>15990</v>
      </c>
      <c r="AB871" t="s">
        <v>15991</v>
      </c>
      <c r="AC871" t="s">
        <v>74</v>
      </c>
      <c r="AD871" t="s">
        <v>74</v>
      </c>
      <c r="AE871" t="s">
        <v>74</v>
      </c>
      <c r="AF871" t="s">
        <v>74</v>
      </c>
      <c r="AG871">
        <v>18</v>
      </c>
      <c r="AH871">
        <v>22</v>
      </c>
      <c r="AI871">
        <v>22</v>
      </c>
      <c r="AJ871">
        <v>22</v>
      </c>
      <c r="AK871">
        <v>130</v>
      </c>
      <c r="AL871" t="s">
        <v>1515</v>
      </c>
      <c r="AM871" t="s">
        <v>442</v>
      </c>
      <c r="AN871" t="s">
        <v>1516</v>
      </c>
      <c r="AO871" t="s">
        <v>10186</v>
      </c>
      <c r="AP871" t="s">
        <v>74</v>
      </c>
      <c r="AQ871" t="s">
        <v>74</v>
      </c>
      <c r="AR871" t="s">
        <v>10188</v>
      </c>
      <c r="AS871" t="s">
        <v>10189</v>
      </c>
      <c r="AT871" t="s">
        <v>14886</v>
      </c>
      <c r="AU871">
        <v>2013</v>
      </c>
      <c r="AV871">
        <v>38</v>
      </c>
      <c r="AW871" t="s">
        <v>74</v>
      </c>
      <c r="AX871" t="s">
        <v>74</v>
      </c>
      <c r="AY871" t="s">
        <v>74</v>
      </c>
      <c r="AZ871" t="s">
        <v>74</v>
      </c>
      <c r="BA871" t="s">
        <v>74</v>
      </c>
      <c r="BB871">
        <v>438</v>
      </c>
      <c r="BC871">
        <v>446</v>
      </c>
      <c r="BD871" t="s">
        <v>74</v>
      </c>
      <c r="BE871" t="s">
        <v>15992</v>
      </c>
      <c r="BF871" t="str">
        <f>HYPERLINK("http://dx.doi.org/10.1016/j.marpol.2012.07.004","http://dx.doi.org/10.1016/j.marpol.2012.07.004")</f>
        <v>http://dx.doi.org/10.1016/j.marpol.2012.07.004</v>
      </c>
      <c r="BG871" t="s">
        <v>74</v>
      </c>
      <c r="BH871" t="s">
        <v>74</v>
      </c>
      <c r="BI871">
        <v>9</v>
      </c>
      <c r="BJ871" t="s">
        <v>10191</v>
      </c>
      <c r="BK871" t="s">
        <v>3958</v>
      </c>
      <c r="BL871" t="s">
        <v>10192</v>
      </c>
      <c r="BM871" t="s">
        <v>15993</v>
      </c>
      <c r="BN871" t="s">
        <v>74</v>
      </c>
      <c r="BO871" t="s">
        <v>74</v>
      </c>
      <c r="BP871" t="s">
        <v>74</v>
      </c>
      <c r="BQ871" t="s">
        <v>74</v>
      </c>
      <c r="BR871" t="s">
        <v>105</v>
      </c>
      <c r="BS871" t="s">
        <v>15994</v>
      </c>
      <c r="BT871" t="str">
        <f>HYPERLINK("https%3A%2F%2Fwww.webofscience.com%2Fwos%2Fwoscc%2Ffull-record%2FWOS:000313769600049","View Full Record in Web of Science")</f>
        <v>View Full Record in Web of Science</v>
      </c>
    </row>
    <row r="872" spans="1:72" x14ac:dyDescent="0.15">
      <c r="A872" t="s">
        <v>72</v>
      </c>
      <c r="B872" t="s">
        <v>15995</v>
      </c>
      <c r="C872" t="s">
        <v>74</v>
      </c>
      <c r="D872" t="s">
        <v>74</v>
      </c>
      <c r="E872" t="s">
        <v>74</v>
      </c>
      <c r="F872" t="s">
        <v>15996</v>
      </c>
      <c r="G872" t="s">
        <v>74</v>
      </c>
      <c r="H872" t="s">
        <v>74</v>
      </c>
      <c r="I872" t="s">
        <v>15997</v>
      </c>
      <c r="J872" t="s">
        <v>15998</v>
      </c>
      <c r="K872" t="s">
        <v>74</v>
      </c>
      <c r="L872" t="s">
        <v>74</v>
      </c>
      <c r="M872" t="s">
        <v>78</v>
      </c>
      <c r="N872" t="s">
        <v>79</v>
      </c>
      <c r="O872" t="s">
        <v>74</v>
      </c>
      <c r="P872" t="s">
        <v>74</v>
      </c>
      <c r="Q872" t="s">
        <v>74</v>
      </c>
      <c r="R872" t="s">
        <v>74</v>
      </c>
      <c r="S872" t="s">
        <v>74</v>
      </c>
      <c r="T872" t="s">
        <v>74</v>
      </c>
      <c r="U872" t="s">
        <v>15999</v>
      </c>
      <c r="V872" t="s">
        <v>16000</v>
      </c>
      <c r="W872" t="s">
        <v>16001</v>
      </c>
      <c r="X872" t="s">
        <v>16002</v>
      </c>
      <c r="Y872" t="s">
        <v>16003</v>
      </c>
      <c r="Z872" t="s">
        <v>16004</v>
      </c>
      <c r="AA872" t="s">
        <v>16005</v>
      </c>
      <c r="AB872" t="s">
        <v>16006</v>
      </c>
      <c r="AC872" t="s">
        <v>16007</v>
      </c>
      <c r="AD872" t="s">
        <v>16008</v>
      </c>
      <c r="AE872" t="s">
        <v>16009</v>
      </c>
      <c r="AF872" t="s">
        <v>74</v>
      </c>
      <c r="AG872">
        <v>29</v>
      </c>
      <c r="AH872">
        <v>166</v>
      </c>
      <c r="AI872">
        <v>186</v>
      </c>
      <c r="AJ872">
        <v>6</v>
      </c>
      <c r="AK872">
        <v>58</v>
      </c>
      <c r="AL872" t="s">
        <v>10686</v>
      </c>
      <c r="AM872" t="s">
        <v>93</v>
      </c>
      <c r="AN872" t="s">
        <v>10687</v>
      </c>
      <c r="AO872" t="s">
        <v>16010</v>
      </c>
      <c r="AP872" t="s">
        <v>16011</v>
      </c>
      <c r="AQ872" t="s">
        <v>74</v>
      </c>
      <c r="AR872" t="s">
        <v>16012</v>
      </c>
      <c r="AS872" t="s">
        <v>16013</v>
      </c>
      <c r="AT872" t="s">
        <v>14886</v>
      </c>
      <c r="AU872">
        <v>2013</v>
      </c>
      <c r="AV872">
        <v>79</v>
      </c>
      <c r="AW872">
        <v>6</v>
      </c>
      <c r="AX872" t="s">
        <v>74</v>
      </c>
      <c r="AY872" t="s">
        <v>74</v>
      </c>
      <c r="AZ872" t="s">
        <v>74</v>
      </c>
      <c r="BA872" t="s">
        <v>74</v>
      </c>
      <c r="BB872">
        <v>1874</v>
      </c>
      <c r="BC872">
        <v>1881</v>
      </c>
      <c r="BD872" t="s">
        <v>74</v>
      </c>
      <c r="BE872" t="s">
        <v>16014</v>
      </c>
      <c r="BF872" t="str">
        <f>HYPERLINK("http://dx.doi.org/10.1128/AEM.03657-12","http://dx.doi.org/10.1128/AEM.03657-12")</f>
        <v>http://dx.doi.org/10.1128/AEM.03657-12</v>
      </c>
      <c r="BG872" t="s">
        <v>74</v>
      </c>
      <c r="BH872" t="s">
        <v>74</v>
      </c>
      <c r="BI872">
        <v>8</v>
      </c>
      <c r="BJ872" t="s">
        <v>6856</v>
      </c>
      <c r="BK872" t="s">
        <v>102</v>
      </c>
      <c r="BL872" t="s">
        <v>6856</v>
      </c>
      <c r="BM872" t="s">
        <v>16015</v>
      </c>
      <c r="BN872">
        <v>23315742</v>
      </c>
      <c r="BO872" t="s">
        <v>2011</v>
      </c>
      <c r="BP872" t="s">
        <v>74</v>
      </c>
      <c r="BQ872" t="s">
        <v>74</v>
      </c>
      <c r="BR872" t="s">
        <v>105</v>
      </c>
      <c r="BS872" t="s">
        <v>16016</v>
      </c>
      <c r="BT872" t="str">
        <f>HYPERLINK("https%3A%2F%2Fwww.webofscience.com%2Fwos%2Fwoscc%2Ffull-record%2FWOS:000315454500014","View Full Record in Web of Science")</f>
        <v>View Full Record in Web of Science</v>
      </c>
    </row>
    <row r="873" spans="1:72" x14ac:dyDescent="0.15">
      <c r="A873" t="s">
        <v>72</v>
      </c>
      <c r="B873" t="s">
        <v>16017</v>
      </c>
      <c r="C873" t="s">
        <v>74</v>
      </c>
      <c r="D873" t="s">
        <v>74</v>
      </c>
      <c r="E873" t="s">
        <v>74</v>
      </c>
      <c r="F873" t="s">
        <v>16018</v>
      </c>
      <c r="G873" t="s">
        <v>74</v>
      </c>
      <c r="H873" t="s">
        <v>74</v>
      </c>
      <c r="I873" t="s">
        <v>16019</v>
      </c>
      <c r="J873" t="s">
        <v>16020</v>
      </c>
      <c r="K873" t="s">
        <v>74</v>
      </c>
      <c r="L873" t="s">
        <v>74</v>
      </c>
      <c r="M873" t="s">
        <v>78</v>
      </c>
      <c r="N873" t="s">
        <v>79</v>
      </c>
      <c r="O873" t="s">
        <v>74</v>
      </c>
      <c r="P873" t="s">
        <v>74</v>
      </c>
      <c r="Q873" t="s">
        <v>74</v>
      </c>
      <c r="R873" t="s">
        <v>74</v>
      </c>
      <c r="S873" t="s">
        <v>74</v>
      </c>
      <c r="T873" t="s">
        <v>16021</v>
      </c>
      <c r="U873" t="s">
        <v>16022</v>
      </c>
      <c r="V873" t="s">
        <v>16023</v>
      </c>
      <c r="W873" t="s">
        <v>16024</v>
      </c>
      <c r="X873" t="s">
        <v>1300</v>
      </c>
      <c r="Y873" t="s">
        <v>16025</v>
      </c>
      <c r="Z873" t="s">
        <v>16026</v>
      </c>
      <c r="AA873" t="s">
        <v>74</v>
      </c>
      <c r="AB873" t="s">
        <v>16027</v>
      </c>
      <c r="AC873" t="s">
        <v>16028</v>
      </c>
      <c r="AD873" t="s">
        <v>16029</v>
      </c>
      <c r="AE873" t="s">
        <v>16030</v>
      </c>
      <c r="AF873" t="s">
        <v>74</v>
      </c>
      <c r="AG873">
        <v>56</v>
      </c>
      <c r="AH873">
        <v>49</v>
      </c>
      <c r="AI873">
        <v>64</v>
      </c>
      <c r="AJ873">
        <v>1</v>
      </c>
      <c r="AK873">
        <v>133</v>
      </c>
      <c r="AL873" t="s">
        <v>16031</v>
      </c>
      <c r="AM873" t="s">
        <v>16032</v>
      </c>
      <c r="AN873" t="s">
        <v>16033</v>
      </c>
      <c r="AO873" t="s">
        <v>16034</v>
      </c>
      <c r="AP873" t="s">
        <v>16035</v>
      </c>
      <c r="AQ873" t="s">
        <v>74</v>
      </c>
      <c r="AR873" t="s">
        <v>16020</v>
      </c>
      <c r="AS873" t="s">
        <v>16036</v>
      </c>
      <c r="AT873" t="s">
        <v>16037</v>
      </c>
      <c r="AU873">
        <v>2013</v>
      </c>
      <c r="AV873">
        <v>101</v>
      </c>
      <c r="AW873">
        <v>1</v>
      </c>
      <c r="AX873" t="s">
        <v>74</v>
      </c>
      <c r="AY873" t="s">
        <v>74</v>
      </c>
      <c r="AZ873" t="s">
        <v>74</v>
      </c>
      <c r="BA873" t="s">
        <v>74</v>
      </c>
      <c r="BB873">
        <v>3</v>
      </c>
      <c r="BC873">
        <v>12</v>
      </c>
      <c r="BD873" t="s">
        <v>74</v>
      </c>
      <c r="BE873" t="s">
        <v>16038</v>
      </c>
      <c r="BF873" t="str">
        <f>HYPERLINK("http://dx.doi.org/10.5253/078.101.0102","http://dx.doi.org/10.5253/078.101.0102")</f>
        <v>http://dx.doi.org/10.5253/078.101.0102</v>
      </c>
      <c r="BG873" t="s">
        <v>74</v>
      </c>
      <c r="BH873" t="s">
        <v>74</v>
      </c>
      <c r="BI873">
        <v>10</v>
      </c>
      <c r="BJ873" t="s">
        <v>7792</v>
      </c>
      <c r="BK873" t="s">
        <v>102</v>
      </c>
      <c r="BL873" t="s">
        <v>2120</v>
      </c>
      <c r="BM873" t="s">
        <v>16039</v>
      </c>
      <c r="BN873" t="s">
        <v>74</v>
      </c>
      <c r="BO873" t="s">
        <v>4146</v>
      </c>
      <c r="BP873" t="s">
        <v>74</v>
      </c>
      <c r="BQ873" t="s">
        <v>74</v>
      </c>
      <c r="BR873" t="s">
        <v>105</v>
      </c>
      <c r="BS873" t="s">
        <v>16040</v>
      </c>
      <c r="BT873" t="str">
        <f>HYPERLINK("https%3A%2F%2Fwww.webofscience.com%2Fwos%2Fwoscc%2Ffull-record%2FWOS:000320894100002","View Full Record in Web of Science")</f>
        <v>View Full Record in Web of Science</v>
      </c>
    </row>
    <row r="874" spans="1:72" x14ac:dyDescent="0.15">
      <c r="A874" t="s">
        <v>72</v>
      </c>
      <c r="B874" t="s">
        <v>16041</v>
      </c>
      <c r="C874" t="s">
        <v>74</v>
      </c>
      <c r="D874" t="s">
        <v>74</v>
      </c>
      <c r="E874" t="s">
        <v>74</v>
      </c>
      <c r="F874" t="s">
        <v>16042</v>
      </c>
      <c r="G874" t="s">
        <v>74</v>
      </c>
      <c r="H874" t="s">
        <v>74</v>
      </c>
      <c r="I874" t="s">
        <v>16043</v>
      </c>
      <c r="J874" t="s">
        <v>14932</v>
      </c>
      <c r="K874" t="s">
        <v>74</v>
      </c>
      <c r="L874" t="s">
        <v>74</v>
      </c>
      <c r="M874" t="s">
        <v>78</v>
      </c>
      <c r="N874" t="s">
        <v>79</v>
      </c>
      <c r="O874" t="s">
        <v>74</v>
      </c>
      <c r="P874" t="s">
        <v>74</v>
      </c>
      <c r="Q874" t="s">
        <v>74</v>
      </c>
      <c r="R874" t="s">
        <v>74</v>
      </c>
      <c r="S874" t="s">
        <v>74</v>
      </c>
      <c r="T874" t="s">
        <v>74</v>
      </c>
      <c r="U874" t="s">
        <v>16044</v>
      </c>
      <c r="V874" t="s">
        <v>16045</v>
      </c>
      <c r="W874" t="s">
        <v>16046</v>
      </c>
      <c r="X874" t="s">
        <v>16047</v>
      </c>
      <c r="Y874" t="s">
        <v>74</v>
      </c>
      <c r="Z874" t="s">
        <v>16048</v>
      </c>
      <c r="AA874" t="s">
        <v>16049</v>
      </c>
      <c r="AB874" t="s">
        <v>16050</v>
      </c>
      <c r="AC874" t="s">
        <v>16051</v>
      </c>
      <c r="AD874" t="s">
        <v>16051</v>
      </c>
      <c r="AE874" t="s">
        <v>16052</v>
      </c>
      <c r="AF874" t="s">
        <v>74</v>
      </c>
      <c r="AG874">
        <v>58</v>
      </c>
      <c r="AH874">
        <v>46</v>
      </c>
      <c r="AI874">
        <v>47</v>
      </c>
      <c r="AJ874">
        <v>0</v>
      </c>
      <c r="AK874">
        <v>9</v>
      </c>
      <c r="AL874" t="s">
        <v>14943</v>
      </c>
      <c r="AM874" t="s">
        <v>14944</v>
      </c>
      <c r="AN874" t="s">
        <v>14945</v>
      </c>
      <c r="AO874" t="s">
        <v>14946</v>
      </c>
      <c r="AP874" t="s">
        <v>74</v>
      </c>
      <c r="AQ874" t="s">
        <v>74</v>
      </c>
      <c r="AR874" t="s">
        <v>14947</v>
      </c>
      <c r="AS874" t="s">
        <v>14948</v>
      </c>
      <c r="AT874" t="s">
        <v>14886</v>
      </c>
      <c r="AU874">
        <v>2013</v>
      </c>
      <c r="AV874">
        <v>63</v>
      </c>
      <c r="AW874">
        <v>1</v>
      </c>
      <c r="AX874" t="s">
        <v>74</v>
      </c>
      <c r="AY874" t="s">
        <v>74</v>
      </c>
      <c r="AZ874" t="s">
        <v>74</v>
      </c>
      <c r="BA874" t="s">
        <v>74</v>
      </c>
      <c r="BB874">
        <v>213</v>
      </c>
      <c r="BC874">
        <v>232</v>
      </c>
      <c r="BD874" t="s">
        <v>74</v>
      </c>
      <c r="BE874" t="s">
        <v>16053</v>
      </c>
      <c r="BF874" t="str">
        <f>HYPERLINK("http://dx.doi.org/10.22499/2.6301.014","http://dx.doi.org/10.22499/2.6301.014")</f>
        <v>http://dx.doi.org/10.22499/2.6301.014</v>
      </c>
      <c r="BG874" t="s">
        <v>74</v>
      </c>
      <c r="BH874" t="s">
        <v>74</v>
      </c>
      <c r="BI874">
        <v>20</v>
      </c>
      <c r="BJ874" t="s">
        <v>1927</v>
      </c>
      <c r="BK874" t="s">
        <v>102</v>
      </c>
      <c r="BL874" t="s">
        <v>1927</v>
      </c>
      <c r="BM874" t="s">
        <v>14950</v>
      </c>
      <c r="BN874" t="s">
        <v>74</v>
      </c>
      <c r="BO874" t="s">
        <v>104</v>
      </c>
      <c r="BP874" t="s">
        <v>74</v>
      </c>
      <c r="BQ874" t="s">
        <v>74</v>
      </c>
      <c r="BR874" t="s">
        <v>105</v>
      </c>
      <c r="BS874" t="s">
        <v>16054</v>
      </c>
      <c r="BT874" t="str">
        <f>HYPERLINK("https%3A%2F%2Fwww.webofscience.com%2Fwos%2Fwoscc%2Ffull-record%2FWOS:000321822100014","View Full Record in Web of Science")</f>
        <v>View Full Record in Web of Science</v>
      </c>
    </row>
    <row r="875" spans="1:72" x14ac:dyDescent="0.15">
      <c r="A875" t="s">
        <v>72</v>
      </c>
      <c r="B875" t="s">
        <v>16055</v>
      </c>
      <c r="C875" t="s">
        <v>74</v>
      </c>
      <c r="D875" t="s">
        <v>74</v>
      </c>
      <c r="E875" t="s">
        <v>74</v>
      </c>
      <c r="F875" t="s">
        <v>16056</v>
      </c>
      <c r="G875" t="s">
        <v>74</v>
      </c>
      <c r="H875" t="s">
        <v>74</v>
      </c>
      <c r="I875" t="s">
        <v>16057</v>
      </c>
      <c r="J875" t="s">
        <v>1165</v>
      </c>
      <c r="K875" t="s">
        <v>74</v>
      </c>
      <c r="L875" t="s">
        <v>74</v>
      </c>
      <c r="M875" t="s">
        <v>78</v>
      </c>
      <c r="N875" t="s">
        <v>79</v>
      </c>
      <c r="O875" t="s">
        <v>74</v>
      </c>
      <c r="P875" t="s">
        <v>74</v>
      </c>
      <c r="Q875" t="s">
        <v>74</v>
      </c>
      <c r="R875" t="s">
        <v>74</v>
      </c>
      <c r="S875" t="s">
        <v>74</v>
      </c>
      <c r="T875" t="s">
        <v>74</v>
      </c>
      <c r="U875" t="s">
        <v>16058</v>
      </c>
      <c r="V875" t="s">
        <v>16059</v>
      </c>
      <c r="W875" t="s">
        <v>16060</v>
      </c>
      <c r="X875" t="s">
        <v>16061</v>
      </c>
      <c r="Y875" t="s">
        <v>16062</v>
      </c>
      <c r="Z875" t="s">
        <v>16063</v>
      </c>
      <c r="AA875" t="s">
        <v>16064</v>
      </c>
      <c r="AB875" t="s">
        <v>16065</v>
      </c>
      <c r="AC875" t="s">
        <v>16066</v>
      </c>
      <c r="AD875" t="s">
        <v>16067</v>
      </c>
      <c r="AE875" t="s">
        <v>16068</v>
      </c>
      <c r="AF875" t="s">
        <v>74</v>
      </c>
      <c r="AG875">
        <v>152</v>
      </c>
      <c r="AH875">
        <v>132</v>
      </c>
      <c r="AI875">
        <v>142</v>
      </c>
      <c r="AJ875">
        <v>0</v>
      </c>
      <c r="AK875">
        <v>74</v>
      </c>
      <c r="AL875" t="s">
        <v>237</v>
      </c>
      <c r="AM875" t="s">
        <v>238</v>
      </c>
      <c r="AN875" t="s">
        <v>239</v>
      </c>
      <c r="AO875" t="s">
        <v>1177</v>
      </c>
      <c r="AP875" t="s">
        <v>1178</v>
      </c>
      <c r="AQ875" t="s">
        <v>74</v>
      </c>
      <c r="AR875" t="s">
        <v>1179</v>
      </c>
      <c r="AS875" t="s">
        <v>1180</v>
      </c>
      <c r="AT875" t="s">
        <v>14886</v>
      </c>
      <c r="AU875">
        <v>2013</v>
      </c>
      <c r="AV875">
        <v>94</v>
      </c>
      <c r="AW875">
        <v>3</v>
      </c>
      <c r="AX875" t="s">
        <v>74</v>
      </c>
      <c r="AY875" t="s">
        <v>74</v>
      </c>
      <c r="AZ875" t="s">
        <v>74</v>
      </c>
      <c r="BA875" t="s">
        <v>74</v>
      </c>
      <c r="BB875">
        <v>403</v>
      </c>
      <c r="BC875">
        <v>423</v>
      </c>
      <c r="BD875" t="s">
        <v>74</v>
      </c>
      <c r="BE875" t="s">
        <v>16069</v>
      </c>
      <c r="BF875" t="str">
        <f>HYPERLINK("http://dx.doi.org/10.1175/BAMS-D-11-00244.1","http://dx.doi.org/10.1175/BAMS-D-11-00244.1")</f>
        <v>http://dx.doi.org/10.1175/BAMS-D-11-00244.1</v>
      </c>
      <c r="BG875" t="s">
        <v>74</v>
      </c>
      <c r="BH875" t="s">
        <v>74</v>
      </c>
      <c r="BI875">
        <v>21</v>
      </c>
      <c r="BJ875" t="s">
        <v>305</v>
      </c>
      <c r="BK875" t="s">
        <v>102</v>
      </c>
      <c r="BL875" t="s">
        <v>305</v>
      </c>
      <c r="BM875" t="s">
        <v>16070</v>
      </c>
      <c r="BN875" t="s">
        <v>74</v>
      </c>
      <c r="BO875" t="s">
        <v>16071</v>
      </c>
      <c r="BP875" t="s">
        <v>74</v>
      </c>
      <c r="BQ875" t="s">
        <v>74</v>
      </c>
      <c r="BR875" t="s">
        <v>105</v>
      </c>
      <c r="BS875" t="s">
        <v>16072</v>
      </c>
      <c r="BT875" t="str">
        <f>HYPERLINK("https%3A%2F%2Fwww.webofscience.com%2Fwos%2Fwoscc%2Ffull-record%2FWOS:000317327600010","View Full Record in Web of Science")</f>
        <v>View Full Record in Web of Science</v>
      </c>
    </row>
    <row r="876" spans="1:72" x14ac:dyDescent="0.15">
      <c r="A876" t="s">
        <v>72</v>
      </c>
      <c r="B876" t="s">
        <v>16073</v>
      </c>
      <c r="C876" t="s">
        <v>74</v>
      </c>
      <c r="D876" t="s">
        <v>74</v>
      </c>
      <c r="E876" t="s">
        <v>74</v>
      </c>
      <c r="F876" t="s">
        <v>16074</v>
      </c>
      <c r="G876" t="s">
        <v>74</v>
      </c>
      <c r="H876" t="s">
        <v>74</v>
      </c>
      <c r="I876" t="s">
        <v>16075</v>
      </c>
      <c r="J876" t="s">
        <v>1207</v>
      </c>
      <c r="K876" t="s">
        <v>74</v>
      </c>
      <c r="L876" t="s">
        <v>74</v>
      </c>
      <c r="M876" t="s">
        <v>78</v>
      </c>
      <c r="N876" t="s">
        <v>79</v>
      </c>
      <c r="O876" t="s">
        <v>74</v>
      </c>
      <c r="P876" t="s">
        <v>74</v>
      </c>
      <c r="Q876" t="s">
        <v>74</v>
      </c>
      <c r="R876" t="s">
        <v>74</v>
      </c>
      <c r="S876" t="s">
        <v>74</v>
      </c>
      <c r="T876" t="s">
        <v>16076</v>
      </c>
      <c r="U876" t="s">
        <v>16077</v>
      </c>
      <c r="V876" t="s">
        <v>16078</v>
      </c>
      <c r="W876" t="s">
        <v>16079</v>
      </c>
      <c r="X876" t="s">
        <v>687</v>
      </c>
      <c r="Y876" t="s">
        <v>688</v>
      </c>
      <c r="Z876" t="s">
        <v>689</v>
      </c>
      <c r="AA876" t="s">
        <v>16080</v>
      </c>
      <c r="AB876" t="s">
        <v>16081</v>
      </c>
      <c r="AC876" t="s">
        <v>74</v>
      </c>
      <c r="AD876" t="s">
        <v>74</v>
      </c>
      <c r="AE876" t="s">
        <v>74</v>
      </c>
      <c r="AF876" t="s">
        <v>74</v>
      </c>
      <c r="AG876">
        <v>49</v>
      </c>
      <c r="AH876">
        <v>131</v>
      </c>
      <c r="AI876">
        <v>138</v>
      </c>
      <c r="AJ876">
        <v>2</v>
      </c>
      <c r="AK876">
        <v>71</v>
      </c>
      <c r="AL876" t="s">
        <v>529</v>
      </c>
      <c r="AM876" t="s">
        <v>391</v>
      </c>
      <c r="AN876" t="s">
        <v>1220</v>
      </c>
      <c r="AO876" t="s">
        <v>1221</v>
      </c>
      <c r="AP876" t="s">
        <v>1222</v>
      </c>
      <c r="AQ876" t="s">
        <v>74</v>
      </c>
      <c r="AR876" t="s">
        <v>1223</v>
      </c>
      <c r="AS876" t="s">
        <v>1224</v>
      </c>
      <c r="AT876" t="s">
        <v>14886</v>
      </c>
      <c r="AU876">
        <v>2013</v>
      </c>
      <c r="AV876">
        <v>40</v>
      </c>
      <c r="AW876" t="s">
        <v>9400</v>
      </c>
      <c r="AX876" t="s">
        <v>74</v>
      </c>
      <c r="AY876" t="s">
        <v>74</v>
      </c>
      <c r="AZ876" t="s">
        <v>74</v>
      </c>
      <c r="BA876" t="s">
        <v>74</v>
      </c>
      <c r="BB876">
        <v>1071</v>
      </c>
      <c r="BC876">
        <v>1086</v>
      </c>
      <c r="BD876" t="s">
        <v>74</v>
      </c>
      <c r="BE876" t="s">
        <v>16082</v>
      </c>
      <c r="BF876" t="str">
        <f>HYPERLINK("http://dx.doi.org/10.1007/s00382-012-1350-z","http://dx.doi.org/10.1007/s00382-012-1350-z")</f>
        <v>http://dx.doi.org/10.1007/s00382-012-1350-z</v>
      </c>
      <c r="BG876" t="s">
        <v>74</v>
      </c>
      <c r="BH876" t="s">
        <v>74</v>
      </c>
      <c r="BI876">
        <v>16</v>
      </c>
      <c r="BJ876" t="s">
        <v>305</v>
      </c>
      <c r="BK876" t="s">
        <v>102</v>
      </c>
      <c r="BL876" t="s">
        <v>305</v>
      </c>
      <c r="BM876" t="s">
        <v>16083</v>
      </c>
      <c r="BN876" t="s">
        <v>74</v>
      </c>
      <c r="BO876" t="s">
        <v>74</v>
      </c>
      <c r="BP876" t="s">
        <v>74</v>
      </c>
      <c r="BQ876" t="s">
        <v>74</v>
      </c>
      <c r="BR876" t="s">
        <v>105</v>
      </c>
      <c r="BS876" t="s">
        <v>16084</v>
      </c>
      <c r="BT876" t="str">
        <f>HYPERLINK("https%3A%2F%2Fwww.webofscience.com%2Fwos%2Fwoscc%2Ffull-record%2FWOS:000315440100002","View Full Record in Web of Science")</f>
        <v>View Full Record in Web of Science</v>
      </c>
    </row>
    <row r="877" spans="1:72" x14ac:dyDescent="0.15">
      <c r="A877" t="s">
        <v>72</v>
      </c>
      <c r="B877" t="s">
        <v>16085</v>
      </c>
      <c r="C877" t="s">
        <v>74</v>
      </c>
      <c r="D877" t="s">
        <v>74</v>
      </c>
      <c r="E877" t="s">
        <v>74</v>
      </c>
      <c r="F877" t="s">
        <v>16086</v>
      </c>
      <c r="G877" t="s">
        <v>74</v>
      </c>
      <c r="H877" t="s">
        <v>74</v>
      </c>
      <c r="I877" t="s">
        <v>16087</v>
      </c>
      <c r="J877" t="s">
        <v>16088</v>
      </c>
      <c r="K877" t="s">
        <v>74</v>
      </c>
      <c r="L877" t="s">
        <v>74</v>
      </c>
      <c r="M877" t="s">
        <v>78</v>
      </c>
      <c r="N877" t="s">
        <v>79</v>
      </c>
      <c r="O877" t="s">
        <v>74</v>
      </c>
      <c r="P877" t="s">
        <v>74</v>
      </c>
      <c r="Q877" t="s">
        <v>74</v>
      </c>
      <c r="R877" t="s">
        <v>74</v>
      </c>
      <c r="S877" t="s">
        <v>74</v>
      </c>
      <c r="T877" t="s">
        <v>16089</v>
      </c>
      <c r="U877" t="s">
        <v>16090</v>
      </c>
      <c r="V877" t="s">
        <v>16091</v>
      </c>
      <c r="W877" t="s">
        <v>16092</v>
      </c>
      <c r="X877" t="s">
        <v>16093</v>
      </c>
      <c r="Y877" t="s">
        <v>16094</v>
      </c>
      <c r="Z877" t="s">
        <v>16095</v>
      </c>
      <c r="AA877" t="s">
        <v>16096</v>
      </c>
      <c r="AB877" t="s">
        <v>16097</v>
      </c>
      <c r="AC877" t="s">
        <v>16098</v>
      </c>
      <c r="AD877" t="s">
        <v>16099</v>
      </c>
      <c r="AE877" t="s">
        <v>16100</v>
      </c>
      <c r="AF877" t="s">
        <v>74</v>
      </c>
      <c r="AG877">
        <v>72</v>
      </c>
      <c r="AH877">
        <v>119</v>
      </c>
      <c r="AI877">
        <v>123</v>
      </c>
      <c r="AJ877">
        <v>2</v>
      </c>
      <c r="AK877">
        <v>69</v>
      </c>
      <c r="AL877" t="s">
        <v>529</v>
      </c>
      <c r="AM877" t="s">
        <v>391</v>
      </c>
      <c r="AN877" t="s">
        <v>530</v>
      </c>
      <c r="AO877" t="s">
        <v>16101</v>
      </c>
      <c r="AP877" t="s">
        <v>16102</v>
      </c>
      <c r="AQ877" t="s">
        <v>74</v>
      </c>
      <c r="AR877" t="s">
        <v>16088</v>
      </c>
      <c r="AS877" t="s">
        <v>16103</v>
      </c>
      <c r="AT877" t="s">
        <v>14886</v>
      </c>
      <c r="AU877">
        <v>2013</v>
      </c>
      <c r="AV877">
        <v>32</v>
      </c>
      <c r="AW877">
        <v>1</v>
      </c>
      <c r="AX877" t="s">
        <v>74</v>
      </c>
      <c r="AY877" t="s">
        <v>74</v>
      </c>
      <c r="AZ877" t="s">
        <v>74</v>
      </c>
      <c r="BA877" t="s">
        <v>74</v>
      </c>
      <c r="BB877">
        <v>161</v>
      </c>
      <c r="BC877">
        <v>172</v>
      </c>
      <c r="BD877" t="s">
        <v>74</v>
      </c>
      <c r="BE877" t="s">
        <v>16104</v>
      </c>
      <c r="BF877" t="str">
        <f>HYPERLINK("http://dx.doi.org/10.1007/s00338-012-0959-z","http://dx.doi.org/10.1007/s00338-012-0959-z")</f>
        <v>http://dx.doi.org/10.1007/s00338-012-0959-z</v>
      </c>
      <c r="BG877" t="s">
        <v>74</v>
      </c>
      <c r="BH877" t="s">
        <v>74</v>
      </c>
      <c r="BI877">
        <v>12</v>
      </c>
      <c r="BJ877" t="s">
        <v>1809</v>
      </c>
      <c r="BK877" t="s">
        <v>102</v>
      </c>
      <c r="BL877" t="s">
        <v>1809</v>
      </c>
      <c r="BM877" t="s">
        <v>16105</v>
      </c>
      <c r="BN877" t="s">
        <v>74</v>
      </c>
      <c r="BO877" t="s">
        <v>74</v>
      </c>
      <c r="BP877" t="s">
        <v>74</v>
      </c>
      <c r="BQ877" t="s">
        <v>74</v>
      </c>
      <c r="BR877" t="s">
        <v>105</v>
      </c>
      <c r="BS877" t="s">
        <v>16106</v>
      </c>
      <c r="BT877" t="str">
        <f>HYPERLINK("https%3A%2F%2Fwww.webofscience.com%2Fwos%2Fwoscc%2Ffull-record%2FWOS:000316018600021","View Full Record in Web of Science")</f>
        <v>View Full Record in Web of Science</v>
      </c>
    </row>
    <row r="878" spans="1:72" x14ac:dyDescent="0.15">
      <c r="A878" t="s">
        <v>72</v>
      </c>
      <c r="B878" t="s">
        <v>16107</v>
      </c>
      <c r="C878" t="s">
        <v>74</v>
      </c>
      <c r="D878" t="s">
        <v>74</v>
      </c>
      <c r="E878" t="s">
        <v>74</v>
      </c>
      <c r="F878" t="s">
        <v>16108</v>
      </c>
      <c r="G878" t="s">
        <v>74</v>
      </c>
      <c r="H878" t="s">
        <v>74</v>
      </c>
      <c r="I878" t="s">
        <v>16109</v>
      </c>
      <c r="J878" t="s">
        <v>16110</v>
      </c>
      <c r="K878" t="s">
        <v>74</v>
      </c>
      <c r="L878" t="s">
        <v>74</v>
      </c>
      <c r="M878" t="s">
        <v>78</v>
      </c>
      <c r="N878" t="s">
        <v>79</v>
      </c>
      <c r="O878" t="s">
        <v>74</v>
      </c>
      <c r="P878" t="s">
        <v>74</v>
      </c>
      <c r="Q878" t="s">
        <v>74</v>
      </c>
      <c r="R878" t="s">
        <v>74</v>
      </c>
      <c r="S878" t="s">
        <v>74</v>
      </c>
      <c r="T878" t="s">
        <v>16111</v>
      </c>
      <c r="U878" t="s">
        <v>16112</v>
      </c>
      <c r="V878" t="s">
        <v>16113</v>
      </c>
      <c r="W878" t="s">
        <v>16114</v>
      </c>
      <c r="X878" t="s">
        <v>16115</v>
      </c>
      <c r="Y878" t="s">
        <v>16116</v>
      </c>
      <c r="Z878" t="s">
        <v>16117</v>
      </c>
      <c r="AA878" t="s">
        <v>16118</v>
      </c>
      <c r="AB878" t="s">
        <v>16119</v>
      </c>
      <c r="AC878" t="s">
        <v>16120</v>
      </c>
      <c r="AD878" t="s">
        <v>16121</v>
      </c>
      <c r="AE878" t="s">
        <v>16122</v>
      </c>
      <c r="AF878" t="s">
        <v>74</v>
      </c>
      <c r="AG878">
        <v>42</v>
      </c>
      <c r="AH878">
        <v>7</v>
      </c>
      <c r="AI878">
        <v>7</v>
      </c>
      <c r="AJ878">
        <v>2</v>
      </c>
      <c r="AK878">
        <v>29</v>
      </c>
      <c r="AL878" t="s">
        <v>16123</v>
      </c>
      <c r="AM878" t="s">
        <v>643</v>
      </c>
      <c r="AN878" t="s">
        <v>16124</v>
      </c>
      <c r="AO878" t="s">
        <v>16125</v>
      </c>
      <c r="AP878" t="s">
        <v>16126</v>
      </c>
      <c r="AQ878" t="s">
        <v>74</v>
      </c>
      <c r="AR878" t="s">
        <v>16110</v>
      </c>
      <c r="AS878" t="s">
        <v>16127</v>
      </c>
      <c r="AT878" t="s">
        <v>15141</v>
      </c>
      <c r="AU878">
        <v>2013</v>
      </c>
      <c r="AV878">
        <v>34</v>
      </c>
      <c r="AW878">
        <v>2</v>
      </c>
      <c r="AX878" t="s">
        <v>74</v>
      </c>
      <c r="AY878" t="s">
        <v>74</v>
      </c>
      <c r="AZ878" t="s">
        <v>74</v>
      </c>
      <c r="BA878" t="s">
        <v>74</v>
      </c>
      <c r="BB878">
        <v>137</v>
      </c>
      <c r="BC878">
        <v>148</v>
      </c>
      <c r="BD878" t="s">
        <v>74</v>
      </c>
      <c r="BE878" t="s">
        <v>74</v>
      </c>
      <c r="BF878" t="s">
        <v>74</v>
      </c>
      <c r="BG878" t="s">
        <v>74</v>
      </c>
      <c r="BH878" t="s">
        <v>74</v>
      </c>
      <c r="BI878">
        <v>12</v>
      </c>
      <c r="BJ878" t="s">
        <v>13596</v>
      </c>
      <c r="BK878" t="s">
        <v>102</v>
      </c>
      <c r="BL878" t="s">
        <v>13597</v>
      </c>
      <c r="BM878" t="s">
        <v>16128</v>
      </c>
      <c r="BN878">
        <v>23625082</v>
      </c>
      <c r="BO878" t="s">
        <v>74</v>
      </c>
      <c r="BP878" t="s">
        <v>74</v>
      </c>
      <c r="BQ878" t="s">
        <v>74</v>
      </c>
      <c r="BR878" t="s">
        <v>105</v>
      </c>
      <c r="BS878" t="s">
        <v>16129</v>
      </c>
      <c r="BT878" t="str">
        <f>HYPERLINK("https%3A%2F%2Fwww.webofscience.com%2Fwos%2Fwoscc%2Ffull-record%2FWOS:000337718200004","View Full Record in Web of Science")</f>
        <v>View Full Record in Web of Science</v>
      </c>
    </row>
    <row r="879" spans="1:72" x14ac:dyDescent="0.15">
      <c r="A879" t="s">
        <v>72</v>
      </c>
      <c r="B879" t="s">
        <v>16130</v>
      </c>
      <c r="C879" t="s">
        <v>74</v>
      </c>
      <c r="D879" t="s">
        <v>74</v>
      </c>
      <c r="E879" t="s">
        <v>74</v>
      </c>
      <c r="F879" t="s">
        <v>16131</v>
      </c>
      <c r="G879" t="s">
        <v>74</v>
      </c>
      <c r="H879" t="s">
        <v>74</v>
      </c>
      <c r="I879" t="s">
        <v>16132</v>
      </c>
      <c r="J879" t="s">
        <v>1257</v>
      </c>
      <c r="K879" t="s">
        <v>74</v>
      </c>
      <c r="L879" t="s">
        <v>74</v>
      </c>
      <c r="M879" t="s">
        <v>78</v>
      </c>
      <c r="N879" t="s">
        <v>79</v>
      </c>
      <c r="O879" t="s">
        <v>74</v>
      </c>
      <c r="P879" t="s">
        <v>74</v>
      </c>
      <c r="Q879" t="s">
        <v>74</v>
      </c>
      <c r="R879" t="s">
        <v>74</v>
      </c>
      <c r="S879" t="s">
        <v>74</v>
      </c>
      <c r="T879" t="s">
        <v>16133</v>
      </c>
      <c r="U879" t="s">
        <v>16134</v>
      </c>
      <c r="V879" t="s">
        <v>16135</v>
      </c>
      <c r="W879" t="s">
        <v>16136</v>
      </c>
      <c r="X879" t="s">
        <v>16137</v>
      </c>
      <c r="Y879" t="s">
        <v>16138</v>
      </c>
      <c r="Z879" t="s">
        <v>5867</v>
      </c>
      <c r="AA879" t="s">
        <v>16139</v>
      </c>
      <c r="AB879" t="s">
        <v>16140</v>
      </c>
      <c r="AC879" t="s">
        <v>16141</v>
      </c>
      <c r="AD879" t="s">
        <v>16142</v>
      </c>
      <c r="AE879" t="s">
        <v>16143</v>
      </c>
      <c r="AF879" t="s">
        <v>74</v>
      </c>
      <c r="AG879">
        <v>81</v>
      </c>
      <c r="AH879">
        <v>77</v>
      </c>
      <c r="AI879">
        <v>84</v>
      </c>
      <c r="AJ879">
        <v>1</v>
      </c>
      <c r="AK879">
        <v>103</v>
      </c>
      <c r="AL879" t="s">
        <v>506</v>
      </c>
      <c r="AM879" t="s">
        <v>442</v>
      </c>
      <c r="AN879" t="s">
        <v>507</v>
      </c>
      <c r="AO879" t="s">
        <v>1269</v>
      </c>
      <c r="AP879" t="s">
        <v>1270</v>
      </c>
      <c r="AQ879" t="s">
        <v>74</v>
      </c>
      <c r="AR879" t="s">
        <v>1271</v>
      </c>
      <c r="AS879" t="s">
        <v>1272</v>
      </c>
      <c r="AT879" t="s">
        <v>14886</v>
      </c>
      <c r="AU879">
        <v>2013</v>
      </c>
      <c r="AV879">
        <v>73</v>
      </c>
      <c r="AW879" t="s">
        <v>74</v>
      </c>
      <c r="AX879" t="s">
        <v>74</v>
      </c>
      <c r="AY879" t="s">
        <v>74</v>
      </c>
      <c r="AZ879" t="s">
        <v>74</v>
      </c>
      <c r="BA879" t="s">
        <v>74</v>
      </c>
      <c r="BB879">
        <v>84</v>
      </c>
      <c r="BC879">
        <v>98</v>
      </c>
      <c r="BD879" t="s">
        <v>74</v>
      </c>
      <c r="BE879" t="s">
        <v>16144</v>
      </c>
      <c r="BF879" t="str">
        <f>HYPERLINK("http://dx.doi.org/10.1016/j.dsr.2012.11.007","http://dx.doi.org/10.1016/j.dsr.2012.11.007")</f>
        <v>http://dx.doi.org/10.1016/j.dsr.2012.11.007</v>
      </c>
      <c r="BG879" t="s">
        <v>74</v>
      </c>
      <c r="BH879" t="s">
        <v>74</v>
      </c>
      <c r="BI879">
        <v>15</v>
      </c>
      <c r="BJ879" t="s">
        <v>327</v>
      </c>
      <c r="BK879" t="s">
        <v>102</v>
      </c>
      <c r="BL879" t="s">
        <v>327</v>
      </c>
      <c r="BM879" t="s">
        <v>16145</v>
      </c>
      <c r="BN879" t="s">
        <v>74</v>
      </c>
      <c r="BO879" t="s">
        <v>74</v>
      </c>
      <c r="BP879" t="s">
        <v>74</v>
      </c>
      <c r="BQ879" t="s">
        <v>74</v>
      </c>
      <c r="BR879" t="s">
        <v>105</v>
      </c>
      <c r="BS879" t="s">
        <v>16146</v>
      </c>
      <c r="BT879" t="str">
        <f>HYPERLINK("https%3A%2F%2Fwww.webofscience.com%2Fwos%2Fwoscc%2Ffull-record%2FWOS:000316092000007","View Full Record in Web of Science")</f>
        <v>View Full Record in Web of Science</v>
      </c>
    </row>
    <row r="880" spans="1:72" x14ac:dyDescent="0.15">
      <c r="A880" t="s">
        <v>72</v>
      </c>
      <c r="B880" t="s">
        <v>16147</v>
      </c>
      <c r="C880" t="s">
        <v>74</v>
      </c>
      <c r="D880" t="s">
        <v>74</v>
      </c>
      <c r="E880" t="s">
        <v>74</v>
      </c>
      <c r="F880" t="s">
        <v>16148</v>
      </c>
      <c r="G880" t="s">
        <v>74</v>
      </c>
      <c r="H880" t="s">
        <v>74</v>
      </c>
      <c r="I880" t="s">
        <v>16149</v>
      </c>
      <c r="J880" t="s">
        <v>1257</v>
      </c>
      <c r="K880" t="s">
        <v>74</v>
      </c>
      <c r="L880" t="s">
        <v>74</v>
      </c>
      <c r="M880" t="s">
        <v>78</v>
      </c>
      <c r="N880" t="s">
        <v>79</v>
      </c>
      <c r="O880" t="s">
        <v>74</v>
      </c>
      <c r="P880" t="s">
        <v>74</v>
      </c>
      <c r="Q880" t="s">
        <v>74</v>
      </c>
      <c r="R880" t="s">
        <v>74</v>
      </c>
      <c r="S880" t="s">
        <v>74</v>
      </c>
      <c r="T880" t="s">
        <v>16150</v>
      </c>
      <c r="U880" t="s">
        <v>16151</v>
      </c>
      <c r="V880" t="s">
        <v>16152</v>
      </c>
      <c r="W880" t="s">
        <v>16153</v>
      </c>
      <c r="X880" t="s">
        <v>16154</v>
      </c>
      <c r="Y880" t="s">
        <v>16155</v>
      </c>
      <c r="Z880" t="s">
        <v>16156</v>
      </c>
      <c r="AA880" t="s">
        <v>16157</v>
      </c>
      <c r="AB880" t="s">
        <v>16158</v>
      </c>
      <c r="AC880" t="s">
        <v>16159</v>
      </c>
      <c r="AD880" t="s">
        <v>16160</v>
      </c>
      <c r="AE880" t="s">
        <v>16161</v>
      </c>
      <c r="AF880" t="s">
        <v>74</v>
      </c>
      <c r="AG880">
        <v>85</v>
      </c>
      <c r="AH880">
        <v>20</v>
      </c>
      <c r="AI880">
        <v>20</v>
      </c>
      <c r="AJ880">
        <v>1</v>
      </c>
      <c r="AK880">
        <v>27</v>
      </c>
      <c r="AL880" t="s">
        <v>506</v>
      </c>
      <c r="AM880" t="s">
        <v>442</v>
      </c>
      <c r="AN880" t="s">
        <v>507</v>
      </c>
      <c r="AO880" t="s">
        <v>1269</v>
      </c>
      <c r="AP880" t="s">
        <v>1270</v>
      </c>
      <c r="AQ880" t="s">
        <v>74</v>
      </c>
      <c r="AR880" t="s">
        <v>1271</v>
      </c>
      <c r="AS880" t="s">
        <v>1272</v>
      </c>
      <c r="AT880" t="s">
        <v>14886</v>
      </c>
      <c r="AU880">
        <v>2013</v>
      </c>
      <c r="AV880">
        <v>73</v>
      </c>
      <c r="AW880" t="s">
        <v>74</v>
      </c>
      <c r="AX880" t="s">
        <v>74</v>
      </c>
      <c r="AY880" t="s">
        <v>74</v>
      </c>
      <c r="AZ880" t="s">
        <v>74</v>
      </c>
      <c r="BA880" t="s">
        <v>74</v>
      </c>
      <c r="BB880">
        <v>99</v>
      </c>
      <c r="BC880">
        <v>116</v>
      </c>
      <c r="BD880" t="s">
        <v>74</v>
      </c>
      <c r="BE880" t="s">
        <v>16162</v>
      </c>
      <c r="BF880" t="str">
        <f>HYPERLINK("http://dx.doi.org/10.1016/j.dsr.2012.11.006","http://dx.doi.org/10.1016/j.dsr.2012.11.006")</f>
        <v>http://dx.doi.org/10.1016/j.dsr.2012.11.006</v>
      </c>
      <c r="BG880" t="s">
        <v>74</v>
      </c>
      <c r="BH880" t="s">
        <v>74</v>
      </c>
      <c r="BI880">
        <v>18</v>
      </c>
      <c r="BJ880" t="s">
        <v>327</v>
      </c>
      <c r="BK880" t="s">
        <v>102</v>
      </c>
      <c r="BL880" t="s">
        <v>327</v>
      </c>
      <c r="BM880" t="s">
        <v>16145</v>
      </c>
      <c r="BN880" t="s">
        <v>74</v>
      </c>
      <c r="BO880" t="s">
        <v>74</v>
      </c>
      <c r="BP880" t="s">
        <v>74</v>
      </c>
      <c r="BQ880" t="s">
        <v>74</v>
      </c>
      <c r="BR880" t="s">
        <v>105</v>
      </c>
      <c r="BS880" t="s">
        <v>16163</v>
      </c>
      <c r="BT880" t="str">
        <f>HYPERLINK("https%3A%2F%2Fwww.webofscience.com%2Fwos%2Fwoscc%2Ffull-record%2FWOS:000316092000008","View Full Record in Web of Science")</f>
        <v>View Full Record in Web of Science</v>
      </c>
    </row>
    <row r="881" spans="1:72" x14ac:dyDescent="0.15">
      <c r="A881" t="s">
        <v>72</v>
      </c>
      <c r="B881" t="s">
        <v>16164</v>
      </c>
      <c r="C881" t="s">
        <v>74</v>
      </c>
      <c r="D881" t="s">
        <v>74</v>
      </c>
      <c r="E881" t="s">
        <v>74</v>
      </c>
      <c r="F881" t="s">
        <v>16165</v>
      </c>
      <c r="G881" t="s">
        <v>74</v>
      </c>
      <c r="H881" t="s">
        <v>74</v>
      </c>
      <c r="I881" t="s">
        <v>16166</v>
      </c>
      <c r="J881" t="s">
        <v>14871</v>
      </c>
      <c r="K881" t="s">
        <v>74</v>
      </c>
      <c r="L881" t="s">
        <v>74</v>
      </c>
      <c r="M881" t="s">
        <v>78</v>
      </c>
      <c r="N881" t="s">
        <v>991</v>
      </c>
      <c r="O881" t="s">
        <v>74</v>
      </c>
      <c r="P881" t="s">
        <v>74</v>
      </c>
      <c r="Q881" t="s">
        <v>74</v>
      </c>
      <c r="R881" t="s">
        <v>74</v>
      </c>
      <c r="S881" t="s">
        <v>74</v>
      </c>
      <c r="T881" t="s">
        <v>74</v>
      </c>
      <c r="U881" t="s">
        <v>74</v>
      </c>
      <c r="V881" t="s">
        <v>74</v>
      </c>
      <c r="W881" t="s">
        <v>16167</v>
      </c>
      <c r="X881" t="s">
        <v>16168</v>
      </c>
      <c r="Y881" t="s">
        <v>16169</v>
      </c>
      <c r="Z881" t="s">
        <v>74</v>
      </c>
      <c r="AA881" t="s">
        <v>16170</v>
      </c>
      <c r="AB881" t="s">
        <v>16171</v>
      </c>
      <c r="AC881" t="s">
        <v>16172</v>
      </c>
      <c r="AD881" t="s">
        <v>1304</v>
      </c>
      <c r="AE881" t="s">
        <v>74</v>
      </c>
      <c r="AF881" t="s">
        <v>74</v>
      </c>
      <c r="AG881">
        <v>2</v>
      </c>
      <c r="AH881">
        <v>0</v>
      </c>
      <c r="AI881">
        <v>0</v>
      </c>
      <c r="AJ881">
        <v>0</v>
      </c>
      <c r="AK881">
        <v>1</v>
      </c>
      <c r="AL881" t="s">
        <v>390</v>
      </c>
      <c r="AM881" t="s">
        <v>1679</v>
      </c>
      <c r="AN881" t="s">
        <v>14881</v>
      </c>
      <c r="AO881" t="s">
        <v>14882</v>
      </c>
      <c r="AP881" t="s">
        <v>14883</v>
      </c>
      <c r="AQ881" t="s">
        <v>74</v>
      </c>
      <c r="AR881" t="s">
        <v>14884</v>
      </c>
      <c r="AS881" t="s">
        <v>14885</v>
      </c>
      <c r="AT881" t="s">
        <v>14886</v>
      </c>
      <c r="AU881">
        <v>2013</v>
      </c>
      <c r="AV881">
        <v>104</v>
      </c>
      <c r="AW881">
        <v>1</v>
      </c>
      <c r="AX881" t="s">
        <v>74</v>
      </c>
      <c r="AY881" t="s">
        <v>74</v>
      </c>
      <c r="AZ881" t="s">
        <v>74</v>
      </c>
      <c r="BA881" t="s">
        <v>74</v>
      </c>
      <c r="BB881">
        <v>1</v>
      </c>
      <c r="BC881">
        <v>1</v>
      </c>
      <c r="BD881" t="s">
        <v>74</v>
      </c>
      <c r="BE881" t="s">
        <v>16173</v>
      </c>
      <c r="BF881" t="str">
        <f>HYPERLINK("http://dx.doi.org/10.1017/S1755691013000121","http://dx.doi.org/10.1017/S1755691013000121")</f>
        <v>http://dx.doi.org/10.1017/S1755691013000121</v>
      </c>
      <c r="BG881" t="s">
        <v>74</v>
      </c>
      <c r="BH881" t="s">
        <v>74</v>
      </c>
      <c r="BI881">
        <v>1</v>
      </c>
      <c r="BJ881" t="s">
        <v>14888</v>
      </c>
      <c r="BK881" t="s">
        <v>102</v>
      </c>
      <c r="BL881" t="s">
        <v>913</v>
      </c>
      <c r="BM881" t="s">
        <v>14889</v>
      </c>
      <c r="BN881" t="s">
        <v>74</v>
      </c>
      <c r="BO881" t="s">
        <v>74</v>
      </c>
      <c r="BP881" t="s">
        <v>74</v>
      </c>
      <c r="BQ881" t="s">
        <v>74</v>
      </c>
      <c r="BR881" t="s">
        <v>105</v>
      </c>
      <c r="BS881" t="s">
        <v>16174</v>
      </c>
      <c r="BT881" t="str">
        <f>HYPERLINK("https%3A%2F%2Fwww.webofscience.com%2Fwos%2Fwoscc%2Ffull-record%2FWOS:000330364900001","View Full Record in Web of Science")</f>
        <v>View Full Record in Web of Science</v>
      </c>
    </row>
    <row r="882" spans="1:72" x14ac:dyDescent="0.15">
      <c r="A882" t="s">
        <v>72</v>
      </c>
      <c r="B882" t="s">
        <v>16175</v>
      </c>
      <c r="C882" t="s">
        <v>74</v>
      </c>
      <c r="D882" t="s">
        <v>74</v>
      </c>
      <c r="E882" t="s">
        <v>74</v>
      </c>
      <c r="F882" t="s">
        <v>16176</v>
      </c>
      <c r="G882" t="s">
        <v>74</v>
      </c>
      <c r="H882" t="s">
        <v>74</v>
      </c>
      <c r="I882" t="s">
        <v>16177</v>
      </c>
      <c r="J882" t="s">
        <v>14871</v>
      </c>
      <c r="K882" t="s">
        <v>74</v>
      </c>
      <c r="L882" t="s">
        <v>74</v>
      </c>
      <c r="M882" t="s">
        <v>78</v>
      </c>
      <c r="N882" t="s">
        <v>3042</v>
      </c>
      <c r="O882" t="s">
        <v>14872</v>
      </c>
      <c r="P882" t="s">
        <v>14873</v>
      </c>
      <c r="Q882" t="s">
        <v>14874</v>
      </c>
      <c r="R882" t="s">
        <v>74</v>
      </c>
      <c r="S882" t="s">
        <v>74</v>
      </c>
      <c r="T882" t="s">
        <v>16178</v>
      </c>
      <c r="U882" t="s">
        <v>16179</v>
      </c>
      <c r="V882" t="s">
        <v>16180</v>
      </c>
      <c r="W882" t="s">
        <v>16181</v>
      </c>
      <c r="X882" t="s">
        <v>16182</v>
      </c>
      <c r="Y882" t="s">
        <v>16183</v>
      </c>
      <c r="Z882" t="s">
        <v>74</v>
      </c>
      <c r="AA882" t="s">
        <v>16184</v>
      </c>
      <c r="AB882" t="s">
        <v>16185</v>
      </c>
      <c r="AC882" t="s">
        <v>16186</v>
      </c>
      <c r="AD882" t="s">
        <v>995</v>
      </c>
      <c r="AE882" t="s">
        <v>74</v>
      </c>
      <c r="AF882" t="s">
        <v>74</v>
      </c>
      <c r="AG882">
        <v>197</v>
      </c>
      <c r="AH882">
        <v>51</v>
      </c>
      <c r="AI882">
        <v>53</v>
      </c>
      <c r="AJ882">
        <v>5</v>
      </c>
      <c r="AK882">
        <v>78</v>
      </c>
      <c r="AL882" t="s">
        <v>390</v>
      </c>
      <c r="AM882" t="s">
        <v>1679</v>
      </c>
      <c r="AN882" t="s">
        <v>14881</v>
      </c>
      <c r="AO882" t="s">
        <v>14882</v>
      </c>
      <c r="AP882" t="s">
        <v>14883</v>
      </c>
      <c r="AQ882" t="s">
        <v>74</v>
      </c>
      <c r="AR882" t="s">
        <v>14884</v>
      </c>
      <c r="AS882" t="s">
        <v>14885</v>
      </c>
      <c r="AT882" t="s">
        <v>14886</v>
      </c>
      <c r="AU882">
        <v>2013</v>
      </c>
      <c r="AV882">
        <v>104</v>
      </c>
      <c r="AW882">
        <v>1</v>
      </c>
      <c r="AX882" t="s">
        <v>74</v>
      </c>
      <c r="AY882" t="s">
        <v>74</v>
      </c>
      <c r="AZ882" t="s">
        <v>74</v>
      </c>
      <c r="BA882" t="s">
        <v>74</v>
      </c>
      <c r="BB882">
        <v>17</v>
      </c>
      <c r="BC882">
        <v>30</v>
      </c>
      <c r="BD882" t="s">
        <v>74</v>
      </c>
      <c r="BE882" t="s">
        <v>16187</v>
      </c>
      <c r="BF882" t="str">
        <f>HYPERLINK("http://dx.doi.org/10.1017/S175569101300011X","http://dx.doi.org/10.1017/S175569101300011X")</f>
        <v>http://dx.doi.org/10.1017/S175569101300011X</v>
      </c>
      <c r="BG882" t="s">
        <v>74</v>
      </c>
      <c r="BH882" t="s">
        <v>74</v>
      </c>
      <c r="BI882">
        <v>14</v>
      </c>
      <c r="BJ882" t="s">
        <v>14888</v>
      </c>
      <c r="BK882" t="s">
        <v>2934</v>
      </c>
      <c r="BL882" t="s">
        <v>913</v>
      </c>
      <c r="BM882" t="s">
        <v>14889</v>
      </c>
      <c r="BN882" t="s">
        <v>74</v>
      </c>
      <c r="BO882" t="s">
        <v>1063</v>
      </c>
      <c r="BP882" t="s">
        <v>74</v>
      </c>
      <c r="BQ882" t="s">
        <v>74</v>
      </c>
      <c r="BR882" t="s">
        <v>105</v>
      </c>
      <c r="BS882" t="s">
        <v>16188</v>
      </c>
      <c r="BT882" t="str">
        <f>HYPERLINK("https%3A%2F%2Fwww.webofscience.com%2Fwos%2Fwoscc%2Ffull-record%2FWOS:000330364900003","View Full Record in Web of Science")</f>
        <v>View Full Record in Web of Science</v>
      </c>
    </row>
    <row r="883" spans="1:72" x14ac:dyDescent="0.15">
      <c r="A883" t="s">
        <v>72</v>
      </c>
      <c r="B883" t="s">
        <v>16189</v>
      </c>
      <c r="C883" t="s">
        <v>74</v>
      </c>
      <c r="D883" t="s">
        <v>74</v>
      </c>
      <c r="E883" t="s">
        <v>74</v>
      </c>
      <c r="F883" t="s">
        <v>16190</v>
      </c>
      <c r="G883" t="s">
        <v>74</v>
      </c>
      <c r="H883" t="s">
        <v>74</v>
      </c>
      <c r="I883" t="s">
        <v>16191</v>
      </c>
      <c r="J883" t="s">
        <v>14871</v>
      </c>
      <c r="K883" t="s">
        <v>74</v>
      </c>
      <c r="L883" t="s">
        <v>74</v>
      </c>
      <c r="M883" t="s">
        <v>78</v>
      </c>
      <c r="N883" t="s">
        <v>3042</v>
      </c>
      <c r="O883" t="s">
        <v>14872</v>
      </c>
      <c r="P883" t="s">
        <v>14873</v>
      </c>
      <c r="Q883" t="s">
        <v>14874</v>
      </c>
      <c r="R883" t="s">
        <v>74</v>
      </c>
      <c r="S883" t="s">
        <v>74</v>
      </c>
      <c r="T883" t="s">
        <v>16192</v>
      </c>
      <c r="U883" t="s">
        <v>16193</v>
      </c>
      <c r="V883" t="s">
        <v>16194</v>
      </c>
      <c r="W883" t="s">
        <v>16195</v>
      </c>
      <c r="X883" t="s">
        <v>16196</v>
      </c>
      <c r="Y883" t="s">
        <v>16197</v>
      </c>
      <c r="Z883" t="s">
        <v>74</v>
      </c>
      <c r="AA883" t="s">
        <v>16198</v>
      </c>
      <c r="AB883" t="s">
        <v>16199</v>
      </c>
      <c r="AC883" t="s">
        <v>16200</v>
      </c>
      <c r="AD883" t="s">
        <v>16201</v>
      </c>
      <c r="AE883" t="s">
        <v>74</v>
      </c>
      <c r="AF883" t="s">
        <v>74</v>
      </c>
      <c r="AG883">
        <v>127</v>
      </c>
      <c r="AH883">
        <v>61</v>
      </c>
      <c r="AI883">
        <v>73</v>
      </c>
      <c r="AJ883">
        <v>5</v>
      </c>
      <c r="AK883">
        <v>120</v>
      </c>
      <c r="AL883" t="s">
        <v>390</v>
      </c>
      <c r="AM883" t="s">
        <v>1679</v>
      </c>
      <c r="AN883" t="s">
        <v>14881</v>
      </c>
      <c r="AO883" t="s">
        <v>14882</v>
      </c>
      <c r="AP883" t="s">
        <v>14883</v>
      </c>
      <c r="AQ883" t="s">
        <v>74</v>
      </c>
      <c r="AR883" t="s">
        <v>14884</v>
      </c>
      <c r="AS883" t="s">
        <v>14885</v>
      </c>
      <c r="AT883" t="s">
        <v>14886</v>
      </c>
      <c r="AU883">
        <v>2013</v>
      </c>
      <c r="AV883">
        <v>104</v>
      </c>
      <c r="AW883">
        <v>1</v>
      </c>
      <c r="AX883" t="s">
        <v>74</v>
      </c>
      <c r="AY883" t="s">
        <v>74</v>
      </c>
      <c r="AZ883" t="s">
        <v>74</v>
      </c>
      <c r="BA883" t="s">
        <v>74</v>
      </c>
      <c r="BB883">
        <v>55</v>
      </c>
      <c r="BC883">
        <v>67</v>
      </c>
      <c r="BD883" t="s">
        <v>74</v>
      </c>
      <c r="BE883" t="s">
        <v>16202</v>
      </c>
      <c r="BF883" t="str">
        <f>HYPERLINK("http://dx.doi.org/10.1017/S1755691013000108","http://dx.doi.org/10.1017/S1755691013000108")</f>
        <v>http://dx.doi.org/10.1017/S1755691013000108</v>
      </c>
      <c r="BG883" t="s">
        <v>74</v>
      </c>
      <c r="BH883" t="s">
        <v>74</v>
      </c>
      <c r="BI883">
        <v>13</v>
      </c>
      <c r="BJ883" t="s">
        <v>14888</v>
      </c>
      <c r="BK883" t="s">
        <v>2934</v>
      </c>
      <c r="BL883" t="s">
        <v>913</v>
      </c>
      <c r="BM883" t="s">
        <v>14889</v>
      </c>
      <c r="BN883" t="s">
        <v>74</v>
      </c>
      <c r="BO883" t="s">
        <v>74</v>
      </c>
      <c r="BP883" t="s">
        <v>74</v>
      </c>
      <c r="BQ883" t="s">
        <v>74</v>
      </c>
      <c r="BR883" t="s">
        <v>105</v>
      </c>
      <c r="BS883" t="s">
        <v>16203</v>
      </c>
      <c r="BT883" t="str">
        <f>HYPERLINK("https%3A%2F%2Fwww.webofscience.com%2Fwos%2Fwoscc%2Ffull-record%2FWOS:000330364900005","View Full Record in Web of Science")</f>
        <v>View Full Record in Web of Science</v>
      </c>
    </row>
    <row r="884" spans="1:72" x14ac:dyDescent="0.15">
      <c r="A884" t="s">
        <v>72</v>
      </c>
      <c r="B884" t="s">
        <v>16204</v>
      </c>
      <c r="C884" t="s">
        <v>74</v>
      </c>
      <c r="D884" t="s">
        <v>74</v>
      </c>
      <c r="E884" t="s">
        <v>74</v>
      </c>
      <c r="F884" t="s">
        <v>16205</v>
      </c>
      <c r="G884" t="s">
        <v>74</v>
      </c>
      <c r="H884" t="s">
        <v>74</v>
      </c>
      <c r="I884" t="s">
        <v>16206</v>
      </c>
      <c r="J884" t="s">
        <v>16207</v>
      </c>
      <c r="K884" t="s">
        <v>74</v>
      </c>
      <c r="L884" t="s">
        <v>74</v>
      </c>
      <c r="M884" t="s">
        <v>78</v>
      </c>
      <c r="N884" t="s">
        <v>79</v>
      </c>
      <c r="O884" t="s">
        <v>74</v>
      </c>
      <c r="P884" t="s">
        <v>74</v>
      </c>
      <c r="Q884" t="s">
        <v>74</v>
      </c>
      <c r="R884" t="s">
        <v>74</v>
      </c>
      <c r="S884" t="s">
        <v>74</v>
      </c>
      <c r="T884" t="s">
        <v>74</v>
      </c>
      <c r="U884" t="s">
        <v>16208</v>
      </c>
      <c r="V884" t="s">
        <v>16209</v>
      </c>
      <c r="W884" t="s">
        <v>16210</v>
      </c>
      <c r="X884" t="s">
        <v>16211</v>
      </c>
      <c r="Y884" t="s">
        <v>16212</v>
      </c>
      <c r="Z884" t="s">
        <v>16213</v>
      </c>
      <c r="AA884" t="s">
        <v>16214</v>
      </c>
      <c r="AB884" t="s">
        <v>16215</v>
      </c>
      <c r="AC884" t="s">
        <v>16216</v>
      </c>
      <c r="AD884" t="s">
        <v>16217</v>
      </c>
      <c r="AE884" t="s">
        <v>16218</v>
      </c>
      <c r="AF884" t="s">
        <v>74</v>
      </c>
      <c r="AG884">
        <v>54</v>
      </c>
      <c r="AH884">
        <v>33</v>
      </c>
      <c r="AI884">
        <v>34</v>
      </c>
      <c r="AJ884">
        <v>0</v>
      </c>
      <c r="AK884">
        <v>49</v>
      </c>
      <c r="AL884" t="s">
        <v>2961</v>
      </c>
      <c r="AM884" t="s">
        <v>369</v>
      </c>
      <c r="AN884" t="s">
        <v>370</v>
      </c>
      <c r="AO884" t="s">
        <v>16219</v>
      </c>
      <c r="AP884" t="s">
        <v>16220</v>
      </c>
      <c r="AQ884" t="s">
        <v>74</v>
      </c>
      <c r="AR884" t="s">
        <v>16207</v>
      </c>
      <c r="AS884" t="s">
        <v>16221</v>
      </c>
      <c r="AT884" t="s">
        <v>14886</v>
      </c>
      <c r="AU884">
        <v>2013</v>
      </c>
      <c r="AV884">
        <v>36</v>
      </c>
      <c r="AW884">
        <v>3</v>
      </c>
      <c r="AX884" t="s">
        <v>74</v>
      </c>
      <c r="AY884" t="s">
        <v>74</v>
      </c>
      <c r="AZ884" t="s">
        <v>74</v>
      </c>
      <c r="BA884" t="s">
        <v>74</v>
      </c>
      <c r="BB884">
        <v>277</v>
      </c>
      <c r="BC884">
        <v>286</v>
      </c>
      <c r="BD884" t="s">
        <v>74</v>
      </c>
      <c r="BE884" t="s">
        <v>16222</v>
      </c>
      <c r="BF884" t="str">
        <f>HYPERLINK("http://dx.doi.org/10.1111/j.1600-0587.2012.07466.x","http://dx.doi.org/10.1111/j.1600-0587.2012.07466.x")</f>
        <v>http://dx.doi.org/10.1111/j.1600-0587.2012.07466.x</v>
      </c>
      <c r="BG884" t="s">
        <v>74</v>
      </c>
      <c r="BH884" t="s">
        <v>74</v>
      </c>
      <c r="BI884">
        <v>10</v>
      </c>
      <c r="BJ884" t="s">
        <v>1158</v>
      </c>
      <c r="BK884" t="s">
        <v>102</v>
      </c>
      <c r="BL884" t="s">
        <v>1159</v>
      </c>
      <c r="BM884" t="s">
        <v>16223</v>
      </c>
      <c r="BN884" t="s">
        <v>74</v>
      </c>
      <c r="BO884" t="s">
        <v>74</v>
      </c>
      <c r="BP884" t="s">
        <v>74</v>
      </c>
      <c r="BQ884" t="s">
        <v>74</v>
      </c>
      <c r="BR884" t="s">
        <v>105</v>
      </c>
      <c r="BS884" t="s">
        <v>16224</v>
      </c>
      <c r="BT884" t="str">
        <f>HYPERLINK("https%3A%2F%2Fwww.webofscience.com%2Fwos%2Fwoscc%2Ffull-record%2FWOS:000316468800005","View Full Record in Web of Science")</f>
        <v>View Full Record in Web of Science</v>
      </c>
    </row>
    <row r="885" spans="1:72" x14ac:dyDescent="0.15">
      <c r="A885" t="s">
        <v>72</v>
      </c>
      <c r="B885" t="s">
        <v>16225</v>
      </c>
      <c r="C885" t="s">
        <v>74</v>
      </c>
      <c r="D885" t="s">
        <v>74</v>
      </c>
      <c r="E885" t="s">
        <v>74</v>
      </c>
      <c r="F885" t="s">
        <v>16226</v>
      </c>
      <c r="G885" t="s">
        <v>74</v>
      </c>
      <c r="H885" t="s">
        <v>74</v>
      </c>
      <c r="I885" t="s">
        <v>16227</v>
      </c>
      <c r="J885" t="s">
        <v>10549</v>
      </c>
      <c r="K885" t="s">
        <v>74</v>
      </c>
      <c r="L885" t="s">
        <v>74</v>
      </c>
      <c r="M885" t="s">
        <v>78</v>
      </c>
      <c r="N885" t="s">
        <v>1459</v>
      </c>
      <c r="O885" t="s">
        <v>74</v>
      </c>
      <c r="P885" t="s">
        <v>74</v>
      </c>
      <c r="Q885" t="s">
        <v>74</v>
      </c>
      <c r="R885" t="s">
        <v>74</v>
      </c>
      <c r="S885" t="s">
        <v>74</v>
      </c>
      <c r="T885" t="s">
        <v>16228</v>
      </c>
      <c r="U885" t="s">
        <v>16229</v>
      </c>
      <c r="V885" t="s">
        <v>16230</v>
      </c>
      <c r="W885" t="s">
        <v>16231</v>
      </c>
      <c r="X885" t="s">
        <v>16232</v>
      </c>
      <c r="Y885" t="s">
        <v>16233</v>
      </c>
      <c r="Z885" t="s">
        <v>16234</v>
      </c>
      <c r="AA885" t="s">
        <v>16235</v>
      </c>
      <c r="AB885" t="s">
        <v>16236</v>
      </c>
      <c r="AC885" t="s">
        <v>16237</v>
      </c>
      <c r="AD885" t="s">
        <v>729</v>
      </c>
      <c r="AE885" t="s">
        <v>16238</v>
      </c>
      <c r="AF885" t="s">
        <v>74</v>
      </c>
      <c r="AG885">
        <v>100</v>
      </c>
      <c r="AH885">
        <v>87</v>
      </c>
      <c r="AI885">
        <v>95</v>
      </c>
      <c r="AJ885">
        <v>7</v>
      </c>
      <c r="AK885">
        <v>219</v>
      </c>
      <c r="AL885" t="s">
        <v>368</v>
      </c>
      <c r="AM885" t="s">
        <v>369</v>
      </c>
      <c r="AN885" t="s">
        <v>370</v>
      </c>
      <c r="AO885" t="s">
        <v>10559</v>
      </c>
      <c r="AP885" t="s">
        <v>10560</v>
      </c>
      <c r="AQ885" t="s">
        <v>74</v>
      </c>
      <c r="AR885" t="s">
        <v>10561</v>
      </c>
      <c r="AS885" t="s">
        <v>10562</v>
      </c>
      <c r="AT885" t="s">
        <v>14886</v>
      </c>
      <c r="AU885">
        <v>2013</v>
      </c>
      <c r="AV885">
        <v>16</v>
      </c>
      <c r="AW885">
        <v>3</v>
      </c>
      <c r="AX885" t="s">
        <v>74</v>
      </c>
      <c r="AY885" t="s">
        <v>74</v>
      </c>
      <c r="AZ885" t="s">
        <v>74</v>
      </c>
      <c r="BA885" t="s">
        <v>74</v>
      </c>
      <c r="BB885">
        <v>409</v>
      </c>
      <c r="BC885">
        <v>419</v>
      </c>
      <c r="BD885" t="s">
        <v>74</v>
      </c>
      <c r="BE885" t="s">
        <v>16239</v>
      </c>
      <c r="BF885" t="str">
        <f>HYPERLINK("http://dx.doi.org/10.1111/ele.12058","http://dx.doi.org/10.1111/ele.12058")</f>
        <v>http://dx.doi.org/10.1111/ele.12058</v>
      </c>
      <c r="BG885" t="s">
        <v>74</v>
      </c>
      <c r="BH885" t="s">
        <v>74</v>
      </c>
      <c r="BI885">
        <v>11</v>
      </c>
      <c r="BJ885" t="s">
        <v>5449</v>
      </c>
      <c r="BK885" t="s">
        <v>102</v>
      </c>
      <c r="BL885" t="s">
        <v>262</v>
      </c>
      <c r="BM885" t="s">
        <v>16240</v>
      </c>
      <c r="BN885">
        <v>23278945</v>
      </c>
      <c r="BO885" t="s">
        <v>74</v>
      </c>
      <c r="BP885" t="s">
        <v>74</v>
      </c>
      <c r="BQ885" t="s">
        <v>74</v>
      </c>
      <c r="BR885" t="s">
        <v>105</v>
      </c>
      <c r="BS885" t="s">
        <v>16241</v>
      </c>
      <c r="BT885" t="str">
        <f>HYPERLINK("https%3A%2F%2Fwww.webofscience.com%2Fwos%2Fwoscc%2Ffull-record%2FWOS:000314865900016","View Full Record in Web of Science")</f>
        <v>View Full Record in Web of Science</v>
      </c>
    </row>
    <row r="886" spans="1:72" x14ac:dyDescent="0.15">
      <c r="A886" t="s">
        <v>72</v>
      </c>
      <c r="B886" t="s">
        <v>16242</v>
      </c>
      <c r="C886" t="s">
        <v>74</v>
      </c>
      <c r="D886" t="s">
        <v>74</v>
      </c>
      <c r="E886" t="s">
        <v>74</v>
      </c>
      <c r="F886" t="s">
        <v>16243</v>
      </c>
      <c r="G886" t="s">
        <v>74</v>
      </c>
      <c r="H886" t="s">
        <v>74</v>
      </c>
      <c r="I886" t="s">
        <v>16244</v>
      </c>
      <c r="J886" t="s">
        <v>16245</v>
      </c>
      <c r="K886" t="s">
        <v>74</v>
      </c>
      <c r="L886" t="s">
        <v>74</v>
      </c>
      <c r="M886" t="s">
        <v>78</v>
      </c>
      <c r="N886" t="s">
        <v>79</v>
      </c>
      <c r="O886" t="s">
        <v>74</v>
      </c>
      <c r="P886" t="s">
        <v>74</v>
      </c>
      <c r="Q886" t="s">
        <v>74</v>
      </c>
      <c r="R886" t="s">
        <v>74</v>
      </c>
      <c r="S886" t="s">
        <v>74</v>
      </c>
      <c r="T886" t="s">
        <v>16246</v>
      </c>
      <c r="U886" t="s">
        <v>16247</v>
      </c>
      <c r="V886" t="s">
        <v>16248</v>
      </c>
      <c r="W886" t="s">
        <v>16249</v>
      </c>
      <c r="X886" t="s">
        <v>16250</v>
      </c>
      <c r="Y886" t="s">
        <v>16251</v>
      </c>
      <c r="Z886" t="s">
        <v>16252</v>
      </c>
      <c r="AA886" t="s">
        <v>74</v>
      </c>
      <c r="AB886" t="s">
        <v>16253</v>
      </c>
      <c r="AC886" t="s">
        <v>16254</v>
      </c>
      <c r="AD886" t="s">
        <v>16254</v>
      </c>
      <c r="AE886" t="s">
        <v>16255</v>
      </c>
      <c r="AF886" t="s">
        <v>74</v>
      </c>
      <c r="AG886">
        <v>58</v>
      </c>
      <c r="AH886">
        <v>29</v>
      </c>
      <c r="AI886">
        <v>33</v>
      </c>
      <c r="AJ886">
        <v>1</v>
      </c>
      <c r="AK886">
        <v>73</v>
      </c>
      <c r="AL886" t="s">
        <v>529</v>
      </c>
      <c r="AM886" t="s">
        <v>391</v>
      </c>
      <c r="AN886" t="s">
        <v>530</v>
      </c>
      <c r="AO886" t="s">
        <v>16256</v>
      </c>
      <c r="AP886" t="s">
        <v>74</v>
      </c>
      <c r="AQ886" t="s">
        <v>74</v>
      </c>
      <c r="AR886" t="s">
        <v>16245</v>
      </c>
      <c r="AS886" t="s">
        <v>16257</v>
      </c>
      <c r="AT886" t="s">
        <v>14886</v>
      </c>
      <c r="AU886">
        <v>2013</v>
      </c>
      <c r="AV886">
        <v>16</v>
      </c>
      <c r="AW886">
        <v>2</v>
      </c>
      <c r="AX886" t="s">
        <v>74</v>
      </c>
      <c r="AY886" t="s">
        <v>74</v>
      </c>
      <c r="AZ886" t="s">
        <v>74</v>
      </c>
      <c r="BA886" t="s">
        <v>74</v>
      </c>
      <c r="BB886">
        <v>224</v>
      </c>
      <c r="BC886">
        <v>236</v>
      </c>
      <c r="BD886" t="s">
        <v>74</v>
      </c>
      <c r="BE886" t="s">
        <v>16258</v>
      </c>
      <c r="BF886" t="str">
        <f>HYPERLINK("http://dx.doi.org/10.1007/s10021-012-9610-7","http://dx.doi.org/10.1007/s10021-012-9610-7")</f>
        <v>http://dx.doi.org/10.1007/s10021-012-9610-7</v>
      </c>
      <c r="BG886" t="s">
        <v>74</v>
      </c>
      <c r="BH886" t="s">
        <v>74</v>
      </c>
      <c r="BI886">
        <v>13</v>
      </c>
      <c r="BJ886" t="s">
        <v>5449</v>
      </c>
      <c r="BK886" t="s">
        <v>102</v>
      </c>
      <c r="BL886" t="s">
        <v>262</v>
      </c>
      <c r="BM886" t="s">
        <v>16259</v>
      </c>
      <c r="BN886" t="s">
        <v>74</v>
      </c>
      <c r="BO886" t="s">
        <v>74</v>
      </c>
      <c r="BP886" t="s">
        <v>74</v>
      </c>
      <c r="BQ886" t="s">
        <v>74</v>
      </c>
      <c r="BR886" t="s">
        <v>105</v>
      </c>
      <c r="BS886" t="s">
        <v>16260</v>
      </c>
      <c r="BT886" t="str">
        <f>HYPERLINK("https%3A%2F%2Fwww.webofscience.com%2Fwos%2Fwoscc%2Ffull-record%2FWOS:000315580200004","View Full Record in Web of Science")</f>
        <v>View Full Record in Web of Science</v>
      </c>
    </row>
    <row r="887" spans="1:72" x14ac:dyDescent="0.15">
      <c r="A887" t="s">
        <v>72</v>
      </c>
      <c r="B887" t="s">
        <v>16261</v>
      </c>
      <c r="C887" t="s">
        <v>74</v>
      </c>
      <c r="D887" t="s">
        <v>74</v>
      </c>
      <c r="E887" t="s">
        <v>74</v>
      </c>
      <c r="F887" t="s">
        <v>16262</v>
      </c>
      <c r="G887" t="s">
        <v>74</v>
      </c>
      <c r="H887" t="s">
        <v>74</v>
      </c>
      <c r="I887" t="s">
        <v>16263</v>
      </c>
      <c r="J887" t="s">
        <v>16264</v>
      </c>
      <c r="K887" t="s">
        <v>74</v>
      </c>
      <c r="L887" t="s">
        <v>74</v>
      </c>
      <c r="M887" t="s">
        <v>78</v>
      </c>
      <c r="N887" t="s">
        <v>79</v>
      </c>
      <c r="O887" t="s">
        <v>74</v>
      </c>
      <c r="P887" t="s">
        <v>74</v>
      </c>
      <c r="Q887" t="s">
        <v>74</v>
      </c>
      <c r="R887" t="s">
        <v>74</v>
      </c>
      <c r="S887" t="s">
        <v>74</v>
      </c>
      <c r="T887" t="s">
        <v>16265</v>
      </c>
      <c r="U887" t="s">
        <v>16266</v>
      </c>
      <c r="V887" t="s">
        <v>16267</v>
      </c>
      <c r="W887" t="s">
        <v>16268</v>
      </c>
      <c r="X887" t="s">
        <v>16269</v>
      </c>
      <c r="Y887" t="s">
        <v>16270</v>
      </c>
      <c r="Z887" t="s">
        <v>16271</v>
      </c>
      <c r="AA887" t="s">
        <v>16272</v>
      </c>
      <c r="AB887" t="s">
        <v>16273</v>
      </c>
      <c r="AC887" t="s">
        <v>16274</v>
      </c>
      <c r="AD887" t="s">
        <v>16274</v>
      </c>
      <c r="AE887" t="s">
        <v>16275</v>
      </c>
      <c r="AF887" t="s">
        <v>74</v>
      </c>
      <c r="AG887">
        <v>43</v>
      </c>
      <c r="AH887">
        <v>74</v>
      </c>
      <c r="AI887">
        <v>83</v>
      </c>
      <c r="AJ887">
        <v>1</v>
      </c>
      <c r="AK887">
        <v>74</v>
      </c>
      <c r="AL887" t="s">
        <v>441</v>
      </c>
      <c r="AM887" t="s">
        <v>442</v>
      </c>
      <c r="AN887" t="s">
        <v>443</v>
      </c>
      <c r="AO887" t="s">
        <v>16276</v>
      </c>
      <c r="AP887" t="s">
        <v>16277</v>
      </c>
      <c r="AQ887" t="s">
        <v>74</v>
      </c>
      <c r="AR887" t="s">
        <v>16278</v>
      </c>
      <c r="AS887" t="s">
        <v>16279</v>
      </c>
      <c r="AT887" t="s">
        <v>14886</v>
      </c>
      <c r="AU887">
        <v>2013</v>
      </c>
      <c r="AV887">
        <v>13</v>
      </c>
      <c r="AW887">
        <v>2</v>
      </c>
      <c r="AX887" t="s">
        <v>74</v>
      </c>
      <c r="AY887" t="s">
        <v>74</v>
      </c>
      <c r="AZ887" t="s">
        <v>74</v>
      </c>
      <c r="BA887" t="s">
        <v>74</v>
      </c>
      <c r="BB887">
        <v>189</v>
      </c>
      <c r="BC887">
        <v>199</v>
      </c>
      <c r="BD887" t="s">
        <v>74</v>
      </c>
      <c r="BE887" t="s">
        <v>16280</v>
      </c>
      <c r="BF887" t="str">
        <f>HYPERLINK("http://dx.doi.org/10.1111/1567-1364.12021","http://dx.doi.org/10.1111/1567-1364.12021")</f>
        <v>http://dx.doi.org/10.1111/1567-1364.12021</v>
      </c>
      <c r="BG887" t="s">
        <v>74</v>
      </c>
      <c r="BH887" t="s">
        <v>74</v>
      </c>
      <c r="BI887">
        <v>11</v>
      </c>
      <c r="BJ887" t="s">
        <v>16281</v>
      </c>
      <c r="BK887" t="s">
        <v>102</v>
      </c>
      <c r="BL887" t="s">
        <v>16281</v>
      </c>
      <c r="BM887" t="s">
        <v>16282</v>
      </c>
      <c r="BN887">
        <v>23136855</v>
      </c>
      <c r="BO887" t="s">
        <v>104</v>
      </c>
      <c r="BP887" t="s">
        <v>74</v>
      </c>
      <c r="BQ887" t="s">
        <v>74</v>
      </c>
      <c r="BR887" t="s">
        <v>105</v>
      </c>
      <c r="BS887" t="s">
        <v>16283</v>
      </c>
      <c r="BT887" t="str">
        <f>HYPERLINK("https%3A%2F%2Fwww.webofscience.com%2Fwos%2Fwoscc%2Ffull-record%2FWOS:000314916400005","View Full Record in Web of Science")</f>
        <v>View Full Record in Web of Science</v>
      </c>
    </row>
    <row r="888" spans="1:72" x14ac:dyDescent="0.15">
      <c r="A888" t="s">
        <v>72</v>
      </c>
      <c r="B888" t="s">
        <v>16284</v>
      </c>
      <c r="C888" t="s">
        <v>74</v>
      </c>
      <c r="D888" t="s">
        <v>74</v>
      </c>
      <c r="E888" t="s">
        <v>74</v>
      </c>
      <c r="F888" t="s">
        <v>16285</v>
      </c>
      <c r="G888" t="s">
        <v>74</v>
      </c>
      <c r="H888" t="s">
        <v>74</v>
      </c>
      <c r="I888" t="s">
        <v>16286</v>
      </c>
      <c r="J888" t="s">
        <v>16287</v>
      </c>
      <c r="K888" t="s">
        <v>74</v>
      </c>
      <c r="L888" t="s">
        <v>74</v>
      </c>
      <c r="M888" t="s">
        <v>78</v>
      </c>
      <c r="N888" t="s">
        <v>79</v>
      </c>
      <c r="O888" t="s">
        <v>74</v>
      </c>
      <c r="P888" t="s">
        <v>74</v>
      </c>
      <c r="Q888" t="s">
        <v>74</v>
      </c>
      <c r="R888" t="s">
        <v>74</v>
      </c>
      <c r="S888" t="s">
        <v>74</v>
      </c>
      <c r="T888" t="s">
        <v>16288</v>
      </c>
      <c r="U888" t="s">
        <v>16289</v>
      </c>
      <c r="V888" t="s">
        <v>16290</v>
      </c>
      <c r="W888" t="s">
        <v>16291</v>
      </c>
      <c r="X888" t="s">
        <v>16292</v>
      </c>
      <c r="Y888" t="s">
        <v>16293</v>
      </c>
      <c r="Z888" t="s">
        <v>16294</v>
      </c>
      <c r="AA888" t="s">
        <v>16295</v>
      </c>
      <c r="AB888" t="s">
        <v>16296</v>
      </c>
      <c r="AC888" t="s">
        <v>16297</v>
      </c>
      <c r="AD888" t="s">
        <v>10633</v>
      </c>
      <c r="AE888" t="s">
        <v>16298</v>
      </c>
      <c r="AF888" t="s">
        <v>74</v>
      </c>
      <c r="AG888">
        <v>58</v>
      </c>
      <c r="AH888">
        <v>29</v>
      </c>
      <c r="AI888">
        <v>30</v>
      </c>
      <c r="AJ888">
        <v>0</v>
      </c>
      <c r="AK888">
        <v>70</v>
      </c>
      <c r="AL888" t="s">
        <v>195</v>
      </c>
      <c r="AM888" t="s">
        <v>155</v>
      </c>
      <c r="AN888" t="s">
        <v>196</v>
      </c>
      <c r="AO888" t="s">
        <v>16299</v>
      </c>
      <c r="AP888" t="s">
        <v>16300</v>
      </c>
      <c r="AQ888" t="s">
        <v>74</v>
      </c>
      <c r="AR888" t="s">
        <v>16287</v>
      </c>
      <c r="AS888" t="s">
        <v>16301</v>
      </c>
      <c r="AT888" t="s">
        <v>14886</v>
      </c>
      <c r="AU888">
        <v>2013</v>
      </c>
      <c r="AV888">
        <v>195</v>
      </c>
      <c r="AW888" t="s">
        <v>74</v>
      </c>
      <c r="AX888" t="s">
        <v>74</v>
      </c>
      <c r="AY888" t="s">
        <v>74</v>
      </c>
      <c r="AZ888" t="s">
        <v>74</v>
      </c>
      <c r="BA888" t="s">
        <v>74</v>
      </c>
      <c r="BB888">
        <v>145</v>
      </c>
      <c r="BC888">
        <v>154</v>
      </c>
      <c r="BD888" t="s">
        <v>74</v>
      </c>
      <c r="BE888" t="s">
        <v>16302</v>
      </c>
      <c r="BF888" t="str">
        <f>HYPERLINK("http://dx.doi.org/10.1016/j.geoderma.2012.11.018","http://dx.doi.org/10.1016/j.geoderma.2012.11.018")</f>
        <v>http://dx.doi.org/10.1016/j.geoderma.2012.11.018</v>
      </c>
      <c r="BG888" t="s">
        <v>74</v>
      </c>
      <c r="BH888" t="s">
        <v>74</v>
      </c>
      <c r="BI888">
        <v>10</v>
      </c>
      <c r="BJ888" t="s">
        <v>16303</v>
      </c>
      <c r="BK888" t="s">
        <v>102</v>
      </c>
      <c r="BL888" t="s">
        <v>12097</v>
      </c>
      <c r="BM888" t="s">
        <v>16304</v>
      </c>
      <c r="BN888" t="s">
        <v>74</v>
      </c>
      <c r="BO888" t="s">
        <v>74</v>
      </c>
      <c r="BP888" t="s">
        <v>74</v>
      </c>
      <c r="BQ888" t="s">
        <v>74</v>
      </c>
      <c r="BR888" t="s">
        <v>105</v>
      </c>
      <c r="BS888" t="s">
        <v>16305</v>
      </c>
      <c r="BT888" t="str">
        <f>HYPERLINK("https%3A%2F%2Fwww.webofscience.com%2Fwos%2Fwoscc%2Ffull-record%2FWOS:000316307200015","View Full Record in Web of Science")</f>
        <v>View Full Record in Web of Science</v>
      </c>
    </row>
    <row r="889" spans="1:72" x14ac:dyDescent="0.15">
      <c r="A889" t="s">
        <v>72</v>
      </c>
      <c r="B889" t="s">
        <v>16306</v>
      </c>
      <c r="C889" t="s">
        <v>74</v>
      </c>
      <c r="D889" t="s">
        <v>74</v>
      </c>
      <c r="E889" t="s">
        <v>74</v>
      </c>
      <c r="F889" t="s">
        <v>16307</v>
      </c>
      <c r="G889" t="s">
        <v>74</v>
      </c>
      <c r="H889" t="s">
        <v>74</v>
      </c>
      <c r="I889" t="s">
        <v>16308</v>
      </c>
      <c r="J889" t="s">
        <v>16309</v>
      </c>
      <c r="K889" t="s">
        <v>74</v>
      </c>
      <c r="L889" t="s">
        <v>74</v>
      </c>
      <c r="M889" t="s">
        <v>78</v>
      </c>
      <c r="N889" t="s">
        <v>79</v>
      </c>
      <c r="O889" t="s">
        <v>74</v>
      </c>
      <c r="P889" t="s">
        <v>74</v>
      </c>
      <c r="Q889" t="s">
        <v>74</v>
      </c>
      <c r="R889" t="s">
        <v>74</v>
      </c>
      <c r="S889" t="s">
        <v>74</v>
      </c>
      <c r="T889" t="s">
        <v>74</v>
      </c>
      <c r="U889" t="s">
        <v>16310</v>
      </c>
      <c r="V889" t="s">
        <v>16311</v>
      </c>
      <c r="W889" t="s">
        <v>16312</v>
      </c>
      <c r="X889" t="s">
        <v>16313</v>
      </c>
      <c r="Y889" t="s">
        <v>16314</v>
      </c>
      <c r="Z889" t="s">
        <v>16315</v>
      </c>
      <c r="AA889" t="s">
        <v>16316</v>
      </c>
      <c r="AB889" t="s">
        <v>74</v>
      </c>
      <c r="AC889" t="s">
        <v>16317</v>
      </c>
      <c r="AD889" t="s">
        <v>3123</v>
      </c>
      <c r="AE889" t="s">
        <v>16318</v>
      </c>
      <c r="AF889" t="s">
        <v>74</v>
      </c>
      <c r="AG889">
        <v>72</v>
      </c>
      <c r="AH889">
        <v>4</v>
      </c>
      <c r="AI889">
        <v>4</v>
      </c>
      <c r="AJ889">
        <v>0</v>
      </c>
      <c r="AK889">
        <v>11</v>
      </c>
      <c r="AL889" t="s">
        <v>5807</v>
      </c>
      <c r="AM889" t="s">
        <v>5808</v>
      </c>
      <c r="AN889" t="s">
        <v>5809</v>
      </c>
      <c r="AO889" t="s">
        <v>16319</v>
      </c>
      <c r="AP889" t="s">
        <v>16320</v>
      </c>
      <c r="AQ889" t="s">
        <v>74</v>
      </c>
      <c r="AR889" t="s">
        <v>16321</v>
      </c>
      <c r="AS889" t="s">
        <v>16322</v>
      </c>
      <c r="AT889" t="s">
        <v>14886</v>
      </c>
      <c r="AU889">
        <v>2013</v>
      </c>
      <c r="AV889">
        <v>47</v>
      </c>
      <c r="AW889">
        <v>2</v>
      </c>
      <c r="AX889" t="s">
        <v>74</v>
      </c>
      <c r="AY889" t="s">
        <v>74</v>
      </c>
      <c r="AZ889" t="s">
        <v>74</v>
      </c>
      <c r="BA889" t="s">
        <v>74</v>
      </c>
      <c r="BB889">
        <v>115</v>
      </c>
      <c r="BC889">
        <v>130</v>
      </c>
      <c r="BD889" t="s">
        <v>74</v>
      </c>
      <c r="BE889" t="s">
        <v>16323</v>
      </c>
      <c r="BF889" t="str">
        <f>HYPERLINK("http://dx.doi.org/10.1134/S0016852113020027","http://dx.doi.org/10.1134/S0016852113020027")</f>
        <v>http://dx.doi.org/10.1134/S0016852113020027</v>
      </c>
      <c r="BG889" t="s">
        <v>74</v>
      </c>
      <c r="BH889" t="s">
        <v>74</v>
      </c>
      <c r="BI889">
        <v>16</v>
      </c>
      <c r="BJ889" t="s">
        <v>766</v>
      </c>
      <c r="BK889" t="s">
        <v>102</v>
      </c>
      <c r="BL889" t="s">
        <v>766</v>
      </c>
      <c r="BM889" t="s">
        <v>16324</v>
      </c>
      <c r="BN889" t="s">
        <v>74</v>
      </c>
      <c r="BO889" t="s">
        <v>74</v>
      </c>
      <c r="BP889" t="s">
        <v>74</v>
      </c>
      <c r="BQ889" t="s">
        <v>74</v>
      </c>
      <c r="BR889" t="s">
        <v>105</v>
      </c>
      <c r="BS889" t="s">
        <v>16325</v>
      </c>
      <c r="BT889" t="str">
        <f>HYPERLINK("https%3A%2F%2Fwww.webofscience.com%2Fwos%2Fwoscc%2Ffull-record%2FWOS:000317311000005","View Full Record in Web of Science")</f>
        <v>View Full Record in Web of Science</v>
      </c>
    </row>
    <row r="890" spans="1:72" x14ac:dyDescent="0.15">
      <c r="A890" t="s">
        <v>72</v>
      </c>
      <c r="B890" t="s">
        <v>13176</v>
      </c>
      <c r="C890" t="s">
        <v>74</v>
      </c>
      <c r="D890" t="s">
        <v>74</v>
      </c>
      <c r="E890" t="s">
        <v>74</v>
      </c>
      <c r="F890" t="s">
        <v>13177</v>
      </c>
      <c r="G890" t="s">
        <v>74</v>
      </c>
      <c r="H890" t="s">
        <v>74</v>
      </c>
      <c r="I890" t="s">
        <v>16326</v>
      </c>
      <c r="J890" t="s">
        <v>16327</v>
      </c>
      <c r="K890" t="s">
        <v>74</v>
      </c>
      <c r="L890" t="s">
        <v>74</v>
      </c>
      <c r="M890" t="s">
        <v>78</v>
      </c>
      <c r="N890" t="s">
        <v>79</v>
      </c>
      <c r="O890" t="s">
        <v>74</v>
      </c>
      <c r="P890" t="s">
        <v>74</v>
      </c>
      <c r="Q890" t="s">
        <v>74</v>
      </c>
      <c r="R890" t="s">
        <v>74</v>
      </c>
      <c r="S890" t="s">
        <v>74</v>
      </c>
      <c r="T890" t="s">
        <v>16328</v>
      </c>
      <c r="U890" t="s">
        <v>74</v>
      </c>
      <c r="V890" t="s">
        <v>16329</v>
      </c>
      <c r="W890" t="s">
        <v>16330</v>
      </c>
      <c r="X890" t="s">
        <v>16331</v>
      </c>
      <c r="Y890" t="s">
        <v>13182</v>
      </c>
      <c r="Z890" t="s">
        <v>13183</v>
      </c>
      <c r="AA890" t="s">
        <v>74</v>
      </c>
      <c r="AB890" t="s">
        <v>74</v>
      </c>
      <c r="AC890" t="s">
        <v>994</v>
      </c>
      <c r="AD890" t="s">
        <v>995</v>
      </c>
      <c r="AE890" t="s">
        <v>74</v>
      </c>
      <c r="AF890" t="s">
        <v>74</v>
      </c>
      <c r="AG890">
        <v>53</v>
      </c>
      <c r="AH890">
        <v>1</v>
      </c>
      <c r="AI890">
        <v>2</v>
      </c>
      <c r="AJ890">
        <v>0</v>
      </c>
      <c r="AK890">
        <v>5</v>
      </c>
      <c r="AL890" t="s">
        <v>642</v>
      </c>
      <c r="AM890" t="s">
        <v>643</v>
      </c>
      <c r="AN890" t="s">
        <v>644</v>
      </c>
      <c r="AO890" t="s">
        <v>16332</v>
      </c>
      <c r="AP890" t="s">
        <v>16333</v>
      </c>
      <c r="AQ890" t="s">
        <v>74</v>
      </c>
      <c r="AR890" t="s">
        <v>16334</v>
      </c>
      <c r="AS890" t="s">
        <v>16335</v>
      </c>
      <c r="AT890" t="s">
        <v>14886</v>
      </c>
      <c r="AU890">
        <v>2013</v>
      </c>
      <c r="AV890">
        <v>24</v>
      </c>
      <c r="AW890">
        <v>1</v>
      </c>
      <c r="AX890" t="s">
        <v>74</v>
      </c>
      <c r="AY890" t="s">
        <v>74</v>
      </c>
      <c r="AZ890" t="s">
        <v>74</v>
      </c>
      <c r="BA890" t="s">
        <v>74</v>
      </c>
      <c r="BB890">
        <v>94</v>
      </c>
      <c r="BC890">
        <v>105</v>
      </c>
      <c r="BD890" t="s">
        <v>74</v>
      </c>
      <c r="BE890" t="s">
        <v>16336</v>
      </c>
      <c r="BF890" t="str">
        <f>HYPERLINK("http://dx.doi.org/10.1177/0957154X12450139","http://dx.doi.org/10.1177/0957154X12450139")</f>
        <v>http://dx.doi.org/10.1177/0957154X12450139</v>
      </c>
      <c r="BG890" t="s">
        <v>74</v>
      </c>
      <c r="BH890" t="s">
        <v>74</v>
      </c>
      <c r="BI890">
        <v>12</v>
      </c>
      <c r="BJ890" t="s">
        <v>16337</v>
      </c>
      <c r="BK890" t="s">
        <v>3958</v>
      </c>
      <c r="BL890" t="s">
        <v>16338</v>
      </c>
      <c r="BM890" t="s">
        <v>16339</v>
      </c>
      <c r="BN890">
        <v>24572800</v>
      </c>
      <c r="BO890" t="s">
        <v>74</v>
      </c>
      <c r="BP890" t="s">
        <v>74</v>
      </c>
      <c r="BQ890" t="s">
        <v>74</v>
      </c>
      <c r="BR890" t="s">
        <v>105</v>
      </c>
      <c r="BS890" t="s">
        <v>16340</v>
      </c>
      <c r="BT890" t="str">
        <f>HYPERLINK("https%3A%2F%2Fwww.webofscience.com%2Fwos%2Fwoscc%2Ffull-record%2FWOS:000317057100007","View Full Record in Web of Science")</f>
        <v>View Full Record in Web of Science</v>
      </c>
    </row>
    <row r="891" spans="1:72" x14ac:dyDescent="0.15">
      <c r="A891" t="s">
        <v>72</v>
      </c>
      <c r="B891" t="s">
        <v>16341</v>
      </c>
      <c r="C891" t="s">
        <v>74</v>
      </c>
      <c r="D891" t="s">
        <v>74</v>
      </c>
      <c r="E891" t="s">
        <v>74</v>
      </c>
      <c r="F891" t="s">
        <v>16342</v>
      </c>
      <c r="G891" t="s">
        <v>74</v>
      </c>
      <c r="H891" t="s">
        <v>74</v>
      </c>
      <c r="I891" t="s">
        <v>16343</v>
      </c>
      <c r="J891" t="s">
        <v>7657</v>
      </c>
      <c r="K891" t="s">
        <v>74</v>
      </c>
      <c r="L891" t="s">
        <v>74</v>
      </c>
      <c r="M891" t="s">
        <v>78</v>
      </c>
      <c r="N891" t="s">
        <v>79</v>
      </c>
      <c r="O891" t="s">
        <v>74</v>
      </c>
      <c r="P891" t="s">
        <v>74</v>
      </c>
      <c r="Q891" t="s">
        <v>74</v>
      </c>
      <c r="R891" t="s">
        <v>74</v>
      </c>
      <c r="S891" t="s">
        <v>74</v>
      </c>
      <c r="T891" t="s">
        <v>16344</v>
      </c>
      <c r="U891" t="s">
        <v>16345</v>
      </c>
      <c r="V891" t="s">
        <v>16346</v>
      </c>
      <c r="W891" t="s">
        <v>16347</v>
      </c>
      <c r="X891" t="s">
        <v>16348</v>
      </c>
      <c r="Y891" t="s">
        <v>16349</v>
      </c>
      <c r="Z891" t="s">
        <v>8911</v>
      </c>
      <c r="AA891" t="s">
        <v>16350</v>
      </c>
      <c r="AB891" t="s">
        <v>16351</v>
      </c>
      <c r="AC891" t="s">
        <v>16352</v>
      </c>
      <c r="AD891" t="s">
        <v>995</v>
      </c>
      <c r="AE891" t="s">
        <v>74</v>
      </c>
      <c r="AF891" t="s">
        <v>74</v>
      </c>
      <c r="AG891">
        <v>39</v>
      </c>
      <c r="AH891">
        <v>5</v>
      </c>
      <c r="AI891">
        <v>5</v>
      </c>
      <c r="AJ891">
        <v>1</v>
      </c>
      <c r="AK891">
        <v>21</v>
      </c>
      <c r="AL891" t="s">
        <v>642</v>
      </c>
      <c r="AM891" t="s">
        <v>643</v>
      </c>
      <c r="AN891" t="s">
        <v>644</v>
      </c>
      <c r="AO891" t="s">
        <v>7670</v>
      </c>
      <c r="AP891" t="s">
        <v>7671</v>
      </c>
      <c r="AQ891" t="s">
        <v>74</v>
      </c>
      <c r="AR891" t="s">
        <v>7657</v>
      </c>
      <c r="AS891" t="s">
        <v>7672</v>
      </c>
      <c r="AT891" t="s">
        <v>14886</v>
      </c>
      <c r="AU891">
        <v>2013</v>
      </c>
      <c r="AV891">
        <v>23</v>
      </c>
      <c r="AW891">
        <v>3</v>
      </c>
      <c r="AX891" t="s">
        <v>74</v>
      </c>
      <c r="AY891" t="s">
        <v>74</v>
      </c>
      <c r="AZ891" t="s">
        <v>74</v>
      </c>
      <c r="BA891" t="s">
        <v>74</v>
      </c>
      <c r="BB891">
        <v>388</v>
      </c>
      <c r="BC891">
        <v>397</v>
      </c>
      <c r="BD891" t="s">
        <v>74</v>
      </c>
      <c r="BE891" t="s">
        <v>16353</v>
      </c>
      <c r="BF891" t="str">
        <f>HYPERLINK("http://dx.doi.org/10.1177/0959683612460790","http://dx.doi.org/10.1177/0959683612460790")</f>
        <v>http://dx.doi.org/10.1177/0959683612460790</v>
      </c>
      <c r="BG891" t="s">
        <v>74</v>
      </c>
      <c r="BH891" t="s">
        <v>74</v>
      </c>
      <c r="BI891">
        <v>10</v>
      </c>
      <c r="BJ891" t="s">
        <v>650</v>
      </c>
      <c r="BK891" t="s">
        <v>102</v>
      </c>
      <c r="BL891" t="s">
        <v>651</v>
      </c>
      <c r="BM891" t="s">
        <v>16354</v>
      </c>
      <c r="BN891" t="s">
        <v>74</v>
      </c>
      <c r="BO891" t="s">
        <v>74</v>
      </c>
      <c r="BP891" t="s">
        <v>74</v>
      </c>
      <c r="BQ891" t="s">
        <v>74</v>
      </c>
      <c r="BR891" t="s">
        <v>105</v>
      </c>
      <c r="BS891" t="s">
        <v>16355</v>
      </c>
      <c r="BT891" t="str">
        <f>HYPERLINK("https%3A%2F%2Fwww.webofscience.com%2Fwos%2Fwoscc%2Ffull-record%2FWOS:000316635400007","View Full Record in Web of Science")</f>
        <v>View Full Record in Web of Science</v>
      </c>
    </row>
    <row r="892" spans="1:72" x14ac:dyDescent="0.15">
      <c r="A892" t="s">
        <v>72</v>
      </c>
      <c r="B892" t="s">
        <v>16356</v>
      </c>
      <c r="C892" t="s">
        <v>74</v>
      </c>
      <c r="D892" t="s">
        <v>74</v>
      </c>
      <c r="E892" t="s">
        <v>74</v>
      </c>
      <c r="F892" t="s">
        <v>16357</v>
      </c>
      <c r="G892" t="s">
        <v>74</v>
      </c>
      <c r="H892" t="s">
        <v>74</v>
      </c>
      <c r="I892" t="s">
        <v>16358</v>
      </c>
      <c r="J892" t="s">
        <v>3673</v>
      </c>
      <c r="K892" t="s">
        <v>74</v>
      </c>
      <c r="L892" t="s">
        <v>74</v>
      </c>
      <c r="M892" t="s">
        <v>78</v>
      </c>
      <c r="N892" t="s">
        <v>79</v>
      </c>
      <c r="O892" t="s">
        <v>74</v>
      </c>
      <c r="P892" t="s">
        <v>74</v>
      </c>
      <c r="Q892" t="s">
        <v>74</v>
      </c>
      <c r="R892" t="s">
        <v>74</v>
      </c>
      <c r="S892" t="s">
        <v>74</v>
      </c>
      <c r="T892" t="s">
        <v>16359</v>
      </c>
      <c r="U892" t="s">
        <v>74</v>
      </c>
      <c r="V892" t="s">
        <v>16360</v>
      </c>
      <c r="W892" t="s">
        <v>16361</v>
      </c>
      <c r="X892" t="s">
        <v>16362</v>
      </c>
      <c r="Y892" t="s">
        <v>16363</v>
      </c>
      <c r="Z892" t="s">
        <v>16364</v>
      </c>
      <c r="AA892" t="s">
        <v>74</v>
      </c>
      <c r="AB892" t="s">
        <v>74</v>
      </c>
      <c r="AC892" t="s">
        <v>74</v>
      </c>
      <c r="AD892" t="s">
        <v>74</v>
      </c>
      <c r="AE892" t="s">
        <v>74</v>
      </c>
      <c r="AF892" t="s">
        <v>74</v>
      </c>
      <c r="AG892">
        <v>20</v>
      </c>
      <c r="AH892">
        <v>18</v>
      </c>
      <c r="AI892">
        <v>18</v>
      </c>
      <c r="AJ892">
        <v>1</v>
      </c>
      <c r="AK892">
        <v>27</v>
      </c>
      <c r="AL892" t="s">
        <v>3686</v>
      </c>
      <c r="AM892" t="s">
        <v>3687</v>
      </c>
      <c r="AN892" t="s">
        <v>3688</v>
      </c>
      <c r="AO892" t="s">
        <v>3689</v>
      </c>
      <c r="AP892" t="s">
        <v>3690</v>
      </c>
      <c r="AQ892" t="s">
        <v>74</v>
      </c>
      <c r="AR892" t="s">
        <v>3691</v>
      </c>
      <c r="AS892" t="s">
        <v>3692</v>
      </c>
      <c r="AT892" t="s">
        <v>14886</v>
      </c>
      <c r="AU892">
        <v>2013</v>
      </c>
      <c r="AV892">
        <v>51</v>
      </c>
      <c r="AW892">
        <v>3</v>
      </c>
      <c r="AX892">
        <v>1</v>
      </c>
      <c r="AY892" t="s">
        <v>74</v>
      </c>
      <c r="AZ892" t="s">
        <v>935</v>
      </c>
      <c r="BA892" t="s">
        <v>74</v>
      </c>
      <c r="BB892">
        <v>1405</v>
      </c>
      <c r="BC892">
        <v>1413</v>
      </c>
      <c r="BD892" t="s">
        <v>74</v>
      </c>
      <c r="BE892" t="s">
        <v>16365</v>
      </c>
      <c r="BF892" t="str">
        <f>HYPERLINK("http://dx.doi.org/10.1109/TGRS.2012.2220780","http://dx.doi.org/10.1109/TGRS.2012.2220780")</f>
        <v>http://dx.doi.org/10.1109/TGRS.2012.2220780</v>
      </c>
      <c r="BG892" t="s">
        <v>74</v>
      </c>
      <c r="BH892" t="s">
        <v>74</v>
      </c>
      <c r="BI892">
        <v>9</v>
      </c>
      <c r="BJ892" t="s">
        <v>3694</v>
      </c>
      <c r="BK892" t="s">
        <v>102</v>
      </c>
      <c r="BL892" t="s">
        <v>3695</v>
      </c>
      <c r="BM892" t="s">
        <v>16366</v>
      </c>
      <c r="BN892" t="s">
        <v>74</v>
      </c>
      <c r="BO892" t="s">
        <v>248</v>
      </c>
      <c r="BP892" t="s">
        <v>74</v>
      </c>
      <c r="BQ892" t="s">
        <v>74</v>
      </c>
      <c r="BR892" t="s">
        <v>105</v>
      </c>
      <c r="BS892" t="s">
        <v>16367</v>
      </c>
      <c r="BT892" t="str">
        <f>HYPERLINK("https%3A%2F%2Fwww.webofscience.com%2Fwos%2Fwoscc%2Ffull-record%2FWOS:000315725900031","View Full Record in Web of Science")</f>
        <v>View Full Record in Web of Science</v>
      </c>
    </row>
    <row r="893" spans="1:72" x14ac:dyDescent="0.15">
      <c r="A893" t="s">
        <v>72</v>
      </c>
      <c r="B893" t="s">
        <v>16368</v>
      </c>
      <c r="C893" t="s">
        <v>74</v>
      </c>
      <c r="D893" t="s">
        <v>74</v>
      </c>
      <c r="E893" t="s">
        <v>74</v>
      </c>
      <c r="F893" t="s">
        <v>16369</v>
      </c>
      <c r="G893" t="s">
        <v>74</v>
      </c>
      <c r="H893" t="s">
        <v>74</v>
      </c>
      <c r="I893" t="s">
        <v>16370</v>
      </c>
      <c r="J893" t="s">
        <v>6175</v>
      </c>
      <c r="K893" t="s">
        <v>74</v>
      </c>
      <c r="L893" t="s">
        <v>74</v>
      </c>
      <c r="M893" t="s">
        <v>78</v>
      </c>
      <c r="N893" t="s">
        <v>79</v>
      </c>
      <c r="O893" t="s">
        <v>74</v>
      </c>
      <c r="P893" t="s">
        <v>74</v>
      </c>
      <c r="Q893" t="s">
        <v>74</v>
      </c>
      <c r="R893" t="s">
        <v>74</v>
      </c>
      <c r="S893" t="s">
        <v>74</v>
      </c>
      <c r="T893" t="s">
        <v>16371</v>
      </c>
      <c r="U893" t="s">
        <v>16372</v>
      </c>
      <c r="V893" t="s">
        <v>16373</v>
      </c>
      <c r="W893" t="s">
        <v>16374</v>
      </c>
      <c r="X893" t="s">
        <v>16375</v>
      </c>
      <c r="Y893" t="s">
        <v>16376</v>
      </c>
      <c r="Z893" t="s">
        <v>16377</v>
      </c>
      <c r="AA893" t="s">
        <v>16378</v>
      </c>
      <c r="AB893" t="s">
        <v>16379</v>
      </c>
      <c r="AC893" t="s">
        <v>16380</v>
      </c>
      <c r="AD893" t="s">
        <v>16381</v>
      </c>
      <c r="AE893" t="s">
        <v>16382</v>
      </c>
      <c r="AF893" t="s">
        <v>74</v>
      </c>
      <c r="AG893">
        <v>20</v>
      </c>
      <c r="AH893">
        <v>23</v>
      </c>
      <c r="AI893">
        <v>24</v>
      </c>
      <c r="AJ893">
        <v>1</v>
      </c>
      <c r="AK893">
        <v>32</v>
      </c>
      <c r="AL893" t="s">
        <v>2961</v>
      </c>
      <c r="AM893" t="s">
        <v>369</v>
      </c>
      <c r="AN893" t="s">
        <v>370</v>
      </c>
      <c r="AO893" t="s">
        <v>6188</v>
      </c>
      <c r="AP893" t="s">
        <v>74</v>
      </c>
      <c r="AQ893" t="s">
        <v>74</v>
      </c>
      <c r="AR893" t="s">
        <v>6189</v>
      </c>
      <c r="AS893" t="s">
        <v>6190</v>
      </c>
      <c r="AT893" t="s">
        <v>14886</v>
      </c>
      <c r="AU893">
        <v>2013</v>
      </c>
      <c r="AV893">
        <v>33</v>
      </c>
      <c r="AW893">
        <v>3</v>
      </c>
      <c r="AX893" t="s">
        <v>74</v>
      </c>
      <c r="AY893" t="s">
        <v>74</v>
      </c>
      <c r="AZ893" t="s">
        <v>74</v>
      </c>
      <c r="BA893" t="s">
        <v>74</v>
      </c>
      <c r="BB893">
        <v>778</v>
      </c>
      <c r="BC893">
        <v>783</v>
      </c>
      <c r="BD893" t="s">
        <v>74</v>
      </c>
      <c r="BE893" t="s">
        <v>16383</v>
      </c>
      <c r="BF893" t="str">
        <f>HYPERLINK("http://dx.doi.org/10.1002/joc.3456","http://dx.doi.org/10.1002/joc.3456")</f>
        <v>http://dx.doi.org/10.1002/joc.3456</v>
      </c>
      <c r="BG893" t="s">
        <v>74</v>
      </c>
      <c r="BH893" t="s">
        <v>74</v>
      </c>
      <c r="BI893">
        <v>6</v>
      </c>
      <c r="BJ893" t="s">
        <v>305</v>
      </c>
      <c r="BK893" t="s">
        <v>102</v>
      </c>
      <c r="BL893" t="s">
        <v>305</v>
      </c>
      <c r="BM893" t="s">
        <v>16384</v>
      </c>
      <c r="BN893" t="s">
        <v>74</v>
      </c>
      <c r="BO893" t="s">
        <v>74</v>
      </c>
      <c r="BP893" t="s">
        <v>74</v>
      </c>
      <c r="BQ893" t="s">
        <v>74</v>
      </c>
      <c r="BR893" t="s">
        <v>105</v>
      </c>
      <c r="BS893" t="s">
        <v>16385</v>
      </c>
      <c r="BT893" t="str">
        <f>HYPERLINK("https%3A%2F%2Fwww.webofscience.com%2Fwos%2Fwoscc%2Ffull-record%2FWOS:000314926400022","View Full Record in Web of Science")</f>
        <v>View Full Record in Web of Science</v>
      </c>
    </row>
    <row r="894" spans="1:72" x14ac:dyDescent="0.15">
      <c r="A894" t="s">
        <v>72</v>
      </c>
      <c r="B894" t="s">
        <v>16386</v>
      </c>
      <c r="C894" t="s">
        <v>74</v>
      </c>
      <c r="D894" t="s">
        <v>74</v>
      </c>
      <c r="E894" t="s">
        <v>74</v>
      </c>
      <c r="F894" t="s">
        <v>16387</v>
      </c>
      <c r="G894" t="s">
        <v>74</v>
      </c>
      <c r="H894" t="s">
        <v>74</v>
      </c>
      <c r="I894" t="s">
        <v>16388</v>
      </c>
      <c r="J894" t="s">
        <v>6175</v>
      </c>
      <c r="K894" t="s">
        <v>74</v>
      </c>
      <c r="L894" t="s">
        <v>74</v>
      </c>
      <c r="M894" t="s">
        <v>78</v>
      </c>
      <c r="N894" t="s">
        <v>79</v>
      </c>
      <c r="O894" t="s">
        <v>74</v>
      </c>
      <c r="P894" t="s">
        <v>74</v>
      </c>
      <c r="Q894" t="s">
        <v>74</v>
      </c>
      <c r="R894" t="s">
        <v>74</v>
      </c>
      <c r="S894" t="s">
        <v>74</v>
      </c>
      <c r="T894" t="s">
        <v>16389</v>
      </c>
      <c r="U894" t="s">
        <v>16390</v>
      </c>
      <c r="V894" t="s">
        <v>16391</v>
      </c>
      <c r="W894" t="s">
        <v>2757</v>
      </c>
      <c r="X894" t="s">
        <v>1300</v>
      </c>
      <c r="Y894" t="s">
        <v>16392</v>
      </c>
      <c r="Z894" t="s">
        <v>16393</v>
      </c>
      <c r="AA894" t="s">
        <v>16394</v>
      </c>
      <c r="AB894" t="s">
        <v>16395</v>
      </c>
      <c r="AC894" t="s">
        <v>16396</v>
      </c>
      <c r="AD894" t="s">
        <v>4509</v>
      </c>
      <c r="AE894" t="s">
        <v>16397</v>
      </c>
      <c r="AF894" t="s">
        <v>74</v>
      </c>
      <c r="AG894">
        <v>31</v>
      </c>
      <c r="AH894">
        <v>51</v>
      </c>
      <c r="AI894">
        <v>59</v>
      </c>
      <c r="AJ894">
        <v>0</v>
      </c>
      <c r="AK894">
        <v>49</v>
      </c>
      <c r="AL894" t="s">
        <v>368</v>
      </c>
      <c r="AM894" t="s">
        <v>369</v>
      </c>
      <c r="AN894" t="s">
        <v>370</v>
      </c>
      <c r="AO894" t="s">
        <v>6188</v>
      </c>
      <c r="AP894" t="s">
        <v>6513</v>
      </c>
      <c r="AQ894" t="s">
        <v>74</v>
      </c>
      <c r="AR894" t="s">
        <v>6189</v>
      </c>
      <c r="AS894" t="s">
        <v>6190</v>
      </c>
      <c r="AT894" t="s">
        <v>14886</v>
      </c>
      <c r="AU894">
        <v>2013</v>
      </c>
      <c r="AV894">
        <v>33</v>
      </c>
      <c r="AW894">
        <v>4</v>
      </c>
      <c r="AX894" t="s">
        <v>74</v>
      </c>
      <c r="AY894" t="s">
        <v>74</v>
      </c>
      <c r="AZ894" t="s">
        <v>74</v>
      </c>
      <c r="BA894" t="s">
        <v>74</v>
      </c>
      <c r="BB894">
        <v>843</v>
      </c>
      <c r="BC894">
        <v>851</v>
      </c>
      <c r="BD894" t="s">
        <v>74</v>
      </c>
      <c r="BE894" t="s">
        <v>16398</v>
      </c>
      <c r="BF894" t="str">
        <f>HYPERLINK("http://dx.doi.org/10.1002/joc.3473","http://dx.doi.org/10.1002/joc.3473")</f>
        <v>http://dx.doi.org/10.1002/joc.3473</v>
      </c>
      <c r="BG894" t="s">
        <v>74</v>
      </c>
      <c r="BH894" t="s">
        <v>74</v>
      </c>
      <c r="BI894">
        <v>9</v>
      </c>
      <c r="BJ894" t="s">
        <v>305</v>
      </c>
      <c r="BK894" t="s">
        <v>102</v>
      </c>
      <c r="BL894" t="s">
        <v>305</v>
      </c>
      <c r="BM894" t="s">
        <v>16399</v>
      </c>
      <c r="BN894" t="s">
        <v>74</v>
      </c>
      <c r="BO894" t="s">
        <v>1688</v>
      </c>
      <c r="BP894" t="s">
        <v>74</v>
      </c>
      <c r="BQ894" t="s">
        <v>74</v>
      </c>
      <c r="BR894" t="s">
        <v>105</v>
      </c>
      <c r="BS894" t="s">
        <v>16400</v>
      </c>
      <c r="BT894" t="str">
        <f>HYPERLINK("https%3A%2F%2Fwww.webofscience.com%2Fwos%2Fwoscc%2Ffull-record%2FWOS:000315972400005","View Full Record in Web of Science")</f>
        <v>View Full Record in Web of Science</v>
      </c>
    </row>
    <row r="895" spans="1:72" x14ac:dyDescent="0.15">
      <c r="A895" t="s">
        <v>72</v>
      </c>
      <c r="B895" t="s">
        <v>16401</v>
      </c>
      <c r="C895" t="s">
        <v>74</v>
      </c>
      <c r="D895" t="s">
        <v>74</v>
      </c>
      <c r="E895" t="s">
        <v>74</v>
      </c>
      <c r="F895" t="s">
        <v>16402</v>
      </c>
      <c r="G895" t="s">
        <v>74</v>
      </c>
      <c r="H895" t="s">
        <v>74</v>
      </c>
      <c r="I895" t="s">
        <v>16403</v>
      </c>
      <c r="J895" t="s">
        <v>6175</v>
      </c>
      <c r="K895" t="s">
        <v>74</v>
      </c>
      <c r="L895" t="s">
        <v>74</v>
      </c>
      <c r="M895" t="s">
        <v>78</v>
      </c>
      <c r="N895" t="s">
        <v>79</v>
      </c>
      <c r="O895" t="s">
        <v>74</v>
      </c>
      <c r="P895" t="s">
        <v>74</v>
      </c>
      <c r="Q895" t="s">
        <v>74</v>
      </c>
      <c r="R895" t="s">
        <v>74</v>
      </c>
      <c r="S895" t="s">
        <v>74</v>
      </c>
      <c r="T895" t="s">
        <v>16404</v>
      </c>
      <c r="U895" t="s">
        <v>16405</v>
      </c>
      <c r="V895" t="s">
        <v>16406</v>
      </c>
      <c r="W895" t="s">
        <v>16407</v>
      </c>
      <c r="X895" t="s">
        <v>1300</v>
      </c>
      <c r="Y895" t="s">
        <v>16408</v>
      </c>
      <c r="Z895" t="s">
        <v>7701</v>
      </c>
      <c r="AA895" t="s">
        <v>74</v>
      </c>
      <c r="AB895" t="s">
        <v>16409</v>
      </c>
      <c r="AC895" t="s">
        <v>16410</v>
      </c>
      <c r="AD895" t="s">
        <v>1304</v>
      </c>
      <c r="AE895" t="s">
        <v>74</v>
      </c>
      <c r="AF895" t="s">
        <v>74</v>
      </c>
      <c r="AG895">
        <v>28</v>
      </c>
      <c r="AH895">
        <v>81</v>
      </c>
      <c r="AI895">
        <v>91</v>
      </c>
      <c r="AJ895">
        <v>0</v>
      </c>
      <c r="AK895">
        <v>63</v>
      </c>
      <c r="AL895" t="s">
        <v>2961</v>
      </c>
      <c r="AM895" t="s">
        <v>369</v>
      </c>
      <c r="AN895" t="s">
        <v>370</v>
      </c>
      <c r="AO895" t="s">
        <v>6188</v>
      </c>
      <c r="AP895" t="s">
        <v>6513</v>
      </c>
      <c r="AQ895" t="s">
        <v>74</v>
      </c>
      <c r="AR895" t="s">
        <v>6189</v>
      </c>
      <c r="AS895" t="s">
        <v>6190</v>
      </c>
      <c r="AT895" t="s">
        <v>14886</v>
      </c>
      <c r="AU895">
        <v>2013</v>
      </c>
      <c r="AV895">
        <v>33</v>
      </c>
      <c r="AW895">
        <v>4</v>
      </c>
      <c r="AX895" t="s">
        <v>74</v>
      </c>
      <c r="AY895" t="s">
        <v>74</v>
      </c>
      <c r="AZ895" t="s">
        <v>74</v>
      </c>
      <c r="BA895" t="s">
        <v>74</v>
      </c>
      <c r="BB895">
        <v>852</v>
      </c>
      <c r="BC895">
        <v>861</v>
      </c>
      <c r="BD895" t="s">
        <v>74</v>
      </c>
      <c r="BE895" t="s">
        <v>16411</v>
      </c>
      <c r="BF895" t="str">
        <f>HYPERLINK("http://dx.doi.org/10.1002/joc.3474","http://dx.doi.org/10.1002/joc.3474")</f>
        <v>http://dx.doi.org/10.1002/joc.3474</v>
      </c>
      <c r="BG895" t="s">
        <v>74</v>
      </c>
      <c r="BH895" t="s">
        <v>74</v>
      </c>
      <c r="BI895">
        <v>10</v>
      </c>
      <c r="BJ895" t="s">
        <v>305</v>
      </c>
      <c r="BK895" t="s">
        <v>102</v>
      </c>
      <c r="BL895" t="s">
        <v>305</v>
      </c>
      <c r="BM895" t="s">
        <v>16399</v>
      </c>
      <c r="BN895" t="s">
        <v>74</v>
      </c>
      <c r="BO895" t="s">
        <v>74</v>
      </c>
      <c r="BP895" t="s">
        <v>74</v>
      </c>
      <c r="BQ895" t="s">
        <v>74</v>
      </c>
      <c r="BR895" t="s">
        <v>105</v>
      </c>
      <c r="BS895" t="s">
        <v>16412</v>
      </c>
      <c r="BT895" t="str">
        <f>HYPERLINK("https%3A%2F%2Fwww.webofscience.com%2Fwos%2Fwoscc%2Ffull-record%2FWOS:000315972400006","View Full Record in Web of Science")</f>
        <v>View Full Record in Web of Science</v>
      </c>
    </row>
    <row r="896" spans="1:72" x14ac:dyDescent="0.15">
      <c r="A896" t="s">
        <v>72</v>
      </c>
      <c r="B896" t="s">
        <v>16413</v>
      </c>
      <c r="C896" t="s">
        <v>74</v>
      </c>
      <c r="D896" t="s">
        <v>74</v>
      </c>
      <c r="E896" t="s">
        <v>74</v>
      </c>
      <c r="F896" t="s">
        <v>16414</v>
      </c>
      <c r="G896" t="s">
        <v>74</v>
      </c>
      <c r="H896" t="s">
        <v>74</v>
      </c>
      <c r="I896" t="s">
        <v>16415</v>
      </c>
      <c r="J896" t="s">
        <v>6175</v>
      </c>
      <c r="K896" t="s">
        <v>74</v>
      </c>
      <c r="L896" t="s">
        <v>74</v>
      </c>
      <c r="M896" t="s">
        <v>78</v>
      </c>
      <c r="N896" t="s">
        <v>79</v>
      </c>
      <c r="O896" t="s">
        <v>74</v>
      </c>
      <c r="P896" t="s">
        <v>74</v>
      </c>
      <c r="Q896" t="s">
        <v>74</v>
      </c>
      <c r="R896" t="s">
        <v>74</v>
      </c>
      <c r="S896" t="s">
        <v>74</v>
      </c>
      <c r="T896" t="s">
        <v>16416</v>
      </c>
      <c r="U896" t="s">
        <v>16417</v>
      </c>
      <c r="V896" t="s">
        <v>16418</v>
      </c>
      <c r="W896" t="s">
        <v>16419</v>
      </c>
      <c r="X896" t="s">
        <v>16420</v>
      </c>
      <c r="Y896" t="s">
        <v>16421</v>
      </c>
      <c r="Z896" t="s">
        <v>16422</v>
      </c>
      <c r="AA896" t="s">
        <v>16423</v>
      </c>
      <c r="AB896" t="s">
        <v>16424</v>
      </c>
      <c r="AC896" t="s">
        <v>16425</v>
      </c>
      <c r="AD896" t="s">
        <v>16426</v>
      </c>
      <c r="AE896" t="s">
        <v>16427</v>
      </c>
      <c r="AF896" t="s">
        <v>74</v>
      </c>
      <c r="AG896">
        <v>81</v>
      </c>
      <c r="AH896">
        <v>40</v>
      </c>
      <c r="AI896">
        <v>47</v>
      </c>
      <c r="AJ896">
        <v>4</v>
      </c>
      <c r="AK896">
        <v>46</v>
      </c>
      <c r="AL896" t="s">
        <v>368</v>
      </c>
      <c r="AM896" t="s">
        <v>369</v>
      </c>
      <c r="AN896" t="s">
        <v>370</v>
      </c>
      <c r="AO896" t="s">
        <v>6188</v>
      </c>
      <c r="AP896" t="s">
        <v>6513</v>
      </c>
      <c r="AQ896" t="s">
        <v>74</v>
      </c>
      <c r="AR896" t="s">
        <v>6189</v>
      </c>
      <c r="AS896" t="s">
        <v>6190</v>
      </c>
      <c r="AT896" t="s">
        <v>14886</v>
      </c>
      <c r="AU896">
        <v>2013</v>
      </c>
      <c r="AV896">
        <v>33</v>
      </c>
      <c r="AW896">
        <v>4</v>
      </c>
      <c r="AX896" t="s">
        <v>74</v>
      </c>
      <c r="AY896" t="s">
        <v>74</v>
      </c>
      <c r="AZ896" t="s">
        <v>74</v>
      </c>
      <c r="BA896" t="s">
        <v>74</v>
      </c>
      <c r="BB896">
        <v>945</v>
      </c>
      <c r="BC896">
        <v>958</v>
      </c>
      <c r="BD896" t="s">
        <v>74</v>
      </c>
      <c r="BE896" t="s">
        <v>16428</v>
      </c>
      <c r="BF896" t="str">
        <f>HYPERLINK("http://dx.doi.org/10.1002/joc.3481","http://dx.doi.org/10.1002/joc.3481")</f>
        <v>http://dx.doi.org/10.1002/joc.3481</v>
      </c>
      <c r="BG896" t="s">
        <v>74</v>
      </c>
      <c r="BH896" t="s">
        <v>74</v>
      </c>
      <c r="BI896">
        <v>14</v>
      </c>
      <c r="BJ896" t="s">
        <v>305</v>
      </c>
      <c r="BK896" t="s">
        <v>102</v>
      </c>
      <c r="BL896" t="s">
        <v>305</v>
      </c>
      <c r="BM896" t="s">
        <v>16399</v>
      </c>
      <c r="BN896" t="s">
        <v>74</v>
      </c>
      <c r="BO896" t="s">
        <v>74</v>
      </c>
      <c r="BP896" t="s">
        <v>74</v>
      </c>
      <c r="BQ896" t="s">
        <v>74</v>
      </c>
      <c r="BR896" t="s">
        <v>105</v>
      </c>
      <c r="BS896" t="s">
        <v>16429</v>
      </c>
      <c r="BT896" t="str">
        <f>HYPERLINK("https%3A%2F%2Fwww.webofscience.com%2Fwos%2Fwoscc%2Ffull-record%2FWOS:000315972400013","View Full Record in Web of Science")</f>
        <v>View Full Record in Web of Science</v>
      </c>
    </row>
    <row r="897" spans="1:72" x14ac:dyDescent="0.15">
      <c r="A897" t="s">
        <v>72</v>
      </c>
      <c r="B897" t="s">
        <v>16430</v>
      </c>
      <c r="C897" t="s">
        <v>74</v>
      </c>
      <c r="D897" t="s">
        <v>74</v>
      </c>
      <c r="E897" t="s">
        <v>74</v>
      </c>
      <c r="F897" t="s">
        <v>16431</v>
      </c>
      <c r="G897" t="s">
        <v>74</v>
      </c>
      <c r="H897" t="s">
        <v>74</v>
      </c>
      <c r="I897" t="s">
        <v>16432</v>
      </c>
      <c r="J897" t="s">
        <v>16433</v>
      </c>
      <c r="K897" t="s">
        <v>74</v>
      </c>
      <c r="L897" t="s">
        <v>74</v>
      </c>
      <c r="M897" t="s">
        <v>78</v>
      </c>
      <c r="N897" t="s">
        <v>79</v>
      </c>
      <c r="O897" t="s">
        <v>74</v>
      </c>
      <c r="P897" t="s">
        <v>74</v>
      </c>
      <c r="Q897" t="s">
        <v>74</v>
      </c>
      <c r="R897" t="s">
        <v>74</v>
      </c>
      <c r="S897" t="s">
        <v>74</v>
      </c>
      <c r="T897" t="s">
        <v>16434</v>
      </c>
      <c r="U897" t="s">
        <v>74</v>
      </c>
      <c r="V897" t="s">
        <v>16435</v>
      </c>
      <c r="W897" t="s">
        <v>16436</v>
      </c>
      <c r="X897" t="s">
        <v>16437</v>
      </c>
      <c r="Y897" t="s">
        <v>16438</v>
      </c>
      <c r="Z897" t="s">
        <v>16439</v>
      </c>
      <c r="AA897" t="s">
        <v>16440</v>
      </c>
      <c r="AB897" t="s">
        <v>16441</v>
      </c>
      <c r="AC897" t="s">
        <v>74</v>
      </c>
      <c r="AD897" t="s">
        <v>74</v>
      </c>
      <c r="AE897" t="s">
        <v>74</v>
      </c>
      <c r="AF897" t="s">
        <v>74</v>
      </c>
      <c r="AG897">
        <v>28</v>
      </c>
      <c r="AH897">
        <v>11</v>
      </c>
      <c r="AI897">
        <v>11</v>
      </c>
      <c r="AJ897">
        <v>1</v>
      </c>
      <c r="AK897">
        <v>5</v>
      </c>
      <c r="AL897" t="s">
        <v>16442</v>
      </c>
      <c r="AM897" t="s">
        <v>2382</v>
      </c>
      <c r="AN897" t="s">
        <v>16443</v>
      </c>
      <c r="AO897" t="s">
        <v>16444</v>
      </c>
      <c r="AP897" t="s">
        <v>16445</v>
      </c>
      <c r="AQ897" t="s">
        <v>74</v>
      </c>
      <c r="AR897" t="s">
        <v>16446</v>
      </c>
      <c r="AS897" t="s">
        <v>16447</v>
      </c>
      <c r="AT897" t="s">
        <v>15214</v>
      </c>
      <c r="AU897">
        <v>2013</v>
      </c>
      <c r="AV897">
        <v>9</v>
      </c>
      <c r="AW897">
        <v>1</v>
      </c>
      <c r="AX897" t="s">
        <v>74</v>
      </c>
      <c r="AY897" t="s">
        <v>74</v>
      </c>
      <c r="AZ897" t="s">
        <v>74</v>
      </c>
      <c r="BA897" t="s">
        <v>74</v>
      </c>
      <c r="BB897">
        <v>87</v>
      </c>
      <c r="BC897">
        <v>101</v>
      </c>
      <c r="BD897" t="s">
        <v>74</v>
      </c>
      <c r="BE897" t="s">
        <v>16448</v>
      </c>
      <c r="BF897" t="str">
        <f>HYPERLINK("http://dx.doi.org/10.1386/macp.9.1.87_1","http://dx.doi.org/10.1386/macp.9.1.87_1")</f>
        <v>http://dx.doi.org/10.1386/macp.9.1.87_1</v>
      </c>
      <c r="BG897" t="s">
        <v>74</v>
      </c>
      <c r="BH897" t="s">
        <v>74</v>
      </c>
      <c r="BI897">
        <v>15</v>
      </c>
      <c r="BJ897" t="s">
        <v>16449</v>
      </c>
      <c r="BK897" t="s">
        <v>1452</v>
      </c>
      <c r="BL897" t="s">
        <v>16449</v>
      </c>
      <c r="BM897" t="s">
        <v>16450</v>
      </c>
      <c r="BN897" t="s">
        <v>74</v>
      </c>
      <c r="BO897" t="s">
        <v>1063</v>
      </c>
      <c r="BP897" t="s">
        <v>74</v>
      </c>
      <c r="BQ897" t="s">
        <v>74</v>
      </c>
      <c r="BR897" t="s">
        <v>105</v>
      </c>
      <c r="BS897" t="s">
        <v>16451</v>
      </c>
      <c r="BT897" t="str">
        <f>HYPERLINK("https%3A%2F%2Fwww.webofscience.com%2Fwos%2Fwoscc%2Ffull-record%2FWOS:000422468800007","View Full Record in Web of Science")</f>
        <v>View Full Record in Web of Science</v>
      </c>
    </row>
    <row r="898" spans="1:72" x14ac:dyDescent="0.15">
      <c r="A898" t="s">
        <v>72</v>
      </c>
      <c r="B898" t="s">
        <v>16452</v>
      </c>
      <c r="C898" t="s">
        <v>74</v>
      </c>
      <c r="D898" t="s">
        <v>74</v>
      </c>
      <c r="E898" t="s">
        <v>74</v>
      </c>
      <c r="F898" t="s">
        <v>16453</v>
      </c>
      <c r="G898" t="s">
        <v>74</v>
      </c>
      <c r="H898" t="s">
        <v>74</v>
      </c>
      <c r="I898" t="s">
        <v>16454</v>
      </c>
      <c r="J898" t="s">
        <v>16455</v>
      </c>
      <c r="K898" t="s">
        <v>74</v>
      </c>
      <c r="L898" t="s">
        <v>74</v>
      </c>
      <c r="M898" t="s">
        <v>78</v>
      </c>
      <c r="N898" t="s">
        <v>79</v>
      </c>
      <c r="O898" t="s">
        <v>74</v>
      </c>
      <c r="P898" t="s">
        <v>74</v>
      </c>
      <c r="Q898" t="s">
        <v>74</v>
      </c>
      <c r="R898" t="s">
        <v>74</v>
      </c>
      <c r="S898" t="s">
        <v>74</v>
      </c>
      <c r="T898" t="s">
        <v>16456</v>
      </c>
      <c r="U898" t="s">
        <v>74</v>
      </c>
      <c r="V898" t="s">
        <v>16457</v>
      </c>
      <c r="W898" t="s">
        <v>16458</v>
      </c>
      <c r="X898" t="s">
        <v>16459</v>
      </c>
      <c r="Y898" t="s">
        <v>16460</v>
      </c>
      <c r="Z898" t="s">
        <v>16461</v>
      </c>
      <c r="AA898" t="s">
        <v>74</v>
      </c>
      <c r="AB898" t="s">
        <v>16462</v>
      </c>
      <c r="AC898" t="s">
        <v>16463</v>
      </c>
      <c r="AD898" t="s">
        <v>16464</v>
      </c>
      <c r="AE898" t="s">
        <v>16465</v>
      </c>
      <c r="AF898" t="s">
        <v>74</v>
      </c>
      <c r="AG898">
        <v>6</v>
      </c>
      <c r="AH898">
        <v>7</v>
      </c>
      <c r="AI898">
        <v>9</v>
      </c>
      <c r="AJ898">
        <v>1</v>
      </c>
      <c r="AK898">
        <v>33</v>
      </c>
      <c r="AL898" t="s">
        <v>1080</v>
      </c>
      <c r="AM898" t="s">
        <v>1081</v>
      </c>
      <c r="AN898" t="s">
        <v>6579</v>
      </c>
      <c r="AO898" t="s">
        <v>16466</v>
      </c>
      <c r="AP898" t="s">
        <v>16467</v>
      </c>
      <c r="AQ898" t="s">
        <v>74</v>
      </c>
      <c r="AR898" t="s">
        <v>16468</v>
      </c>
      <c r="AS898" t="s">
        <v>16469</v>
      </c>
      <c r="AT898" t="s">
        <v>15214</v>
      </c>
      <c r="AU898">
        <v>2013</v>
      </c>
      <c r="AV898">
        <v>15</v>
      </c>
      <c r="AW898">
        <v>3</v>
      </c>
      <c r="AX898" t="s">
        <v>74</v>
      </c>
      <c r="AY898" t="s">
        <v>74</v>
      </c>
      <c r="AZ898" t="s">
        <v>74</v>
      </c>
      <c r="BA898" t="s">
        <v>74</v>
      </c>
      <c r="BB898">
        <v>265</v>
      </c>
      <c r="BC898">
        <v>269</v>
      </c>
      <c r="BD898" t="s">
        <v>74</v>
      </c>
      <c r="BE898" t="s">
        <v>16470</v>
      </c>
      <c r="BF898" t="str">
        <f>HYPERLINK("http://dx.doi.org/10.1080/10286020.2012.762764","http://dx.doi.org/10.1080/10286020.2012.762764")</f>
        <v>http://dx.doi.org/10.1080/10286020.2012.762764</v>
      </c>
      <c r="BG898" t="s">
        <v>74</v>
      </c>
      <c r="BH898" t="s">
        <v>74</v>
      </c>
      <c r="BI898">
        <v>5</v>
      </c>
      <c r="BJ898" t="s">
        <v>16471</v>
      </c>
      <c r="BK898" t="s">
        <v>5355</v>
      </c>
      <c r="BL898" t="s">
        <v>16472</v>
      </c>
      <c r="BM898" t="s">
        <v>16473</v>
      </c>
      <c r="BN898">
        <v>23421470</v>
      </c>
      <c r="BO898" t="s">
        <v>74</v>
      </c>
      <c r="BP898" t="s">
        <v>74</v>
      </c>
      <c r="BQ898" t="s">
        <v>74</v>
      </c>
      <c r="BR898" t="s">
        <v>105</v>
      </c>
      <c r="BS898" t="s">
        <v>16474</v>
      </c>
      <c r="BT898" t="str">
        <f>HYPERLINK("https%3A%2F%2Fwww.webofscience.com%2Fwos%2Fwoscc%2Ffull-record%2FWOS:000318780300008","View Full Record in Web of Science")</f>
        <v>View Full Record in Web of Science</v>
      </c>
    </row>
    <row r="899" spans="1:72" x14ac:dyDescent="0.15">
      <c r="A899" t="s">
        <v>72</v>
      </c>
      <c r="B899" t="s">
        <v>16475</v>
      </c>
      <c r="C899" t="s">
        <v>74</v>
      </c>
      <c r="D899" t="s">
        <v>74</v>
      </c>
      <c r="E899" t="s">
        <v>74</v>
      </c>
      <c r="F899" t="s">
        <v>16476</v>
      </c>
      <c r="G899" t="s">
        <v>74</v>
      </c>
      <c r="H899" t="s">
        <v>74</v>
      </c>
      <c r="I899" t="s">
        <v>16477</v>
      </c>
      <c r="J899" t="s">
        <v>1610</v>
      </c>
      <c r="K899" t="s">
        <v>74</v>
      </c>
      <c r="L899" t="s">
        <v>74</v>
      </c>
      <c r="M899" t="s">
        <v>78</v>
      </c>
      <c r="N899" t="s">
        <v>79</v>
      </c>
      <c r="O899" t="s">
        <v>74</v>
      </c>
      <c r="P899" t="s">
        <v>74</v>
      </c>
      <c r="Q899" t="s">
        <v>74</v>
      </c>
      <c r="R899" t="s">
        <v>74</v>
      </c>
      <c r="S899" t="s">
        <v>74</v>
      </c>
      <c r="T899" t="s">
        <v>16478</v>
      </c>
      <c r="U899" t="s">
        <v>16479</v>
      </c>
      <c r="V899" t="s">
        <v>16480</v>
      </c>
      <c r="W899" t="s">
        <v>16481</v>
      </c>
      <c r="X899" t="s">
        <v>16482</v>
      </c>
      <c r="Y899" t="s">
        <v>16483</v>
      </c>
      <c r="Z899" t="s">
        <v>16484</v>
      </c>
      <c r="AA899" t="s">
        <v>16485</v>
      </c>
      <c r="AB899" t="s">
        <v>16486</v>
      </c>
      <c r="AC899" t="s">
        <v>16487</v>
      </c>
      <c r="AD899" t="s">
        <v>16488</v>
      </c>
      <c r="AE899" t="s">
        <v>16489</v>
      </c>
      <c r="AF899" t="s">
        <v>74</v>
      </c>
      <c r="AG899">
        <v>54</v>
      </c>
      <c r="AH899">
        <v>56</v>
      </c>
      <c r="AI899">
        <v>63</v>
      </c>
      <c r="AJ899">
        <v>1</v>
      </c>
      <c r="AK899">
        <v>72</v>
      </c>
      <c r="AL899" t="s">
        <v>368</v>
      </c>
      <c r="AM899" t="s">
        <v>369</v>
      </c>
      <c r="AN899" t="s">
        <v>370</v>
      </c>
      <c r="AO899" t="s">
        <v>1620</v>
      </c>
      <c r="AP899" t="s">
        <v>1621</v>
      </c>
      <c r="AQ899" t="s">
        <v>74</v>
      </c>
      <c r="AR899" t="s">
        <v>1622</v>
      </c>
      <c r="AS899" t="s">
        <v>1623</v>
      </c>
      <c r="AT899" t="s">
        <v>14886</v>
      </c>
      <c r="AU899">
        <v>2013</v>
      </c>
      <c r="AV899">
        <v>40</v>
      </c>
      <c r="AW899">
        <v>3</v>
      </c>
      <c r="AX899" t="s">
        <v>74</v>
      </c>
      <c r="AY899" t="s">
        <v>74</v>
      </c>
      <c r="AZ899" t="s">
        <v>74</v>
      </c>
      <c r="BA899" t="s">
        <v>74</v>
      </c>
      <c r="BB899">
        <v>430</v>
      </c>
      <c r="BC899">
        <v>441</v>
      </c>
      <c r="BD899" t="s">
        <v>74</v>
      </c>
      <c r="BE899" t="s">
        <v>16490</v>
      </c>
      <c r="BF899" t="str">
        <f>HYPERLINK("http://dx.doi.org/10.1111/jbi.12008","http://dx.doi.org/10.1111/jbi.12008")</f>
        <v>http://dx.doi.org/10.1111/jbi.12008</v>
      </c>
      <c r="BG899" t="s">
        <v>74</v>
      </c>
      <c r="BH899" t="s">
        <v>74</v>
      </c>
      <c r="BI899">
        <v>12</v>
      </c>
      <c r="BJ899" t="s">
        <v>1625</v>
      </c>
      <c r="BK899" t="s">
        <v>102</v>
      </c>
      <c r="BL899" t="s">
        <v>1089</v>
      </c>
      <c r="BM899" t="s">
        <v>16491</v>
      </c>
      <c r="BN899" t="s">
        <v>74</v>
      </c>
      <c r="BO899" t="s">
        <v>74</v>
      </c>
      <c r="BP899" t="s">
        <v>74</v>
      </c>
      <c r="BQ899" t="s">
        <v>74</v>
      </c>
      <c r="BR899" t="s">
        <v>105</v>
      </c>
      <c r="BS899" t="s">
        <v>16492</v>
      </c>
      <c r="BT899" t="str">
        <f>HYPERLINK("https%3A%2F%2Fwww.webofscience.com%2Fwos%2Fwoscc%2Ffull-record%2FWOS:000314922500003","View Full Record in Web of Science")</f>
        <v>View Full Record in Web of Science</v>
      </c>
    </row>
    <row r="900" spans="1:72" x14ac:dyDescent="0.15">
      <c r="A900" t="s">
        <v>72</v>
      </c>
      <c r="B900" t="s">
        <v>16493</v>
      </c>
      <c r="C900" t="s">
        <v>74</v>
      </c>
      <c r="D900" t="s">
        <v>74</v>
      </c>
      <c r="E900" t="s">
        <v>74</v>
      </c>
      <c r="F900" t="s">
        <v>16494</v>
      </c>
      <c r="G900" t="s">
        <v>74</v>
      </c>
      <c r="H900" t="s">
        <v>74</v>
      </c>
      <c r="I900" t="s">
        <v>16495</v>
      </c>
      <c r="J900" t="s">
        <v>542</v>
      </c>
      <c r="K900" t="s">
        <v>74</v>
      </c>
      <c r="L900" t="s">
        <v>74</v>
      </c>
      <c r="M900" t="s">
        <v>78</v>
      </c>
      <c r="N900" t="s">
        <v>79</v>
      </c>
      <c r="O900" t="s">
        <v>74</v>
      </c>
      <c r="P900" t="s">
        <v>74</v>
      </c>
      <c r="Q900" t="s">
        <v>74</v>
      </c>
      <c r="R900" t="s">
        <v>74</v>
      </c>
      <c r="S900" t="s">
        <v>74</v>
      </c>
      <c r="T900" t="s">
        <v>74</v>
      </c>
      <c r="U900" t="s">
        <v>74</v>
      </c>
      <c r="V900" t="s">
        <v>16496</v>
      </c>
      <c r="W900" t="s">
        <v>16497</v>
      </c>
      <c r="X900" t="s">
        <v>1300</v>
      </c>
      <c r="Y900" t="s">
        <v>7700</v>
      </c>
      <c r="Z900" t="s">
        <v>7701</v>
      </c>
      <c r="AA900" t="s">
        <v>16498</v>
      </c>
      <c r="AB900" t="s">
        <v>16499</v>
      </c>
      <c r="AC900" t="s">
        <v>16500</v>
      </c>
      <c r="AD900" t="s">
        <v>1304</v>
      </c>
      <c r="AE900" t="s">
        <v>74</v>
      </c>
      <c r="AF900" t="s">
        <v>74</v>
      </c>
      <c r="AG900">
        <v>13</v>
      </c>
      <c r="AH900">
        <v>246</v>
      </c>
      <c r="AI900">
        <v>263</v>
      </c>
      <c r="AJ900">
        <v>1</v>
      </c>
      <c r="AK900">
        <v>70</v>
      </c>
      <c r="AL900" t="s">
        <v>237</v>
      </c>
      <c r="AM900" t="s">
        <v>238</v>
      </c>
      <c r="AN900" t="s">
        <v>239</v>
      </c>
      <c r="AO900" t="s">
        <v>555</v>
      </c>
      <c r="AP900" t="s">
        <v>575</v>
      </c>
      <c r="AQ900" t="s">
        <v>74</v>
      </c>
      <c r="AR900" t="s">
        <v>556</v>
      </c>
      <c r="AS900" t="s">
        <v>557</v>
      </c>
      <c r="AT900" t="s">
        <v>14886</v>
      </c>
      <c r="AU900">
        <v>2013</v>
      </c>
      <c r="AV900">
        <v>26</v>
      </c>
      <c r="AW900">
        <v>5</v>
      </c>
      <c r="AX900" t="s">
        <v>74</v>
      </c>
      <c r="AY900" t="s">
        <v>74</v>
      </c>
      <c r="AZ900" t="s">
        <v>74</v>
      </c>
      <c r="BA900" t="s">
        <v>74</v>
      </c>
      <c r="BB900">
        <v>1473</v>
      </c>
      <c r="BC900">
        <v>1484</v>
      </c>
      <c r="BD900" t="s">
        <v>74</v>
      </c>
      <c r="BE900" t="s">
        <v>16501</v>
      </c>
      <c r="BF900" t="str">
        <f>HYPERLINK("http://dx.doi.org/10.1175/JCLI-D-12-00068.1","http://dx.doi.org/10.1175/JCLI-D-12-00068.1")</f>
        <v>http://dx.doi.org/10.1175/JCLI-D-12-00068.1</v>
      </c>
      <c r="BG900" t="s">
        <v>74</v>
      </c>
      <c r="BH900" t="s">
        <v>74</v>
      </c>
      <c r="BI900">
        <v>12</v>
      </c>
      <c r="BJ900" t="s">
        <v>305</v>
      </c>
      <c r="BK900" t="s">
        <v>102</v>
      </c>
      <c r="BL900" t="s">
        <v>305</v>
      </c>
      <c r="BM900" t="s">
        <v>16502</v>
      </c>
      <c r="BN900" t="s">
        <v>74</v>
      </c>
      <c r="BO900" t="s">
        <v>1523</v>
      </c>
      <c r="BP900" t="s">
        <v>74</v>
      </c>
      <c r="BQ900" t="s">
        <v>74</v>
      </c>
      <c r="BR900" t="s">
        <v>105</v>
      </c>
      <c r="BS900" t="s">
        <v>16503</v>
      </c>
      <c r="BT900" t="str">
        <f>HYPERLINK("https%3A%2F%2Fwww.webofscience.com%2Fwos%2Fwoscc%2Ffull-record%2FWOS:000315571800001","View Full Record in Web of Science")</f>
        <v>View Full Record in Web of Science</v>
      </c>
    </row>
    <row r="901" spans="1:72" x14ac:dyDescent="0.15">
      <c r="A901" t="s">
        <v>72</v>
      </c>
      <c r="B901" t="s">
        <v>16504</v>
      </c>
      <c r="C901" t="s">
        <v>74</v>
      </c>
      <c r="D901" t="s">
        <v>74</v>
      </c>
      <c r="E901" t="s">
        <v>74</v>
      </c>
      <c r="F901" t="s">
        <v>16505</v>
      </c>
      <c r="G901" t="s">
        <v>74</v>
      </c>
      <c r="H901" t="s">
        <v>74</v>
      </c>
      <c r="I901" t="s">
        <v>16506</v>
      </c>
      <c r="J901" t="s">
        <v>542</v>
      </c>
      <c r="K901" t="s">
        <v>74</v>
      </c>
      <c r="L901" t="s">
        <v>74</v>
      </c>
      <c r="M901" t="s">
        <v>78</v>
      </c>
      <c r="N901" t="s">
        <v>79</v>
      </c>
      <c r="O901" t="s">
        <v>74</v>
      </c>
      <c r="P901" t="s">
        <v>74</v>
      </c>
      <c r="Q901" t="s">
        <v>74</v>
      </c>
      <c r="R901" t="s">
        <v>74</v>
      </c>
      <c r="S901" t="s">
        <v>74</v>
      </c>
      <c r="T901" t="s">
        <v>74</v>
      </c>
      <c r="U901" t="s">
        <v>16507</v>
      </c>
      <c r="V901" t="s">
        <v>16508</v>
      </c>
      <c r="W901" t="s">
        <v>16509</v>
      </c>
      <c r="X901" t="s">
        <v>16510</v>
      </c>
      <c r="Y901" t="s">
        <v>14526</v>
      </c>
      <c r="Z901" t="s">
        <v>14527</v>
      </c>
      <c r="AA901" t="s">
        <v>16511</v>
      </c>
      <c r="AB901" t="s">
        <v>16512</v>
      </c>
      <c r="AC901" t="s">
        <v>16513</v>
      </c>
      <c r="AD901" t="s">
        <v>16514</v>
      </c>
      <c r="AE901" t="s">
        <v>16515</v>
      </c>
      <c r="AF901" t="s">
        <v>74</v>
      </c>
      <c r="AG901">
        <v>60</v>
      </c>
      <c r="AH901">
        <v>64</v>
      </c>
      <c r="AI901">
        <v>71</v>
      </c>
      <c r="AJ901">
        <v>0</v>
      </c>
      <c r="AK901">
        <v>59</v>
      </c>
      <c r="AL901" t="s">
        <v>237</v>
      </c>
      <c r="AM901" t="s">
        <v>238</v>
      </c>
      <c r="AN901" t="s">
        <v>239</v>
      </c>
      <c r="AO901" t="s">
        <v>555</v>
      </c>
      <c r="AP901" t="s">
        <v>575</v>
      </c>
      <c r="AQ901" t="s">
        <v>74</v>
      </c>
      <c r="AR901" t="s">
        <v>556</v>
      </c>
      <c r="AS901" t="s">
        <v>557</v>
      </c>
      <c r="AT901" t="s">
        <v>14886</v>
      </c>
      <c r="AU901">
        <v>2013</v>
      </c>
      <c r="AV901">
        <v>26</v>
      </c>
      <c r="AW901">
        <v>5</v>
      </c>
      <c r="AX901" t="s">
        <v>74</v>
      </c>
      <c r="AY901" t="s">
        <v>74</v>
      </c>
      <c r="AZ901" t="s">
        <v>74</v>
      </c>
      <c r="BA901" t="s">
        <v>74</v>
      </c>
      <c r="BB901">
        <v>1669</v>
      </c>
      <c r="BC901">
        <v>1684</v>
      </c>
      <c r="BD901" t="s">
        <v>74</v>
      </c>
      <c r="BE901" t="s">
        <v>16516</v>
      </c>
      <c r="BF901" t="str">
        <f>HYPERLINK("http://dx.doi.org/10.1175/JCLI-D-12-00246.1","http://dx.doi.org/10.1175/JCLI-D-12-00246.1")</f>
        <v>http://dx.doi.org/10.1175/JCLI-D-12-00246.1</v>
      </c>
      <c r="BG901" t="s">
        <v>74</v>
      </c>
      <c r="BH901" t="s">
        <v>74</v>
      </c>
      <c r="BI901">
        <v>16</v>
      </c>
      <c r="BJ901" t="s">
        <v>305</v>
      </c>
      <c r="BK901" t="s">
        <v>102</v>
      </c>
      <c r="BL901" t="s">
        <v>305</v>
      </c>
      <c r="BM901" t="s">
        <v>16502</v>
      </c>
      <c r="BN901" t="s">
        <v>74</v>
      </c>
      <c r="BO901" t="s">
        <v>16517</v>
      </c>
      <c r="BP901" t="s">
        <v>74</v>
      </c>
      <c r="BQ901" t="s">
        <v>74</v>
      </c>
      <c r="BR901" t="s">
        <v>105</v>
      </c>
      <c r="BS901" t="s">
        <v>16518</v>
      </c>
      <c r="BT901" t="str">
        <f>HYPERLINK("https%3A%2F%2Fwww.webofscience.com%2Fwos%2Fwoscc%2Ffull-record%2FWOS:000315571800014","View Full Record in Web of Science")</f>
        <v>View Full Record in Web of Science</v>
      </c>
    </row>
    <row r="902" spans="1:72" x14ac:dyDescent="0.15">
      <c r="A902" t="s">
        <v>72</v>
      </c>
      <c r="B902" t="s">
        <v>16519</v>
      </c>
      <c r="C902" t="s">
        <v>74</v>
      </c>
      <c r="D902" t="s">
        <v>74</v>
      </c>
      <c r="E902" t="s">
        <v>74</v>
      </c>
      <c r="F902" t="s">
        <v>16520</v>
      </c>
      <c r="G902" t="s">
        <v>74</v>
      </c>
      <c r="H902" t="s">
        <v>74</v>
      </c>
      <c r="I902" t="s">
        <v>16521</v>
      </c>
      <c r="J902" t="s">
        <v>542</v>
      </c>
      <c r="K902" t="s">
        <v>74</v>
      </c>
      <c r="L902" t="s">
        <v>74</v>
      </c>
      <c r="M902" t="s">
        <v>78</v>
      </c>
      <c r="N902" t="s">
        <v>79</v>
      </c>
      <c r="O902" t="s">
        <v>74</v>
      </c>
      <c r="P902" t="s">
        <v>74</v>
      </c>
      <c r="Q902" t="s">
        <v>74</v>
      </c>
      <c r="R902" t="s">
        <v>74</v>
      </c>
      <c r="S902" t="s">
        <v>74</v>
      </c>
      <c r="T902" t="s">
        <v>74</v>
      </c>
      <c r="U902" t="s">
        <v>16522</v>
      </c>
      <c r="V902" t="s">
        <v>16523</v>
      </c>
      <c r="W902" t="s">
        <v>16524</v>
      </c>
      <c r="X902" t="s">
        <v>16525</v>
      </c>
      <c r="Y902" t="s">
        <v>16526</v>
      </c>
      <c r="Z902" t="s">
        <v>16527</v>
      </c>
      <c r="AA902" t="s">
        <v>16528</v>
      </c>
      <c r="AB902" t="s">
        <v>16529</v>
      </c>
      <c r="AC902" t="s">
        <v>16530</v>
      </c>
      <c r="AD902" t="s">
        <v>16531</v>
      </c>
      <c r="AE902" t="s">
        <v>16532</v>
      </c>
      <c r="AF902" t="s">
        <v>74</v>
      </c>
      <c r="AG902">
        <v>68</v>
      </c>
      <c r="AH902">
        <v>139</v>
      </c>
      <c r="AI902">
        <v>152</v>
      </c>
      <c r="AJ902">
        <v>4</v>
      </c>
      <c r="AK902">
        <v>80</v>
      </c>
      <c r="AL902" t="s">
        <v>237</v>
      </c>
      <c r="AM902" t="s">
        <v>238</v>
      </c>
      <c r="AN902" t="s">
        <v>239</v>
      </c>
      <c r="AO902" t="s">
        <v>555</v>
      </c>
      <c r="AP902" t="s">
        <v>575</v>
      </c>
      <c r="AQ902" t="s">
        <v>74</v>
      </c>
      <c r="AR902" t="s">
        <v>556</v>
      </c>
      <c r="AS902" t="s">
        <v>557</v>
      </c>
      <c r="AT902" t="s">
        <v>14886</v>
      </c>
      <c r="AU902">
        <v>2013</v>
      </c>
      <c r="AV902">
        <v>26</v>
      </c>
      <c r="AW902">
        <v>6</v>
      </c>
      <c r="AX902" t="s">
        <v>74</v>
      </c>
      <c r="AY902" t="s">
        <v>74</v>
      </c>
      <c r="AZ902" t="s">
        <v>74</v>
      </c>
      <c r="BA902" t="s">
        <v>74</v>
      </c>
      <c r="BB902">
        <v>1901</v>
      </c>
      <c r="BC902">
        <v>1925</v>
      </c>
      <c r="BD902" t="s">
        <v>74</v>
      </c>
      <c r="BE902" t="s">
        <v>16533</v>
      </c>
      <c r="BF902" t="str">
        <f>HYPERLINK("http://dx.doi.org/10.1175/JCLI-D-11-00416.1","http://dx.doi.org/10.1175/JCLI-D-11-00416.1")</f>
        <v>http://dx.doi.org/10.1175/JCLI-D-11-00416.1</v>
      </c>
      <c r="BG902" t="s">
        <v>74</v>
      </c>
      <c r="BH902" t="s">
        <v>74</v>
      </c>
      <c r="BI902">
        <v>25</v>
      </c>
      <c r="BJ902" t="s">
        <v>305</v>
      </c>
      <c r="BK902" t="s">
        <v>102</v>
      </c>
      <c r="BL902" t="s">
        <v>305</v>
      </c>
      <c r="BM902" t="s">
        <v>15349</v>
      </c>
      <c r="BN902" t="s">
        <v>74</v>
      </c>
      <c r="BO902" t="s">
        <v>1014</v>
      </c>
      <c r="BP902" t="s">
        <v>74</v>
      </c>
      <c r="BQ902" t="s">
        <v>74</v>
      </c>
      <c r="BR902" t="s">
        <v>105</v>
      </c>
      <c r="BS902" t="s">
        <v>16534</v>
      </c>
      <c r="BT902" t="str">
        <f>HYPERLINK("https%3A%2F%2Fwww.webofscience.com%2Fwos%2Fwoscc%2Ffull-record%2FWOS:000316620500004","View Full Record in Web of Science")</f>
        <v>View Full Record in Web of Science</v>
      </c>
    </row>
    <row r="903" spans="1:72" x14ac:dyDescent="0.15">
      <c r="A903" t="s">
        <v>72</v>
      </c>
      <c r="B903" t="s">
        <v>16535</v>
      </c>
      <c r="C903" t="s">
        <v>74</v>
      </c>
      <c r="D903" t="s">
        <v>74</v>
      </c>
      <c r="E903" t="s">
        <v>74</v>
      </c>
      <c r="F903" t="s">
        <v>16536</v>
      </c>
      <c r="G903" t="s">
        <v>74</v>
      </c>
      <c r="H903" t="s">
        <v>74</v>
      </c>
      <c r="I903" t="s">
        <v>16537</v>
      </c>
      <c r="J903" t="s">
        <v>16538</v>
      </c>
      <c r="K903" t="s">
        <v>74</v>
      </c>
      <c r="L903" t="s">
        <v>74</v>
      </c>
      <c r="M903" t="s">
        <v>78</v>
      </c>
      <c r="N903" t="s">
        <v>79</v>
      </c>
      <c r="O903" t="s">
        <v>74</v>
      </c>
      <c r="P903" t="s">
        <v>74</v>
      </c>
      <c r="Q903" t="s">
        <v>74</v>
      </c>
      <c r="R903" t="s">
        <v>74</v>
      </c>
      <c r="S903" t="s">
        <v>74</v>
      </c>
      <c r="T903" t="s">
        <v>16539</v>
      </c>
      <c r="U903" t="s">
        <v>16540</v>
      </c>
      <c r="V903" t="s">
        <v>16541</v>
      </c>
      <c r="W903" t="s">
        <v>16542</v>
      </c>
      <c r="X903" t="s">
        <v>16543</v>
      </c>
      <c r="Y903" t="s">
        <v>16544</v>
      </c>
      <c r="Z903" t="s">
        <v>16545</v>
      </c>
      <c r="AA903" t="s">
        <v>16546</v>
      </c>
      <c r="AB903" t="s">
        <v>16547</v>
      </c>
      <c r="AC903" t="s">
        <v>16548</v>
      </c>
      <c r="AD903" t="s">
        <v>16549</v>
      </c>
      <c r="AE903" t="s">
        <v>16550</v>
      </c>
      <c r="AF903" t="s">
        <v>74</v>
      </c>
      <c r="AG903">
        <v>59</v>
      </c>
      <c r="AH903">
        <v>24</v>
      </c>
      <c r="AI903">
        <v>26</v>
      </c>
      <c r="AJ903">
        <v>0</v>
      </c>
      <c r="AK903">
        <v>77</v>
      </c>
      <c r="AL903" t="s">
        <v>2961</v>
      </c>
      <c r="AM903" t="s">
        <v>369</v>
      </c>
      <c r="AN903" t="s">
        <v>370</v>
      </c>
      <c r="AO903" t="s">
        <v>16551</v>
      </c>
      <c r="AP903" t="s">
        <v>74</v>
      </c>
      <c r="AQ903" t="s">
        <v>74</v>
      </c>
      <c r="AR903" t="s">
        <v>16552</v>
      </c>
      <c r="AS903" t="s">
        <v>16553</v>
      </c>
      <c r="AT903" t="s">
        <v>14886</v>
      </c>
      <c r="AU903">
        <v>2013</v>
      </c>
      <c r="AV903">
        <v>26</v>
      </c>
      <c r="AW903">
        <v>3</v>
      </c>
      <c r="AX903" t="s">
        <v>74</v>
      </c>
      <c r="AY903" t="s">
        <v>74</v>
      </c>
      <c r="AZ903" t="s">
        <v>74</v>
      </c>
      <c r="BA903" t="s">
        <v>74</v>
      </c>
      <c r="BB903">
        <v>612</v>
      </c>
      <c r="BC903">
        <v>624</v>
      </c>
      <c r="BD903" t="s">
        <v>74</v>
      </c>
      <c r="BE903" t="s">
        <v>16554</v>
      </c>
      <c r="BF903" t="str">
        <f>HYPERLINK("http://dx.doi.org/10.1111/jeb.12079","http://dx.doi.org/10.1111/jeb.12079")</f>
        <v>http://dx.doi.org/10.1111/jeb.12079</v>
      </c>
      <c r="BG903" t="s">
        <v>74</v>
      </c>
      <c r="BH903" t="s">
        <v>74</v>
      </c>
      <c r="BI903">
        <v>13</v>
      </c>
      <c r="BJ903" t="s">
        <v>16555</v>
      </c>
      <c r="BK903" t="s">
        <v>102</v>
      </c>
      <c r="BL903" t="s">
        <v>16556</v>
      </c>
      <c r="BM903" t="s">
        <v>16557</v>
      </c>
      <c r="BN903">
        <v>23331296</v>
      </c>
      <c r="BO903" t="s">
        <v>104</v>
      </c>
      <c r="BP903" t="s">
        <v>74</v>
      </c>
      <c r="BQ903" t="s">
        <v>74</v>
      </c>
      <c r="BR903" t="s">
        <v>105</v>
      </c>
      <c r="BS903" t="s">
        <v>16558</v>
      </c>
      <c r="BT903" t="str">
        <f>HYPERLINK("https%3A%2F%2Fwww.webofscience.com%2Fwos%2Fwoscc%2Ffull-record%2FWOS:000314988900014","View Full Record in Web of Science")</f>
        <v>View Full Record in Web of Science</v>
      </c>
    </row>
    <row r="904" spans="1:72" x14ac:dyDescent="0.15">
      <c r="A904" t="s">
        <v>72</v>
      </c>
      <c r="B904" t="s">
        <v>16559</v>
      </c>
      <c r="C904" t="s">
        <v>74</v>
      </c>
      <c r="D904" t="s">
        <v>74</v>
      </c>
      <c r="E904" t="s">
        <v>74</v>
      </c>
      <c r="F904" t="s">
        <v>16560</v>
      </c>
      <c r="G904" t="s">
        <v>74</v>
      </c>
      <c r="H904" t="s">
        <v>74</v>
      </c>
      <c r="I904" t="s">
        <v>16561</v>
      </c>
      <c r="J904" t="s">
        <v>16562</v>
      </c>
      <c r="K904" t="s">
        <v>74</v>
      </c>
      <c r="L904" t="s">
        <v>74</v>
      </c>
      <c r="M904" t="s">
        <v>78</v>
      </c>
      <c r="N904" t="s">
        <v>79</v>
      </c>
      <c r="O904" t="s">
        <v>74</v>
      </c>
      <c r="P904" t="s">
        <v>74</v>
      </c>
      <c r="Q904" t="s">
        <v>74</v>
      </c>
      <c r="R904" t="s">
        <v>74</v>
      </c>
      <c r="S904" t="s">
        <v>74</v>
      </c>
      <c r="T904" t="s">
        <v>74</v>
      </c>
      <c r="U904" t="s">
        <v>16563</v>
      </c>
      <c r="V904" t="s">
        <v>16564</v>
      </c>
      <c r="W904" t="s">
        <v>16565</v>
      </c>
      <c r="X904" t="s">
        <v>16566</v>
      </c>
      <c r="Y904" t="s">
        <v>16567</v>
      </c>
      <c r="Z904" t="s">
        <v>16568</v>
      </c>
      <c r="AA904" t="s">
        <v>16569</v>
      </c>
      <c r="AB904" t="s">
        <v>16570</v>
      </c>
      <c r="AC904" t="s">
        <v>16571</v>
      </c>
      <c r="AD904" t="s">
        <v>10528</v>
      </c>
      <c r="AE904" t="s">
        <v>16572</v>
      </c>
      <c r="AF904" t="s">
        <v>74</v>
      </c>
      <c r="AG904">
        <v>81</v>
      </c>
      <c r="AH904">
        <v>16</v>
      </c>
      <c r="AI904">
        <v>19</v>
      </c>
      <c r="AJ904">
        <v>1</v>
      </c>
      <c r="AK904">
        <v>39</v>
      </c>
      <c r="AL904" t="s">
        <v>92</v>
      </c>
      <c r="AM904" t="s">
        <v>93</v>
      </c>
      <c r="AN904" t="s">
        <v>94</v>
      </c>
      <c r="AO904" t="s">
        <v>16573</v>
      </c>
      <c r="AP904" t="s">
        <v>16574</v>
      </c>
      <c r="AQ904" t="s">
        <v>74</v>
      </c>
      <c r="AR904" t="s">
        <v>16575</v>
      </c>
      <c r="AS904" t="s">
        <v>16576</v>
      </c>
      <c r="AT904" t="s">
        <v>14886</v>
      </c>
      <c r="AU904">
        <v>2013</v>
      </c>
      <c r="AV904">
        <v>118</v>
      </c>
      <c r="AW904">
        <v>1</v>
      </c>
      <c r="AX904" t="s">
        <v>74</v>
      </c>
      <c r="AY904" t="s">
        <v>74</v>
      </c>
      <c r="AZ904" t="s">
        <v>74</v>
      </c>
      <c r="BA904" t="s">
        <v>74</v>
      </c>
      <c r="BB904">
        <v>184</v>
      </c>
      <c r="BC904">
        <v>194</v>
      </c>
      <c r="BD904" t="s">
        <v>74</v>
      </c>
      <c r="BE904" t="s">
        <v>16577</v>
      </c>
      <c r="BF904" t="str">
        <f>HYPERLINK("http://dx.doi.org/10.1002/jgrg.20021","http://dx.doi.org/10.1002/jgrg.20021")</f>
        <v>http://dx.doi.org/10.1002/jgrg.20021</v>
      </c>
      <c r="BG904" t="s">
        <v>74</v>
      </c>
      <c r="BH904" t="s">
        <v>74</v>
      </c>
      <c r="BI904">
        <v>11</v>
      </c>
      <c r="BJ904" t="s">
        <v>14755</v>
      </c>
      <c r="BK904" t="s">
        <v>102</v>
      </c>
      <c r="BL904" t="s">
        <v>6088</v>
      </c>
      <c r="BM904" t="s">
        <v>16578</v>
      </c>
      <c r="BN904" t="s">
        <v>74</v>
      </c>
      <c r="BO904" t="s">
        <v>1063</v>
      </c>
      <c r="BP904" t="s">
        <v>74</v>
      </c>
      <c r="BQ904" t="s">
        <v>74</v>
      </c>
      <c r="BR904" t="s">
        <v>105</v>
      </c>
      <c r="BS904" t="s">
        <v>16579</v>
      </c>
      <c r="BT904" t="str">
        <f>HYPERLINK("https%3A%2F%2Fwww.webofscience.com%2Fwos%2Fwoscc%2Ffull-record%2FWOS:000317844700015","View Full Record in Web of Science")</f>
        <v>View Full Record in Web of Science</v>
      </c>
    </row>
    <row r="905" spans="1:72" x14ac:dyDescent="0.15">
      <c r="A905" t="s">
        <v>72</v>
      </c>
      <c r="B905" t="s">
        <v>16580</v>
      </c>
      <c r="C905" t="s">
        <v>74</v>
      </c>
      <c r="D905" t="s">
        <v>74</v>
      </c>
      <c r="E905" t="s">
        <v>74</v>
      </c>
      <c r="F905" t="s">
        <v>16581</v>
      </c>
      <c r="G905" t="s">
        <v>74</v>
      </c>
      <c r="H905" t="s">
        <v>74</v>
      </c>
      <c r="I905" t="s">
        <v>16582</v>
      </c>
      <c r="J905" t="s">
        <v>5688</v>
      </c>
      <c r="K905" t="s">
        <v>74</v>
      </c>
      <c r="L905" t="s">
        <v>74</v>
      </c>
      <c r="M905" t="s">
        <v>78</v>
      </c>
      <c r="N905" t="s">
        <v>79</v>
      </c>
      <c r="O905" t="s">
        <v>74</v>
      </c>
      <c r="P905" t="s">
        <v>74</v>
      </c>
      <c r="Q905" t="s">
        <v>74</v>
      </c>
      <c r="R905" t="s">
        <v>74</v>
      </c>
      <c r="S905" t="s">
        <v>74</v>
      </c>
      <c r="T905" t="s">
        <v>74</v>
      </c>
      <c r="U905" t="s">
        <v>16583</v>
      </c>
      <c r="V905" t="s">
        <v>16584</v>
      </c>
      <c r="W905" t="s">
        <v>16585</v>
      </c>
      <c r="X905" t="s">
        <v>16586</v>
      </c>
      <c r="Y905" t="s">
        <v>16587</v>
      </c>
      <c r="Z905" t="s">
        <v>16588</v>
      </c>
      <c r="AA905" t="s">
        <v>16589</v>
      </c>
      <c r="AB905" t="s">
        <v>16590</v>
      </c>
      <c r="AC905" t="s">
        <v>16591</v>
      </c>
      <c r="AD905" t="s">
        <v>16592</v>
      </c>
      <c r="AE905" t="s">
        <v>16593</v>
      </c>
      <c r="AF905" t="s">
        <v>74</v>
      </c>
      <c r="AG905">
        <v>78</v>
      </c>
      <c r="AH905">
        <v>110</v>
      </c>
      <c r="AI905">
        <v>125</v>
      </c>
      <c r="AJ905">
        <v>2</v>
      </c>
      <c r="AK905">
        <v>67</v>
      </c>
      <c r="AL905" t="s">
        <v>92</v>
      </c>
      <c r="AM905" t="s">
        <v>93</v>
      </c>
      <c r="AN905" t="s">
        <v>94</v>
      </c>
      <c r="AO905" t="s">
        <v>5699</v>
      </c>
      <c r="AP905" t="s">
        <v>5700</v>
      </c>
      <c r="AQ905" t="s">
        <v>74</v>
      </c>
      <c r="AR905" t="s">
        <v>5701</v>
      </c>
      <c r="AS905" t="s">
        <v>5702</v>
      </c>
      <c r="AT905" t="s">
        <v>14886</v>
      </c>
      <c r="AU905">
        <v>2013</v>
      </c>
      <c r="AV905">
        <v>118</v>
      </c>
      <c r="AW905">
        <v>1</v>
      </c>
      <c r="AX905" t="s">
        <v>74</v>
      </c>
      <c r="AY905" t="s">
        <v>74</v>
      </c>
      <c r="AZ905" t="s">
        <v>74</v>
      </c>
      <c r="BA905" t="s">
        <v>74</v>
      </c>
      <c r="BB905">
        <v>315</v>
      </c>
      <c r="BC905">
        <v>330</v>
      </c>
      <c r="BD905" t="s">
        <v>74</v>
      </c>
      <c r="BE905" t="s">
        <v>16594</v>
      </c>
      <c r="BF905" t="str">
        <f>HYPERLINK("http://dx.doi.org/10.1029/2012JF002559","http://dx.doi.org/10.1029/2012JF002559")</f>
        <v>http://dx.doi.org/10.1029/2012JF002559</v>
      </c>
      <c r="BG905" t="s">
        <v>74</v>
      </c>
      <c r="BH905" t="s">
        <v>74</v>
      </c>
      <c r="BI905">
        <v>16</v>
      </c>
      <c r="BJ905" t="s">
        <v>1426</v>
      </c>
      <c r="BK905" t="s">
        <v>102</v>
      </c>
      <c r="BL905" t="s">
        <v>219</v>
      </c>
      <c r="BM905" t="s">
        <v>15160</v>
      </c>
      <c r="BN905" t="s">
        <v>74</v>
      </c>
      <c r="BO905" t="s">
        <v>4257</v>
      </c>
      <c r="BP905" t="s">
        <v>74</v>
      </c>
      <c r="BQ905" t="s">
        <v>74</v>
      </c>
      <c r="BR905" t="s">
        <v>105</v>
      </c>
      <c r="BS905" t="s">
        <v>16595</v>
      </c>
      <c r="BT905" t="str">
        <f>HYPERLINK("https%3A%2F%2Fwww.webofscience.com%2Fwos%2Fwoscc%2Ffull-record%2FWOS:000318271200023","View Full Record in Web of Science")</f>
        <v>View Full Record in Web of Science</v>
      </c>
    </row>
    <row r="906" spans="1:72" x14ac:dyDescent="0.15">
      <c r="A906" t="s">
        <v>72</v>
      </c>
      <c r="B906" t="s">
        <v>16596</v>
      </c>
      <c r="C906" t="s">
        <v>74</v>
      </c>
      <c r="D906" t="s">
        <v>74</v>
      </c>
      <c r="E906" t="s">
        <v>74</v>
      </c>
      <c r="F906" t="s">
        <v>16597</v>
      </c>
      <c r="G906" t="s">
        <v>74</v>
      </c>
      <c r="H906" t="s">
        <v>74</v>
      </c>
      <c r="I906" t="s">
        <v>16598</v>
      </c>
      <c r="J906" t="s">
        <v>1710</v>
      </c>
      <c r="K906" t="s">
        <v>74</v>
      </c>
      <c r="L906" t="s">
        <v>74</v>
      </c>
      <c r="M906" t="s">
        <v>78</v>
      </c>
      <c r="N906" t="s">
        <v>79</v>
      </c>
      <c r="O906" t="s">
        <v>74</v>
      </c>
      <c r="P906" t="s">
        <v>74</v>
      </c>
      <c r="Q906" t="s">
        <v>74</v>
      </c>
      <c r="R906" t="s">
        <v>74</v>
      </c>
      <c r="S906" t="s">
        <v>74</v>
      </c>
      <c r="T906" t="s">
        <v>74</v>
      </c>
      <c r="U906" t="s">
        <v>16599</v>
      </c>
      <c r="V906" t="s">
        <v>16600</v>
      </c>
      <c r="W906" t="s">
        <v>16601</v>
      </c>
      <c r="X906" t="s">
        <v>16602</v>
      </c>
      <c r="Y906" t="s">
        <v>16603</v>
      </c>
      <c r="Z906" t="s">
        <v>16604</v>
      </c>
      <c r="AA906" t="s">
        <v>16605</v>
      </c>
      <c r="AB906" t="s">
        <v>16606</v>
      </c>
      <c r="AC906" t="s">
        <v>16607</v>
      </c>
      <c r="AD906" t="s">
        <v>16608</v>
      </c>
      <c r="AE906" t="s">
        <v>16609</v>
      </c>
      <c r="AF906" t="s">
        <v>74</v>
      </c>
      <c r="AG906">
        <v>49</v>
      </c>
      <c r="AH906">
        <v>8</v>
      </c>
      <c r="AI906">
        <v>9</v>
      </c>
      <c r="AJ906">
        <v>0</v>
      </c>
      <c r="AK906">
        <v>7</v>
      </c>
      <c r="AL906" t="s">
        <v>92</v>
      </c>
      <c r="AM906" t="s">
        <v>93</v>
      </c>
      <c r="AN906" t="s">
        <v>94</v>
      </c>
      <c r="AO906" t="s">
        <v>1723</v>
      </c>
      <c r="AP906" t="s">
        <v>74</v>
      </c>
      <c r="AQ906" t="s">
        <v>74</v>
      </c>
      <c r="AR906" t="s">
        <v>1725</v>
      </c>
      <c r="AS906" t="s">
        <v>1726</v>
      </c>
      <c r="AT906" t="s">
        <v>14886</v>
      </c>
      <c r="AU906">
        <v>2013</v>
      </c>
      <c r="AV906">
        <v>118</v>
      </c>
      <c r="AW906">
        <v>3</v>
      </c>
      <c r="AX906" t="s">
        <v>74</v>
      </c>
      <c r="AY906" t="s">
        <v>74</v>
      </c>
      <c r="AZ906" t="s">
        <v>74</v>
      </c>
      <c r="BA906" t="s">
        <v>74</v>
      </c>
      <c r="BB906">
        <v>1333</v>
      </c>
      <c r="BC906">
        <v>1348</v>
      </c>
      <c r="BD906" t="s">
        <v>74</v>
      </c>
      <c r="BE906" t="s">
        <v>16610</v>
      </c>
      <c r="BF906" t="str">
        <f>HYPERLINK("http://dx.doi.org/10.1002/jgrc.20067","http://dx.doi.org/10.1002/jgrc.20067")</f>
        <v>http://dx.doi.org/10.1002/jgrc.20067</v>
      </c>
      <c r="BG906" t="s">
        <v>74</v>
      </c>
      <c r="BH906" t="s">
        <v>74</v>
      </c>
      <c r="BI906">
        <v>16</v>
      </c>
      <c r="BJ906" t="s">
        <v>327</v>
      </c>
      <c r="BK906" t="s">
        <v>102</v>
      </c>
      <c r="BL906" t="s">
        <v>327</v>
      </c>
      <c r="BM906" t="s">
        <v>14988</v>
      </c>
      <c r="BN906" t="s">
        <v>74</v>
      </c>
      <c r="BO906" t="s">
        <v>104</v>
      </c>
      <c r="BP906" t="s">
        <v>74</v>
      </c>
      <c r="BQ906" t="s">
        <v>74</v>
      </c>
      <c r="BR906" t="s">
        <v>105</v>
      </c>
      <c r="BS906" t="s">
        <v>16611</v>
      </c>
      <c r="BT906" t="str">
        <f>HYPERLINK("https%3A%2F%2Fwww.webofscience.com%2Fwos%2Fwoscc%2Ffull-record%2FWOS:000320323200020","View Full Record in Web of Science")</f>
        <v>View Full Record in Web of Science</v>
      </c>
    </row>
    <row r="907" spans="1:72" x14ac:dyDescent="0.15">
      <c r="A907" t="s">
        <v>72</v>
      </c>
      <c r="B907" t="s">
        <v>16612</v>
      </c>
      <c r="C907" t="s">
        <v>74</v>
      </c>
      <c r="D907" t="s">
        <v>74</v>
      </c>
      <c r="E907" t="s">
        <v>74</v>
      </c>
      <c r="F907" t="s">
        <v>16613</v>
      </c>
      <c r="G907" t="s">
        <v>74</v>
      </c>
      <c r="H907" t="s">
        <v>74</v>
      </c>
      <c r="I907" t="s">
        <v>16614</v>
      </c>
      <c r="J907" t="s">
        <v>1710</v>
      </c>
      <c r="K907" t="s">
        <v>74</v>
      </c>
      <c r="L907" t="s">
        <v>74</v>
      </c>
      <c r="M907" t="s">
        <v>78</v>
      </c>
      <c r="N907" t="s">
        <v>79</v>
      </c>
      <c r="O907" t="s">
        <v>74</v>
      </c>
      <c r="P907" t="s">
        <v>74</v>
      </c>
      <c r="Q907" t="s">
        <v>74</v>
      </c>
      <c r="R907" t="s">
        <v>74</v>
      </c>
      <c r="S907" t="s">
        <v>74</v>
      </c>
      <c r="T907" t="s">
        <v>74</v>
      </c>
      <c r="U907" t="s">
        <v>16615</v>
      </c>
      <c r="V907" t="s">
        <v>16616</v>
      </c>
      <c r="W907" t="s">
        <v>16617</v>
      </c>
      <c r="X907" t="s">
        <v>16618</v>
      </c>
      <c r="Y907" t="s">
        <v>16619</v>
      </c>
      <c r="Z907" t="s">
        <v>16620</v>
      </c>
      <c r="AA907" t="s">
        <v>16621</v>
      </c>
      <c r="AB907" t="s">
        <v>16622</v>
      </c>
      <c r="AC907" t="s">
        <v>16623</v>
      </c>
      <c r="AD907" t="s">
        <v>16624</v>
      </c>
      <c r="AE907" t="s">
        <v>16625</v>
      </c>
      <c r="AF907" t="s">
        <v>74</v>
      </c>
      <c r="AG907">
        <v>62</v>
      </c>
      <c r="AH907">
        <v>91</v>
      </c>
      <c r="AI907">
        <v>103</v>
      </c>
      <c r="AJ907">
        <v>1</v>
      </c>
      <c r="AK907">
        <v>31</v>
      </c>
      <c r="AL907" t="s">
        <v>92</v>
      </c>
      <c r="AM907" t="s">
        <v>93</v>
      </c>
      <c r="AN907" t="s">
        <v>94</v>
      </c>
      <c r="AO907" t="s">
        <v>1723</v>
      </c>
      <c r="AP907" t="s">
        <v>1724</v>
      </c>
      <c r="AQ907" t="s">
        <v>74</v>
      </c>
      <c r="AR907" t="s">
        <v>1725</v>
      </c>
      <c r="AS907" t="s">
        <v>1726</v>
      </c>
      <c r="AT907" t="s">
        <v>14886</v>
      </c>
      <c r="AU907">
        <v>2013</v>
      </c>
      <c r="AV907">
        <v>118</v>
      </c>
      <c r="AW907">
        <v>3</v>
      </c>
      <c r="AX907" t="s">
        <v>74</v>
      </c>
      <c r="AY907" t="s">
        <v>74</v>
      </c>
      <c r="AZ907" t="s">
        <v>74</v>
      </c>
      <c r="BA907" t="s">
        <v>74</v>
      </c>
      <c r="BB907">
        <v>1587</v>
      </c>
      <c r="BC907">
        <v>1605</v>
      </c>
      <c r="BD907" t="s">
        <v>74</v>
      </c>
      <c r="BE907" t="s">
        <v>16626</v>
      </c>
      <c r="BF907" t="str">
        <f>HYPERLINK("http://dx.doi.org/10.1002/jgrc.20146","http://dx.doi.org/10.1002/jgrc.20146")</f>
        <v>http://dx.doi.org/10.1002/jgrc.20146</v>
      </c>
      <c r="BG907" t="s">
        <v>74</v>
      </c>
      <c r="BH907" t="s">
        <v>74</v>
      </c>
      <c r="BI907">
        <v>19</v>
      </c>
      <c r="BJ907" t="s">
        <v>327</v>
      </c>
      <c r="BK907" t="s">
        <v>102</v>
      </c>
      <c r="BL907" t="s">
        <v>327</v>
      </c>
      <c r="BM907" t="s">
        <v>14988</v>
      </c>
      <c r="BN907" t="s">
        <v>74</v>
      </c>
      <c r="BO907" t="s">
        <v>4257</v>
      </c>
      <c r="BP907" t="s">
        <v>74</v>
      </c>
      <c r="BQ907" t="s">
        <v>74</v>
      </c>
      <c r="BR907" t="s">
        <v>105</v>
      </c>
      <c r="BS907" t="s">
        <v>16627</v>
      </c>
      <c r="BT907" t="str">
        <f>HYPERLINK("https%3A%2F%2Fwww.webofscience.com%2Fwos%2Fwoscc%2Ffull-record%2FWOS:000320323200038","View Full Record in Web of Science")</f>
        <v>View Full Record in Web of Science</v>
      </c>
    </row>
    <row r="908" spans="1:72" x14ac:dyDescent="0.15">
      <c r="A908" t="s">
        <v>72</v>
      </c>
      <c r="B908" t="s">
        <v>16628</v>
      </c>
      <c r="C908" t="s">
        <v>74</v>
      </c>
      <c r="D908" t="s">
        <v>74</v>
      </c>
      <c r="E908" t="s">
        <v>74</v>
      </c>
      <c r="F908" t="s">
        <v>16629</v>
      </c>
      <c r="G908" t="s">
        <v>74</v>
      </c>
      <c r="H908" t="s">
        <v>74</v>
      </c>
      <c r="I908" t="s">
        <v>16630</v>
      </c>
      <c r="J908" t="s">
        <v>7880</v>
      </c>
      <c r="K908" t="s">
        <v>74</v>
      </c>
      <c r="L908" t="s">
        <v>74</v>
      </c>
      <c r="M908" t="s">
        <v>78</v>
      </c>
      <c r="N908" t="s">
        <v>79</v>
      </c>
      <c r="O908" t="s">
        <v>74</v>
      </c>
      <c r="P908" t="s">
        <v>74</v>
      </c>
      <c r="Q908" t="s">
        <v>74</v>
      </c>
      <c r="R908" t="s">
        <v>74</v>
      </c>
      <c r="S908" t="s">
        <v>74</v>
      </c>
      <c r="T908" t="s">
        <v>74</v>
      </c>
      <c r="U908" t="s">
        <v>16631</v>
      </c>
      <c r="V908" t="s">
        <v>16632</v>
      </c>
      <c r="W908" t="s">
        <v>16633</v>
      </c>
      <c r="X908" t="s">
        <v>5824</v>
      </c>
      <c r="Y908" t="s">
        <v>16634</v>
      </c>
      <c r="Z908" t="s">
        <v>16635</v>
      </c>
      <c r="AA908" t="s">
        <v>5826</v>
      </c>
      <c r="AB908" t="s">
        <v>16636</v>
      </c>
      <c r="AC908" t="s">
        <v>16637</v>
      </c>
      <c r="AD908" t="s">
        <v>16638</v>
      </c>
      <c r="AE908" t="s">
        <v>16639</v>
      </c>
      <c r="AF908" t="s">
        <v>74</v>
      </c>
      <c r="AG908">
        <v>99</v>
      </c>
      <c r="AH908">
        <v>190</v>
      </c>
      <c r="AI908">
        <v>206</v>
      </c>
      <c r="AJ908">
        <v>2</v>
      </c>
      <c r="AK908">
        <v>48</v>
      </c>
      <c r="AL908" t="s">
        <v>92</v>
      </c>
      <c r="AM908" t="s">
        <v>93</v>
      </c>
      <c r="AN908" t="s">
        <v>94</v>
      </c>
      <c r="AO908" t="s">
        <v>7893</v>
      </c>
      <c r="AP908" t="s">
        <v>7894</v>
      </c>
      <c r="AQ908" t="s">
        <v>74</v>
      </c>
      <c r="AR908" t="s">
        <v>7895</v>
      </c>
      <c r="AS908" t="s">
        <v>7896</v>
      </c>
      <c r="AT908" t="s">
        <v>14886</v>
      </c>
      <c r="AU908">
        <v>2013</v>
      </c>
      <c r="AV908">
        <v>118</v>
      </c>
      <c r="AW908">
        <v>3</v>
      </c>
      <c r="AX908" t="s">
        <v>74</v>
      </c>
      <c r="AY908" t="s">
        <v>74</v>
      </c>
      <c r="AZ908" t="s">
        <v>74</v>
      </c>
      <c r="BA908" t="s">
        <v>74</v>
      </c>
      <c r="BB908">
        <v>808</v>
      </c>
      <c r="BC908">
        <v>822</v>
      </c>
      <c r="BD908" t="s">
        <v>74</v>
      </c>
      <c r="BE908" t="s">
        <v>16640</v>
      </c>
      <c r="BF908" t="str">
        <f>HYPERLINK("http://dx.doi.org/10.1002/jgrb.50079","http://dx.doi.org/10.1002/jgrb.50079")</f>
        <v>http://dx.doi.org/10.1002/jgrb.50079</v>
      </c>
      <c r="BG908" t="s">
        <v>74</v>
      </c>
      <c r="BH908" t="s">
        <v>74</v>
      </c>
      <c r="BI908">
        <v>15</v>
      </c>
      <c r="BJ908" t="s">
        <v>766</v>
      </c>
      <c r="BK908" t="s">
        <v>102</v>
      </c>
      <c r="BL908" t="s">
        <v>766</v>
      </c>
      <c r="BM908" t="s">
        <v>15109</v>
      </c>
      <c r="BN908" t="s">
        <v>74</v>
      </c>
      <c r="BO908" t="s">
        <v>1014</v>
      </c>
      <c r="BP908" t="s">
        <v>74</v>
      </c>
      <c r="BQ908" t="s">
        <v>74</v>
      </c>
      <c r="BR908" t="s">
        <v>105</v>
      </c>
      <c r="BS908" t="s">
        <v>16641</v>
      </c>
      <c r="BT908" t="str">
        <f>HYPERLINK("https%3A%2F%2Fwww.webofscience.com%2Fwos%2Fwoscc%2Ffull-record%2FWOS:000318273300002","View Full Record in Web of Science")</f>
        <v>View Full Record in Web of Science</v>
      </c>
    </row>
    <row r="909" spans="1:72" x14ac:dyDescent="0.15">
      <c r="A909" t="s">
        <v>72</v>
      </c>
      <c r="B909" t="s">
        <v>16642</v>
      </c>
      <c r="C909" t="s">
        <v>74</v>
      </c>
      <c r="D909" t="s">
        <v>74</v>
      </c>
      <c r="E909" t="s">
        <v>74</v>
      </c>
      <c r="F909" t="s">
        <v>16643</v>
      </c>
      <c r="G909" t="s">
        <v>74</v>
      </c>
      <c r="H909" t="s">
        <v>74</v>
      </c>
      <c r="I909" t="s">
        <v>16644</v>
      </c>
      <c r="J909" t="s">
        <v>9820</v>
      </c>
      <c r="K909" t="s">
        <v>74</v>
      </c>
      <c r="L909" t="s">
        <v>74</v>
      </c>
      <c r="M909" t="s">
        <v>78</v>
      </c>
      <c r="N909" t="s">
        <v>79</v>
      </c>
      <c r="O909" t="s">
        <v>74</v>
      </c>
      <c r="P909" t="s">
        <v>74</v>
      </c>
      <c r="Q909" t="s">
        <v>74</v>
      </c>
      <c r="R909" t="s">
        <v>74</v>
      </c>
      <c r="S909" t="s">
        <v>74</v>
      </c>
      <c r="T909" t="s">
        <v>16645</v>
      </c>
      <c r="U909" t="s">
        <v>16646</v>
      </c>
      <c r="V909" t="s">
        <v>16647</v>
      </c>
      <c r="W909" t="s">
        <v>16648</v>
      </c>
      <c r="X909" t="s">
        <v>6846</v>
      </c>
      <c r="Y909" t="s">
        <v>16649</v>
      </c>
      <c r="Z909" t="s">
        <v>16650</v>
      </c>
      <c r="AA909" t="s">
        <v>16651</v>
      </c>
      <c r="AB909" t="s">
        <v>16652</v>
      </c>
      <c r="AC909" t="s">
        <v>16653</v>
      </c>
      <c r="AD909" t="s">
        <v>16654</v>
      </c>
      <c r="AE909" t="s">
        <v>16655</v>
      </c>
      <c r="AF909" t="s">
        <v>74</v>
      </c>
      <c r="AG909">
        <v>85</v>
      </c>
      <c r="AH909">
        <v>26</v>
      </c>
      <c r="AI909">
        <v>29</v>
      </c>
      <c r="AJ909">
        <v>2</v>
      </c>
      <c r="AK909">
        <v>31</v>
      </c>
      <c r="AL909" t="s">
        <v>195</v>
      </c>
      <c r="AM909" t="s">
        <v>155</v>
      </c>
      <c r="AN909" t="s">
        <v>196</v>
      </c>
      <c r="AO909" t="s">
        <v>9832</v>
      </c>
      <c r="AP909" t="s">
        <v>9833</v>
      </c>
      <c r="AQ909" t="s">
        <v>74</v>
      </c>
      <c r="AR909" t="s">
        <v>9834</v>
      </c>
      <c r="AS909" t="s">
        <v>9835</v>
      </c>
      <c r="AT909" t="s">
        <v>14886</v>
      </c>
      <c r="AU909">
        <v>2013</v>
      </c>
      <c r="AV909">
        <v>113</v>
      </c>
      <c r="AW909" t="s">
        <v>74</v>
      </c>
      <c r="AX909" t="s">
        <v>74</v>
      </c>
      <c r="AY909" t="s">
        <v>74</v>
      </c>
      <c r="AZ909" t="s">
        <v>74</v>
      </c>
      <c r="BA909" t="s">
        <v>74</v>
      </c>
      <c r="BB909">
        <v>1</v>
      </c>
      <c r="BC909">
        <v>12</v>
      </c>
      <c r="BD909" t="s">
        <v>74</v>
      </c>
      <c r="BE909" t="s">
        <v>16656</v>
      </c>
      <c r="BF909" t="str">
        <f>HYPERLINK("http://dx.doi.org/10.1016/j.jmarsys.2012.12.001","http://dx.doi.org/10.1016/j.jmarsys.2012.12.001")</f>
        <v>http://dx.doi.org/10.1016/j.jmarsys.2012.12.001</v>
      </c>
      <c r="BG909" t="s">
        <v>74</v>
      </c>
      <c r="BH909" t="s">
        <v>74</v>
      </c>
      <c r="BI909">
        <v>12</v>
      </c>
      <c r="BJ909" t="s">
        <v>9837</v>
      </c>
      <c r="BK909" t="s">
        <v>102</v>
      </c>
      <c r="BL909" t="s">
        <v>9838</v>
      </c>
      <c r="BM909" t="s">
        <v>14927</v>
      </c>
      <c r="BN909" t="s">
        <v>74</v>
      </c>
      <c r="BO909" t="s">
        <v>74</v>
      </c>
      <c r="BP909" t="s">
        <v>74</v>
      </c>
      <c r="BQ909" t="s">
        <v>74</v>
      </c>
      <c r="BR909" t="s">
        <v>105</v>
      </c>
      <c r="BS909" t="s">
        <v>16657</v>
      </c>
      <c r="BT909" t="str">
        <f>HYPERLINK("https%3A%2F%2Fwww.webofscience.com%2Fwos%2Fwoscc%2Ffull-record%2FWOS:000317162400001","View Full Record in Web of Science")</f>
        <v>View Full Record in Web of Science</v>
      </c>
    </row>
    <row r="910" spans="1:72" x14ac:dyDescent="0.15">
      <c r="A910" t="s">
        <v>72</v>
      </c>
      <c r="B910" t="s">
        <v>16658</v>
      </c>
      <c r="C910" t="s">
        <v>74</v>
      </c>
      <c r="D910" t="s">
        <v>74</v>
      </c>
      <c r="E910" t="s">
        <v>74</v>
      </c>
      <c r="F910" t="s">
        <v>16659</v>
      </c>
      <c r="G910" t="s">
        <v>74</v>
      </c>
      <c r="H910" t="s">
        <v>74</v>
      </c>
      <c r="I910" t="s">
        <v>16660</v>
      </c>
      <c r="J910" t="s">
        <v>9820</v>
      </c>
      <c r="K910" t="s">
        <v>74</v>
      </c>
      <c r="L910" t="s">
        <v>74</v>
      </c>
      <c r="M910" t="s">
        <v>78</v>
      </c>
      <c r="N910" t="s">
        <v>79</v>
      </c>
      <c r="O910" t="s">
        <v>74</v>
      </c>
      <c r="P910" t="s">
        <v>74</v>
      </c>
      <c r="Q910" t="s">
        <v>74</v>
      </c>
      <c r="R910" t="s">
        <v>74</v>
      </c>
      <c r="S910" t="s">
        <v>74</v>
      </c>
      <c r="T910" t="s">
        <v>16661</v>
      </c>
      <c r="U910" t="s">
        <v>16662</v>
      </c>
      <c r="V910" t="s">
        <v>16663</v>
      </c>
      <c r="W910" t="s">
        <v>16664</v>
      </c>
      <c r="X910" t="s">
        <v>6846</v>
      </c>
      <c r="Y910" t="s">
        <v>16665</v>
      </c>
      <c r="Z910" t="s">
        <v>16666</v>
      </c>
      <c r="AA910" t="s">
        <v>74</v>
      </c>
      <c r="AB910" t="s">
        <v>16667</v>
      </c>
      <c r="AC910" t="s">
        <v>16668</v>
      </c>
      <c r="AD910" t="s">
        <v>16668</v>
      </c>
      <c r="AE910" t="s">
        <v>16669</v>
      </c>
      <c r="AF910" t="s">
        <v>74</v>
      </c>
      <c r="AG910">
        <v>35</v>
      </c>
      <c r="AH910">
        <v>23</v>
      </c>
      <c r="AI910">
        <v>25</v>
      </c>
      <c r="AJ910">
        <v>1</v>
      </c>
      <c r="AK910">
        <v>24</v>
      </c>
      <c r="AL910" t="s">
        <v>195</v>
      </c>
      <c r="AM910" t="s">
        <v>155</v>
      </c>
      <c r="AN910" t="s">
        <v>196</v>
      </c>
      <c r="AO910" t="s">
        <v>9832</v>
      </c>
      <c r="AP910" t="s">
        <v>9833</v>
      </c>
      <c r="AQ910" t="s">
        <v>74</v>
      </c>
      <c r="AR910" t="s">
        <v>9834</v>
      </c>
      <c r="AS910" t="s">
        <v>9835</v>
      </c>
      <c r="AT910" t="s">
        <v>14886</v>
      </c>
      <c r="AU910">
        <v>2013</v>
      </c>
      <c r="AV910">
        <v>113</v>
      </c>
      <c r="AW910" t="s">
        <v>74</v>
      </c>
      <c r="AX910" t="s">
        <v>74</v>
      </c>
      <c r="AY910" t="s">
        <v>74</v>
      </c>
      <c r="AZ910" t="s">
        <v>74</v>
      </c>
      <c r="BA910" t="s">
        <v>74</v>
      </c>
      <c r="BB910">
        <v>88</v>
      </c>
      <c r="BC910">
        <v>93</v>
      </c>
      <c r="BD910" t="s">
        <v>74</v>
      </c>
      <c r="BE910" t="s">
        <v>16670</v>
      </c>
      <c r="BF910" t="str">
        <f>HYPERLINK("http://dx.doi.org/10.1016/j.jmarsys.2013.01.001","http://dx.doi.org/10.1016/j.jmarsys.2013.01.001")</f>
        <v>http://dx.doi.org/10.1016/j.jmarsys.2013.01.001</v>
      </c>
      <c r="BG910" t="s">
        <v>74</v>
      </c>
      <c r="BH910" t="s">
        <v>74</v>
      </c>
      <c r="BI910">
        <v>6</v>
      </c>
      <c r="BJ910" t="s">
        <v>9837</v>
      </c>
      <c r="BK910" t="s">
        <v>102</v>
      </c>
      <c r="BL910" t="s">
        <v>9838</v>
      </c>
      <c r="BM910" t="s">
        <v>14927</v>
      </c>
      <c r="BN910" t="s">
        <v>74</v>
      </c>
      <c r="BO910" t="s">
        <v>74</v>
      </c>
      <c r="BP910" t="s">
        <v>74</v>
      </c>
      <c r="BQ910" t="s">
        <v>74</v>
      </c>
      <c r="BR910" t="s">
        <v>105</v>
      </c>
      <c r="BS910" t="s">
        <v>16671</v>
      </c>
      <c r="BT910" t="str">
        <f>HYPERLINK("https%3A%2F%2Fwww.webofscience.com%2Fwos%2Fwoscc%2Ffull-record%2FWOS:000317162400008","View Full Record in Web of Science")</f>
        <v>View Full Record in Web of Science</v>
      </c>
    </row>
    <row r="911" spans="1:72" x14ac:dyDescent="0.15">
      <c r="A911" t="s">
        <v>72</v>
      </c>
      <c r="B911" t="s">
        <v>16672</v>
      </c>
      <c r="C911" t="s">
        <v>74</v>
      </c>
      <c r="D911" t="s">
        <v>74</v>
      </c>
      <c r="E911" t="s">
        <v>74</v>
      </c>
      <c r="F911" t="s">
        <v>16673</v>
      </c>
      <c r="G911" t="s">
        <v>74</v>
      </c>
      <c r="H911" t="s">
        <v>74</v>
      </c>
      <c r="I911" t="s">
        <v>16674</v>
      </c>
      <c r="J911" t="s">
        <v>16675</v>
      </c>
      <c r="K911" t="s">
        <v>74</v>
      </c>
      <c r="L911" t="s">
        <v>74</v>
      </c>
      <c r="M911" t="s">
        <v>78</v>
      </c>
      <c r="N911" t="s">
        <v>79</v>
      </c>
      <c r="O911" t="s">
        <v>74</v>
      </c>
      <c r="P911" t="s">
        <v>74</v>
      </c>
      <c r="Q911" t="s">
        <v>74</v>
      </c>
      <c r="R911" t="s">
        <v>74</v>
      </c>
      <c r="S911" t="s">
        <v>74</v>
      </c>
      <c r="T911" t="s">
        <v>16676</v>
      </c>
      <c r="U911" t="s">
        <v>16677</v>
      </c>
      <c r="V911" t="s">
        <v>16678</v>
      </c>
      <c r="W911" t="s">
        <v>16679</v>
      </c>
      <c r="X911" t="s">
        <v>16680</v>
      </c>
      <c r="Y911" t="s">
        <v>16681</v>
      </c>
      <c r="Z911" t="s">
        <v>16682</v>
      </c>
      <c r="AA911" t="s">
        <v>16683</v>
      </c>
      <c r="AB911" t="s">
        <v>16684</v>
      </c>
      <c r="AC911" t="s">
        <v>16685</v>
      </c>
      <c r="AD911" t="s">
        <v>16686</v>
      </c>
      <c r="AE911" t="s">
        <v>16687</v>
      </c>
      <c r="AF911" t="s">
        <v>74</v>
      </c>
      <c r="AG911">
        <v>51</v>
      </c>
      <c r="AH911">
        <v>11</v>
      </c>
      <c r="AI911">
        <v>11</v>
      </c>
      <c r="AJ911">
        <v>0</v>
      </c>
      <c r="AK911">
        <v>8</v>
      </c>
      <c r="AL911" t="s">
        <v>1080</v>
      </c>
      <c r="AM911" t="s">
        <v>1081</v>
      </c>
      <c r="AN911" t="s">
        <v>6579</v>
      </c>
      <c r="AO911" t="s">
        <v>16688</v>
      </c>
      <c r="AP911" t="s">
        <v>74</v>
      </c>
      <c r="AQ911" t="s">
        <v>74</v>
      </c>
      <c r="AR911" t="s">
        <v>16689</v>
      </c>
      <c r="AS911" t="s">
        <v>16690</v>
      </c>
      <c r="AT911" t="s">
        <v>15214</v>
      </c>
      <c r="AU911">
        <v>2013</v>
      </c>
      <c r="AV911">
        <v>47</v>
      </c>
      <c r="AW911" t="s">
        <v>16691</v>
      </c>
      <c r="AX911" t="s">
        <v>74</v>
      </c>
      <c r="AY911" t="s">
        <v>74</v>
      </c>
      <c r="AZ911" t="s">
        <v>74</v>
      </c>
      <c r="BA911" t="s">
        <v>74</v>
      </c>
      <c r="BB911">
        <v>699</v>
      </c>
      <c r="BC911">
        <v>713</v>
      </c>
      <c r="BD911" t="s">
        <v>74</v>
      </c>
      <c r="BE911" t="s">
        <v>16692</v>
      </c>
      <c r="BF911" t="str">
        <f>HYPERLINK("http://dx.doi.org/10.1080/00222933.2012.708451","http://dx.doi.org/10.1080/00222933.2012.708451")</f>
        <v>http://dx.doi.org/10.1080/00222933.2012.708451</v>
      </c>
      <c r="BG911" t="s">
        <v>74</v>
      </c>
      <c r="BH911" t="s">
        <v>74</v>
      </c>
      <c r="BI911">
        <v>15</v>
      </c>
      <c r="BJ911" t="s">
        <v>16693</v>
      </c>
      <c r="BK911" t="s">
        <v>102</v>
      </c>
      <c r="BL911" t="s">
        <v>16694</v>
      </c>
      <c r="BM911" t="s">
        <v>16695</v>
      </c>
      <c r="BN911" t="s">
        <v>74</v>
      </c>
      <c r="BO911" t="s">
        <v>74</v>
      </c>
      <c r="BP911" t="s">
        <v>74</v>
      </c>
      <c r="BQ911" t="s">
        <v>74</v>
      </c>
      <c r="BR911" t="s">
        <v>105</v>
      </c>
      <c r="BS911" t="s">
        <v>16696</v>
      </c>
      <c r="BT911" t="str">
        <f>HYPERLINK("https%3A%2F%2Fwww.webofscience.com%2Fwos%2Fwoscc%2Ffull-record%2FWOS:000316104500023","View Full Record in Web of Science")</f>
        <v>View Full Record in Web of Science</v>
      </c>
    </row>
    <row r="912" spans="1:72" x14ac:dyDescent="0.15">
      <c r="A912" t="s">
        <v>72</v>
      </c>
      <c r="B912" t="s">
        <v>16697</v>
      </c>
      <c r="C912" t="s">
        <v>74</v>
      </c>
      <c r="D912" t="s">
        <v>74</v>
      </c>
      <c r="E912" t="s">
        <v>74</v>
      </c>
      <c r="F912" t="s">
        <v>16698</v>
      </c>
      <c r="G912" t="s">
        <v>74</v>
      </c>
      <c r="H912" t="s">
        <v>74</v>
      </c>
      <c r="I912" t="s">
        <v>16699</v>
      </c>
      <c r="J912" t="s">
        <v>311</v>
      </c>
      <c r="K912" t="s">
        <v>74</v>
      </c>
      <c r="L912" t="s">
        <v>74</v>
      </c>
      <c r="M912" t="s">
        <v>78</v>
      </c>
      <c r="N912" t="s">
        <v>79</v>
      </c>
      <c r="O912" t="s">
        <v>74</v>
      </c>
      <c r="P912" t="s">
        <v>74</v>
      </c>
      <c r="Q912" t="s">
        <v>74</v>
      </c>
      <c r="R912" t="s">
        <v>74</v>
      </c>
      <c r="S912" t="s">
        <v>74</v>
      </c>
      <c r="T912" t="s">
        <v>74</v>
      </c>
      <c r="U912" t="s">
        <v>16700</v>
      </c>
      <c r="V912" t="s">
        <v>16701</v>
      </c>
      <c r="W912" t="s">
        <v>16702</v>
      </c>
      <c r="X912" t="s">
        <v>16703</v>
      </c>
      <c r="Y912" t="s">
        <v>16704</v>
      </c>
      <c r="Z912" t="s">
        <v>16705</v>
      </c>
      <c r="AA912" t="s">
        <v>16706</v>
      </c>
      <c r="AB912" t="s">
        <v>16707</v>
      </c>
      <c r="AC912" t="s">
        <v>16708</v>
      </c>
      <c r="AD912" t="s">
        <v>995</v>
      </c>
      <c r="AE912" t="s">
        <v>74</v>
      </c>
      <c r="AF912" t="s">
        <v>74</v>
      </c>
      <c r="AG912">
        <v>44</v>
      </c>
      <c r="AH912">
        <v>41</v>
      </c>
      <c r="AI912">
        <v>43</v>
      </c>
      <c r="AJ912">
        <v>0</v>
      </c>
      <c r="AK912">
        <v>26</v>
      </c>
      <c r="AL912" t="s">
        <v>237</v>
      </c>
      <c r="AM912" t="s">
        <v>238</v>
      </c>
      <c r="AN912" t="s">
        <v>239</v>
      </c>
      <c r="AO912" t="s">
        <v>322</v>
      </c>
      <c r="AP912" t="s">
        <v>323</v>
      </c>
      <c r="AQ912" t="s">
        <v>74</v>
      </c>
      <c r="AR912" t="s">
        <v>324</v>
      </c>
      <c r="AS912" t="s">
        <v>325</v>
      </c>
      <c r="AT912" t="s">
        <v>14886</v>
      </c>
      <c r="AU912">
        <v>2013</v>
      </c>
      <c r="AV912">
        <v>43</v>
      </c>
      <c r="AW912">
        <v>3</v>
      </c>
      <c r="AX912" t="s">
        <v>74</v>
      </c>
      <c r="AY912" t="s">
        <v>74</v>
      </c>
      <c r="AZ912" t="s">
        <v>74</v>
      </c>
      <c r="BA912" t="s">
        <v>74</v>
      </c>
      <c r="BB912">
        <v>647</v>
      </c>
      <c r="BC912">
        <v>668</v>
      </c>
      <c r="BD912" t="s">
        <v>74</v>
      </c>
      <c r="BE912" t="s">
        <v>16709</v>
      </c>
      <c r="BF912" t="str">
        <f>HYPERLINK("http://dx.doi.org/10.1175/JPO-D-12-056.1","http://dx.doi.org/10.1175/JPO-D-12-056.1")</f>
        <v>http://dx.doi.org/10.1175/JPO-D-12-056.1</v>
      </c>
      <c r="BG912" t="s">
        <v>74</v>
      </c>
      <c r="BH912" t="s">
        <v>74</v>
      </c>
      <c r="BI912">
        <v>22</v>
      </c>
      <c r="BJ912" t="s">
        <v>327</v>
      </c>
      <c r="BK912" t="s">
        <v>102</v>
      </c>
      <c r="BL912" t="s">
        <v>327</v>
      </c>
      <c r="BM912" t="s">
        <v>15332</v>
      </c>
      <c r="BN912" t="s">
        <v>74</v>
      </c>
      <c r="BO912" t="s">
        <v>16710</v>
      </c>
      <c r="BP912" t="s">
        <v>74</v>
      </c>
      <c r="BQ912" t="s">
        <v>74</v>
      </c>
      <c r="BR912" t="s">
        <v>105</v>
      </c>
      <c r="BS912" t="s">
        <v>16711</v>
      </c>
      <c r="BT912" t="str">
        <f>HYPERLINK("https%3A%2F%2Fwww.webofscience.com%2Fwos%2Fwoscc%2Ffull-record%2FWOS:000317114800011","View Full Record in Web of Science")</f>
        <v>View Full Record in Web of Science</v>
      </c>
    </row>
    <row r="913" spans="1:72" x14ac:dyDescent="0.15">
      <c r="A913" t="s">
        <v>72</v>
      </c>
      <c r="B913" t="s">
        <v>16712</v>
      </c>
      <c r="C913" t="s">
        <v>74</v>
      </c>
      <c r="D913" t="s">
        <v>74</v>
      </c>
      <c r="E913" t="s">
        <v>74</v>
      </c>
      <c r="F913" t="s">
        <v>16713</v>
      </c>
      <c r="G913" t="s">
        <v>74</v>
      </c>
      <c r="H913" t="s">
        <v>74</v>
      </c>
      <c r="I913" t="s">
        <v>16714</v>
      </c>
      <c r="J913" t="s">
        <v>10908</v>
      </c>
      <c r="K913" t="s">
        <v>74</v>
      </c>
      <c r="L913" t="s">
        <v>74</v>
      </c>
      <c r="M913" t="s">
        <v>78</v>
      </c>
      <c r="N913" t="s">
        <v>79</v>
      </c>
      <c r="O913" t="s">
        <v>74</v>
      </c>
      <c r="P913" t="s">
        <v>74</v>
      </c>
      <c r="Q913" t="s">
        <v>74</v>
      </c>
      <c r="R913" t="s">
        <v>74</v>
      </c>
      <c r="S913" t="s">
        <v>74</v>
      </c>
      <c r="T913" t="s">
        <v>16715</v>
      </c>
      <c r="U913" t="s">
        <v>16716</v>
      </c>
      <c r="V913" t="s">
        <v>16717</v>
      </c>
      <c r="W913" t="s">
        <v>16718</v>
      </c>
      <c r="X913" t="s">
        <v>16719</v>
      </c>
      <c r="Y913" t="s">
        <v>9918</v>
      </c>
      <c r="Z913" t="s">
        <v>16720</v>
      </c>
      <c r="AA913" t="s">
        <v>16721</v>
      </c>
      <c r="AB913" t="s">
        <v>16722</v>
      </c>
      <c r="AC913" t="s">
        <v>16723</v>
      </c>
      <c r="AD913" t="s">
        <v>16724</v>
      </c>
      <c r="AE913" t="s">
        <v>16725</v>
      </c>
      <c r="AF913" t="s">
        <v>74</v>
      </c>
      <c r="AG913">
        <v>160</v>
      </c>
      <c r="AH913">
        <v>105</v>
      </c>
      <c r="AI913">
        <v>122</v>
      </c>
      <c r="AJ913">
        <v>3</v>
      </c>
      <c r="AK913">
        <v>225</v>
      </c>
      <c r="AL913" t="s">
        <v>441</v>
      </c>
      <c r="AM913" t="s">
        <v>442</v>
      </c>
      <c r="AN913" t="s">
        <v>443</v>
      </c>
      <c r="AO913" t="s">
        <v>10920</v>
      </c>
      <c r="AP913" t="s">
        <v>10921</v>
      </c>
      <c r="AQ913" t="s">
        <v>74</v>
      </c>
      <c r="AR913" t="s">
        <v>10922</v>
      </c>
      <c r="AS913" t="s">
        <v>10923</v>
      </c>
      <c r="AT913" t="s">
        <v>15141</v>
      </c>
      <c r="AU913">
        <v>2013</v>
      </c>
      <c r="AV913">
        <v>35</v>
      </c>
      <c r="AW913">
        <v>2</v>
      </c>
      <c r="AX913" t="s">
        <v>74</v>
      </c>
      <c r="AY913" t="s">
        <v>74</v>
      </c>
      <c r="AZ913" t="s">
        <v>74</v>
      </c>
      <c r="BA913" t="s">
        <v>74</v>
      </c>
      <c r="BB913">
        <v>235</v>
      </c>
      <c r="BC913">
        <v>252</v>
      </c>
      <c r="BD913" t="s">
        <v>74</v>
      </c>
      <c r="BE913" t="s">
        <v>16726</v>
      </c>
      <c r="BF913" t="str">
        <f>HYPERLINK("http://dx.doi.org/10.1093/plankt/fbs091","http://dx.doi.org/10.1093/plankt/fbs091")</f>
        <v>http://dx.doi.org/10.1093/plankt/fbs091</v>
      </c>
      <c r="BG913" t="s">
        <v>74</v>
      </c>
      <c r="BH913" t="s">
        <v>74</v>
      </c>
      <c r="BI913">
        <v>18</v>
      </c>
      <c r="BJ913" t="s">
        <v>3206</v>
      </c>
      <c r="BK913" t="s">
        <v>102</v>
      </c>
      <c r="BL913" t="s">
        <v>3206</v>
      </c>
      <c r="BM913" t="s">
        <v>15499</v>
      </c>
      <c r="BN913" t="s">
        <v>74</v>
      </c>
      <c r="BO913" t="s">
        <v>104</v>
      </c>
      <c r="BP913" t="s">
        <v>74</v>
      </c>
      <c r="BQ913" t="s">
        <v>74</v>
      </c>
      <c r="BR913" t="s">
        <v>105</v>
      </c>
      <c r="BS913" t="s">
        <v>16727</v>
      </c>
      <c r="BT913" t="str">
        <f>HYPERLINK("https%3A%2F%2Fwww.webofscience.com%2Fwos%2Fwoscc%2Ffull-record%2FWOS:000316129700001","View Full Record in Web of Science")</f>
        <v>View Full Record in Web of Science</v>
      </c>
    </row>
    <row r="914" spans="1:72" x14ac:dyDescent="0.15">
      <c r="A914" t="s">
        <v>72</v>
      </c>
      <c r="B914" t="s">
        <v>16728</v>
      </c>
      <c r="C914" t="s">
        <v>74</v>
      </c>
      <c r="D914" t="s">
        <v>74</v>
      </c>
      <c r="E914" t="s">
        <v>74</v>
      </c>
      <c r="F914" t="s">
        <v>16729</v>
      </c>
      <c r="G914" t="s">
        <v>74</v>
      </c>
      <c r="H914" t="s">
        <v>74</v>
      </c>
      <c r="I914" t="s">
        <v>16730</v>
      </c>
      <c r="J914" t="s">
        <v>10908</v>
      </c>
      <c r="K914" t="s">
        <v>74</v>
      </c>
      <c r="L914" t="s">
        <v>74</v>
      </c>
      <c r="M914" t="s">
        <v>78</v>
      </c>
      <c r="N914" t="s">
        <v>991</v>
      </c>
      <c r="O914" t="s">
        <v>74</v>
      </c>
      <c r="P914" t="s">
        <v>74</v>
      </c>
      <c r="Q914" t="s">
        <v>74</v>
      </c>
      <c r="R914" t="s">
        <v>74</v>
      </c>
      <c r="S914" t="s">
        <v>74</v>
      </c>
      <c r="T914" t="s">
        <v>74</v>
      </c>
      <c r="U914" t="s">
        <v>16731</v>
      </c>
      <c r="V914" t="s">
        <v>74</v>
      </c>
      <c r="W914" t="s">
        <v>16732</v>
      </c>
      <c r="X914" t="s">
        <v>16733</v>
      </c>
      <c r="Y914" t="s">
        <v>16734</v>
      </c>
      <c r="Z914" t="s">
        <v>16735</v>
      </c>
      <c r="AA914" t="s">
        <v>74</v>
      </c>
      <c r="AB914" t="s">
        <v>74</v>
      </c>
      <c r="AC914" t="s">
        <v>2334</v>
      </c>
      <c r="AD914" t="s">
        <v>995</v>
      </c>
      <c r="AE914" t="s">
        <v>74</v>
      </c>
      <c r="AF914" t="s">
        <v>74</v>
      </c>
      <c r="AG914">
        <v>8</v>
      </c>
      <c r="AH914">
        <v>1</v>
      </c>
      <c r="AI914">
        <v>1</v>
      </c>
      <c r="AJ914">
        <v>0</v>
      </c>
      <c r="AK914">
        <v>18</v>
      </c>
      <c r="AL914" t="s">
        <v>441</v>
      </c>
      <c r="AM914" t="s">
        <v>442</v>
      </c>
      <c r="AN914" t="s">
        <v>443</v>
      </c>
      <c r="AO914" t="s">
        <v>10920</v>
      </c>
      <c r="AP914" t="s">
        <v>10921</v>
      </c>
      <c r="AQ914" t="s">
        <v>74</v>
      </c>
      <c r="AR914" t="s">
        <v>10922</v>
      </c>
      <c r="AS914" t="s">
        <v>10923</v>
      </c>
      <c r="AT914" t="s">
        <v>15141</v>
      </c>
      <c r="AU914">
        <v>2013</v>
      </c>
      <c r="AV914">
        <v>35</v>
      </c>
      <c r="AW914">
        <v>2</v>
      </c>
      <c r="AX914" t="s">
        <v>74</v>
      </c>
      <c r="AY914" t="s">
        <v>74</v>
      </c>
      <c r="AZ914" t="s">
        <v>74</v>
      </c>
      <c r="BA914" t="s">
        <v>74</v>
      </c>
      <c r="BB914">
        <v>441</v>
      </c>
      <c r="BC914">
        <v>443</v>
      </c>
      <c r="BD914" t="s">
        <v>74</v>
      </c>
      <c r="BE914" t="s">
        <v>16736</v>
      </c>
      <c r="BF914" t="str">
        <f>HYPERLINK("http://dx.doi.org/10.1093/plankt/fbt010","http://dx.doi.org/10.1093/plankt/fbt010")</f>
        <v>http://dx.doi.org/10.1093/plankt/fbt010</v>
      </c>
      <c r="BG914" t="s">
        <v>74</v>
      </c>
      <c r="BH914" t="s">
        <v>74</v>
      </c>
      <c r="BI914">
        <v>3</v>
      </c>
      <c r="BJ914" t="s">
        <v>3206</v>
      </c>
      <c r="BK914" t="s">
        <v>102</v>
      </c>
      <c r="BL914" t="s">
        <v>3206</v>
      </c>
      <c r="BM914" t="s">
        <v>15499</v>
      </c>
      <c r="BN914" t="s">
        <v>74</v>
      </c>
      <c r="BO914" t="s">
        <v>104</v>
      </c>
      <c r="BP914" t="s">
        <v>74</v>
      </c>
      <c r="BQ914" t="s">
        <v>74</v>
      </c>
      <c r="BR914" t="s">
        <v>105</v>
      </c>
      <c r="BS914" t="s">
        <v>16737</v>
      </c>
      <c r="BT914" t="str">
        <f>HYPERLINK("https%3A%2F%2Fwww.webofscience.com%2Fwos%2Fwoscc%2Ffull-record%2FWOS:000316129700019","View Full Record in Web of Science")</f>
        <v>View Full Record in Web of Science</v>
      </c>
    </row>
    <row r="915" spans="1:72" x14ac:dyDescent="0.15">
      <c r="A915" t="s">
        <v>72</v>
      </c>
      <c r="B915" t="s">
        <v>16738</v>
      </c>
      <c r="C915" t="s">
        <v>74</v>
      </c>
      <c r="D915" t="s">
        <v>74</v>
      </c>
      <c r="E915" t="s">
        <v>74</v>
      </c>
      <c r="F915" t="s">
        <v>16739</v>
      </c>
      <c r="G915" t="s">
        <v>74</v>
      </c>
      <c r="H915" t="s">
        <v>74</v>
      </c>
      <c r="I915" t="s">
        <v>16740</v>
      </c>
      <c r="J915" t="s">
        <v>16741</v>
      </c>
      <c r="K915" t="s">
        <v>74</v>
      </c>
      <c r="L915" t="s">
        <v>74</v>
      </c>
      <c r="M915" t="s">
        <v>78</v>
      </c>
      <c r="N915" t="s">
        <v>79</v>
      </c>
      <c r="O915" t="s">
        <v>74</v>
      </c>
      <c r="P915" t="s">
        <v>74</v>
      </c>
      <c r="Q915" t="s">
        <v>74</v>
      </c>
      <c r="R915" t="s">
        <v>74</v>
      </c>
      <c r="S915" t="s">
        <v>74</v>
      </c>
      <c r="T915" t="s">
        <v>74</v>
      </c>
      <c r="U915" t="s">
        <v>16742</v>
      </c>
      <c r="V915" t="s">
        <v>16743</v>
      </c>
      <c r="W915" t="s">
        <v>16744</v>
      </c>
      <c r="X915" t="s">
        <v>16745</v>
      </c>
      <c r="Y915" t="s">
        <v>16746</v>
      </c>
      <c r="Z915" t="s">
        <v>16747</v>
      </c>
      <c r="AA915" t="s">
        <v>16748</v>
      </c>
      <c r="AB915" t="s">
        <v>16749</v>
      </c>
      <c r="AC915" t="s">
        <v>16750</v>
      </c>
      <c r="AD915" t="s">
        <v>16751</v>
      </c>
      <c r="AE915" t="s">
        <v>16752</v>
      </c>
      <c r="AF915" t="s">
        <v>74</v>
      </c>
      <c r="AG915">
        <v>40</v>
      </c>
      <c r="AH915">
        <v>52</v>
      </c>
      <c r="AI915">
        <v>52</v>
      </c>
      <c r="AJ915">
        <v>0</v>
      </c>
      <c r="AK915">
        <v>15</v>
      </c>
      <c r="AL915" t="s">
        <v>237</v>
      </c>
      <c r="AM915" t="s">
        <v>238</v>
      </c>
      <c r="AN915" t="s">
        <v>239</v>
      </c>
      <c r="AO915" t="s">
        <v>16753</v>
      </c>
      <c r="AP915" t="s">
        <v>16754</v>
      </c>
      <c r="AQ915" t="s">
        <v>74</v>
      </c>
      <c r="AR915" t="s">
        <v>16755</v>
      </c>
      <c r="AS915" t="s">
        <v>16756</v>
      </c>
      <c r="AT915" t="s">
        <v>14886</v>
      </c>
      <c r="AU915">
        <v>2013</v>
      </c>
      <c r="AV915">
        <v>70</v>
      </c>
      <c r="AW915">
        <v>3</v>
      </c>
      <c r="AX915" t="s">
        <v>74</v>
      </c>
      <c r="AY915" t="s">
        <v>74</v>
      </c>
      <c r="AZ915" t="s">
        <v>74</v>
      </c>
      <c r="BA915" t="s">
        <v>74</v>
      </c>
      <c r="BB915">
        <v>824</v>
      </c>
      <c r="BC915">
        <v>842</v>
      </c>
      <c r="BD915" t="s">
        <v>74</v>
      </c>
      <c r="BE915" t="s">
        <v>16757</v>
      </c>
      <c r="BF915" t="str">
        <f>HYPERLINK("http://dx.doi.org/10.1175/JAS-D-12-028.1","http://dx.doi.org/10.1175/JAS-D-12-028.1")</f>
        <v>http://dx.doi.org/10.1175/JAS-D-12-028.1</v>
      </c>
      <c r="BG915" t="s">
        <v>74</v>
      </c>
      <c r="BH915" t="s">
        <v>74</v>
      </c>
      <c r="BI915">
        <v>19</v>
      </c>
      <c r="BJ915" t="s">
        <v>305</v>
      </c>
      <c r="BK915" t="s">
        <v>102</v>
      </c>
      <c r="BL915" t="s">
        <v>305</v>
      </c>
      <c r="BM915" t="s">
        <v>16758</v>
      </c>
      <c r="BN915" t="s">
        <v>74</v>
      </c>
      <c r="BO915" t="s">
        <v>16759</v>
      </c>
      <c r="BP915" t="s">
        <v>74</v>
      </c>
      <c r="BQ915" t="s">
        <v>74</v>
      </c>
      <c r="BR915" t="s">
        <v>105</v>
      </c>
      <c r="BS915" t="s">
        <v>16760</v>
      </c>
      <c r="BT915" t="str">
        <f>HYPERLINK("https%3A%2F%2Fwww.webofscience.com%2Fwos%2Fwoscc%2Ffull-record%2FWOS:000315811300006","View Full Record in Web of Science")</f>
        <v>View Full Record in Web of Science</v>
      </c>
    </row>
    <row r="916" spans="1:72" x14ac:dyDescent="0.15">
      <c r="A916" t="s">
        <v>72</v>
      </c>
      <c r="B916" t="s">
        <v>16761</v>
      </c>
      <c r="C916" t="s">
        <v>74</v>
      </c>
      <c r="D916" t="s">
        <v>74</v>
      </c>
      <c r="E916" t="s">
        <v>74</v>
      </c>
      <c r="F916" t="s">
        <v>16762</v>
      </c>
      <c r="G916" t="s">
        <v>74</v>
      </c>
      <c r="H916" t="s">
        <v>74</v>
      </c>
      <c r="I916" t="s">
        <v>16763</v>
      </c>
      <c r="J916" t="s">
        <v>16764</v>
      </c>
      <c r="K916" t="s">
        <v>74</v>
      </c>
      <c r="L916" t="s">
        <v>74</v>
      </c>
      <c r="M916" t="s">
        <v>78</v>
      </c>
      <c r="N916" t="s">
        <v>79</v>
      </c>
      <c r="O916" t="s">
        <v>74</v>
      </c>
      <c r="P916" t="s">
        <v>74</v>
      </c>
      <c r="Q916" t="s">
        <v>74</v>
      </c>
      <c r="R916" t="s">
        <v>74</v>
      </c>
      <c r="S916" t="s">
        <v>74</v>
      </c>
      <c r="T916" t="s">
        <v>16765</v>
      </c>
      <c r="U916" t="s">
        <v>16766</v>
      </c>
      <c r="V916" t="s">
        <v>16767</v>
      </c>
      <c r="W916" t="s">
        <v>16768</v>
      </c>
      <c r="X916" t="s">
        <v>16769</v>
      </c>
      <c r="Y916" t="s">
        <v>16770</v>
      </c>
      <c r="Z916" t="s">
        <v>16771</v>
      </c>
      <c r="AA916" t="s">
        <v>16772</v>
      </c>
      <c r="AB916" t="s">
        <v>16773</v>
      </c>
      <c r="AC916" t="s">
        <v>16774</v>
      </c>
      <c r="AD916" t="s">
        <v>16775</v>
      </c>
      <c r="AE916" t="s">
        <v>16776</v>
      </c>
      <c r="AF916" t="s">
        <v>74</v>
      </c>
      <c r="AG916">
        <v>99</v>
      </c>
      <c r="AH916">
        <v>7</v>
      </c>
      <c r="AI916">
        <v>7</v>
      </c>
      <c r="AJ916">
        <v>0</v>
      </c>
      <c r="AK916">
        <v>43</v>
      </c>
      <c r="AL916" t="s">
        <v>195</v>
      </c>
      <c r="AM916" t="s">
        <v>155</v>
      </c>
      <c r="AN916" t="s">
        <v>196</v>
      </c>
      <c r="AO916" t="s">
        <v>16777</v>
      </c>
      <c r="AP916" t="s">
        <v>16778</v>
      </c>
      <c r="AQ916" t="s">
        <v>74</v>
      </c>
      <c r="AR916" t="s">
        <v>16779</v>
      </c>
      <c r="AS916" t="s">
        <v>16780</v>
      </c>
      <c r="AT916" t="s">
        <v>15214</v>
      </c>
      <c r="AU916">
        <v>2013</v>
      </c>
      <c r="AV916">
        <v>253</v>
      </c>
      <c r="AW916" t="s">
        <v>74</v>
      </c>
      <c r="AX916" t="s">
        <v>74</v>
      </c>
      <c r="AY916" t="s">
        <v>74</v>
      </c>
      <c r="AZ916" t="s">
        <v>74</v>
      </c>
      <c r="BA916" t="s">
        <v>74</v>
      </c>
      <c r="BB916">
        <v>75</v>
      </c>
      <c r="BC916">
        <v>86</v>
      </c>
      <c r="BD916" t="s">
        <v>74</v>
      </c>
      <c r="BE916" t="s">
        <v>16781</v>
      </c>
      <c r="BF916" t="str">
        <f>HYPERLINK("http://dx.doi.org/10.1016/j.jvolgeores.2012.12.008","http://dx.doi.org/10.1016/j.jvolgeores.2012.12.008")</f>
        <v>http://dx.doi.org/10.1016/j.jvolgeores.2012.12.008</v>
      </c>
      <c r="BG916" t="s">
        <v>74</v>
      </c>
      <c r="BH916" t="s">
        <v>74</v>
      </c>
      <c r="BI916">
        <v>12</v>
      </c>
      <c r="BJ916" t="s">
        <v>1426</v>
      </c>
      <c r="BK916" t="s">
        <v>102</v>
      </c>
      <c r="BL916" t="s">
        <v>219</v>
      </c>
      <c r="BM916" t="s">
        <v>16782</v>
      </c>
      <c r="BN916" t="s">
        <v>74</v>
      </c>
      <c r="BO916" t="s">
        <v>74</v>
      </c>
      <c r="BP916" t="s">
        <v>74</v>
      </c>
      <c r="BQ916" t="s">
        <v>74</v>
      </c>
      <c r="BR916" t="s">
        <v>105</v>
      </c>
      <c r="BS916" t="s">
        <v>16783</v>
      </c>
      <c r="BT916" t="str">
        <f>HYPERLINK("https%3A%2F%2Fwww.webofscience.com%2Fwos%2Fwoscc%2Ffull-record%2FWOS:000316534300006","View Full Record in Web of Science")</f>
        <v>View Full Record in Web of Science</v>
      </c>
    </row>
    <row r="917" spans="1:72" x14ac:dyDescent="0.15">
      <c r="A917" t="s">
        <v>72</v>
      </c>
      <c r="B917" t="s">
        <v>16784</v>
      </c>
      <c r="C917" t="s">
        <v>74</v>
      </c>
      <c r="D917" t="s">
        <v>74</v>
      </c>
      <c r="E917" t="s">
        <v>74</v>
      </c>
      <c r="F917" t="s">
        <v>16785</v>
      </c>
      <c r="G917" t="s">
        <v>74</v>
      </c>
      <c r="H917" t="s">
        <v>74</v>
      </c>
      <c r="I917" t="s">
        <v>16786</v>
      </c>
      <c r="J917" t="s">
        <v>16787</v>
      </c>
      <c r="K917" t="s">
        <v>74</v>
      </c>
      <c r="L917" t="s">
        <v>74</v>
      </c>
      <c r="M917" t="s">
        <v>78</v>
      </c>
      <c r="N917" t="s">
        <v>79</v>
      </c>
      <c r="O917" t="s">
        <v>74</v>
      </c>
      <c r="P917" t="s">
        <v>74</v>
      </c>
      <c r="Q917" t="s">
        <v>74</v>
      </c>
      <c r="R917" t="s">
        <v>74</v>
      </c>
      <c r="S917" t="s">
        <v>74</v>
      </c>
      <c r="T917" t="s">
        <v>16788</v>
      </c>
      <c r="U917" t="s">
        <v>16789</v>
      </c>
      <c r="V917" t="s">
        <v>16790</v>
      </c>
      <c r="W917" t="s">
        <v>16791</v>
      </c>
      <c r="X917" t="s">
        <v>16792</v>
      </c>
      <c r="Y917" t="s">
        <v>16793</v>
      </c>
      <c r="Z917" t="s">
        <v>4139</v>
      </c>
      <c r="AA917" t="s">
        <v>16794</v>
      </c>
      <c r="AB917" t="s">
        <v>16795</v>
      </c>
      <c r="AC917" t="s">
        <v>16796</v>
      </c>
      <c r="AD917" t="s">
        <v>995</v>
      </c>
      <c r="AE917" t="s">
        <v>74</v>
      </c>
      <c r="AF917" t="s">
        <v>74</v>
      </c>
      <c r="AG917">
        <v>66</v>
      </c>
      <c r="AH917">
        <v>15</v>
      </c>
      <c r="AI917">
        <v>18</v>
      </c>
      <c r="AJ917">
        <v>0</v>
      </c>
      <c r="AK917">
        <v>26</v>
      </c>
      <c r="AL917" t="s">
        <v>195</v>
      </c>
      <c r="AM917" t="s">
        <v>155</v>
      </c>
      <c r="AN917" t="s">
        <v>196</v>
      </c>
      <c r="AO917" t="s">
        <v>16797</v>
      </c>
      <c r="AP917" t="s">
        <v>16798</v>
      </c>
      <c r="AQ917" t="s">
        <v>74</v>
      </c>
      <c r="AR917" t="s">
        <v>16799</v>
      </c>
      <c r="AS917" t="s">
        <v>16800</v>
      </c>
      <c r="AT917" t="s">
        <v>14886</v>
      </c>
      <c r="AU917">
        <v>2013</v>
      </c>
      <c r="AV917">
        <v>9</v>
      </c>
      <c r="AW917" t="s">
        <v>74</v>
      </c>
      <c r="AX917" t="s">
        <v>74</v>
      </c>
      <c r="AY917" t="s">
        <v>74</v>
      </c>
      <c r="AZ917" t="s">
        <v>74</v>
      </c>
      <c r="BA917" t="s">
        <v>74</v>
      </c>
      <c r="BB917">
        <v>9</v>
      </c>
      <c r="BC917">
        <v>15</v>
      </c>
      <c r="BD917" t="s">
        <v>74</v>
      </c>
      <c r="BE917" t="s">
        <v>16801</v>
      </c>
      <c r="BF917" t="str">
        <f>HYPERLINK("http://dx.doi.org/10.1016/j.margen.2012.05.003","http://dx.doi.org/10.1016/j.margen.2012.05.003")</f>
        <v>http://dx.doi.org/10.1016/j.margen.2012.05.003</v>
      </c>
      <c r="BG917" t="s">
        <v>74</v>
      </c>
      <c r="BH917" t="s">
        <v>74</v>
      </c>
      <c r="BI917">
        <v>7</v>
      </c>
      <c r="BJ917" t="s">
        <v>16802</v>
      </c>
      <c r="BK917" t="s">
        <v>102</v>
      </c>
      <c r="BL917" t="s">
        <v>16802</v>
      </c>
      <c r="BM917" t="s">
        <v>16803</v>
      </c>
      <c r="BN917">
        <v>23904059</v>
      </c>
      <c r="BO917" t="s">
        <v>74</v>
      </c>
      <c r="BP917" t="s">
        <v>74</v>
      </c>
      <c r="BQ917" t="s">
        <v>74</v>
      </c>
      <c r="BR917" t="s">
        <v>105</v>
      </c>
      <c r="BS917" t="s">
        <v>16804</v>
      </c>
      <c r="BT917" t="str">
        <f>HYPERLINK("https%3A%2F%2Fwww.webofscience.com%2Fwos%2Fwoscc%2Ffull-record%2FWOS:000316041500002","View Full Record in Web of Science")</f>
        <v>View Full Record in Web of Science</v>
      </c>
    </row>
    <row r="918" spans="1:72" x14ac:dyDescent="0.15">
      <c r="A918" t="s">
        <v>72</v>
      </c>
      <c r="B918" t="s">
        <v>16805</v>
      </c>
      <c r="C918" t="s">
        <v>74</v>
      </c>
      <c r="D918" t="s">
        <v>74</v>
      </c>
      <c r="E918" t="s">
        <v>74</v>
      </c>
      <c r="F918" t="s">
        <v>16806</v>
      </c>
      <c r="G918" t="s">
        <v>74</v>
      </c>
      <c r="H918" t="s">
        <v>74</v>
      </c>
      <c r="I918" t="s">
        <v>16807</v>
      </c>
      <c r="J918" t="s">
        <v>3406</v>
      </c>
      <c r="K918" t="s">
        <v>74</v>
      </c>
      <c r="L918" t="s">
        <v>74</v>
      </c>
      <c r="M918" t="s">
        <v>78</v>
      </c>
      <c r="N918" t="s">
        <v>79</v>
      </c>
      <c r="O918" t="s">
        <v>74</v>
      </c>
      <c r="P918" t="s">
        <v>74</v>
      </c>
      <c r="Q918" t="s">
        <v>74</v>
      </c>
      <c r="R918" t="s">
        <v>74</v>
      </c>
      <c r="S918" t="s">
        <v>74</v>
      </c>
      <c r="T918" t="s">
        <v>16808</v>
      </c>
      <c r="U918" t="s">
        <v>16809</v>
      </c>
      <c r="V918" t="s">
        <v>16810</v>
      </c>
      <c r="W918" t="s">
        <v>16811</v>
      </c>
      <c r="X918" t="s">
        <v>16812</v>
      </c>
      <c r="Y918" t="s">
        <v>16813</v>
      </c>
      <c r="Z918" t="s">
        <v>16814</v>
      </c>
      <c r="AA918" t="s">
        <v>16815</v>
      </c>
      <c r="AB918" t="s">
        <v>16816</v>
      </c>
      <c r="AC918" t="s">
        <v>16817</v>
      </c>
      <c r="AD918" t="s">
        <v>16818</v>
      </c>
      <c r="AE918" t="s">
        <v>16819</v>
      </c>
      <c r="AF918" t="s">
        <v>74</v>
      </c>
      <c r="AG918">
        <v>110</v>
      </c>
      <c r="AH918">
        <v>44</v>
      </c>
      <c r="AI918">
        <v>50</v>
      </c>
      <c r="AJ918">
        <v>1</v>
      </c>
      <c r="AK918">
        <v>30</v>
      </c>
      <c r="AL918" t="s">
        <v>154</v>
      </c>
      <c r="AM918" t="s">
        <v>155</v>
      </c>
      <c r="AN918" t="s">
        <v>156</v>
      </c>
      <c r="AO918" t="s">
        <v>3419</v>
      </c>
      <c r="AP918" t="s">
        <v>3420</v>
      </c>
      <c r="AQ918" t="s">
        <v>74</v>
      </c>
      <c r="AR918" t="s">
        <v>3421</v>
      </c>
      <c r="AS918" t="s">
        <v>3422</v>
      </c>
      <c r="AT918" t="s">
        <v>15214</v>
      </c>
      <c r="AU918">
        <v>2013</v>
      </c>
      <c r="AV918">
        <v>337</v>
      </c>
      <c r="AW918" t="s">
        <v>74</v>
      </c>
      <c r="AX918" t="s">
        <v>74</v>
      </c>
      <c r="AY918" t="s">
        <v>74</v>
      </c>
      <c r="AZ918" t="s">
        <v>74</v>
      </c>
      <c r="BA918" t="s">
        <v>74</v>
      </c>
      <c r="BB918">
        <v>112</v>
      </c>
      <c r="BC918">
        <v>124</v>
      </c>
      <c r="BD918" t="s">
        <v>74</v>
      </c>
      <c r="BE918" t="s">
        <v>16820</v>
      </c>
      <c r="BF918" t="str">
        <f>HYPERLINK("http://dx.doi.org/10.1016/j.margeo.2013.02.003","http://dx.doi.org/10.1016/j.margeo.2013.02.003")</f>
        <v>http://dx.doi.org/10.1016/j.margeo.2013.02.003</v>
      </c>
      <c r="BG918" t="s">
        <v>74</v>
      </c>
      <c r="BH918" t="s">
        <v>74</v>
      </c>
      <c r="BI918">
        <v>13</v>
      </c>
      <c r="BJ918" t="s">
        <v>3425</v>
      </c>
      <c r="BK918" t="s">
        <v>102</v>
      </c>
      <c r="BL918" t="s">
        <v>3426</v>
      </c>
      <c r="BM918" t="s">
        <v>16821</v>
      </c>
      <c r="BN918" t="s">
        <v>74</v>
      </c>
      <c r="BO918" t="s">
        <v>74</v>
      </c>
      <c r="BP918" t="s">
        <v>74</v>
      </c>
      <c r="BQ918" t="s">
        <v>74</v>
      </c>
      <c r="BR918" t="s">
        <v>105</v>
      </c>
      <c r="BS918" t="s">
        <v>16822</v>
      </c>
      <c r="BT918" t="str">
        <f>HYPERLINK("https%3A%2F%2Fwww.webofscience.com%2Fwos%2Fwoscc%2Ffull-record%2FWOS:000320085400009","View Full Record in Web of Science")</f>
        <v>View Full Record in Web of Science</v>
      </c>
    </row>
    <row r="919" spans="1:72" x14ac:dyDescent="0.15">
      <c r="A919" t="s">
        <v>72</v>
      </c>
      <c r="B919" t="s">
        <v>16823</v>
      </c>
      <c r="C919" t="s">
        <v>74</v>
      </c>
      <c r="D919" t="s">
        <v>74</v>
      </c>
      <c r="E919" t="s">
        <v>74</v>
      </c>
      <c r="F919" t="s">
        <v>16824</v>
      </c>
      <c r="G919" t="s">
        <v>74</v>
      </c>
      <c r="H919" t="s">
        <v>74</v>
      </c>
      <c r="I919" t="s">
        <v>16825</v>
      </c>
      <c r="J919" t="s">
        <v>1838</v>
      </c>
      <c r="K919" t="s">
        <v>74</v>
      </c>
      <c r="L919" t="s">
        <v>74</v>
      </c>
      <c r="M919" t="s">
        <v>78</v>
      </c>
      <c r="N919" t="s">
        <v>254</v>
      </c>
      <c r="O919" t="s">
        <v>74</v>
      </c>
      <c r="P919" t="s">
        <v>74</v>
      </c>
      <c r="Q919" t="s">
        <v>74</v>
      </c>
      <c r="R919" t="s">
        <v>74</v>
      </c>
      <c r="S919" t="s">
        <v>74</v>
      </c>
      <c r="T919" t="s">
        <v>74</v>
      </c>
      <c r="U919" t="s">
        <v>16826</v>
      </c>
      <c r="V919" t="s">
        <v>74</v>
      </c>
      <c r="W919" t="s">
        <v>16827</v>
      </c>
      <c r="X919" t="s">
        <v>16828</v>
      </c>
      <c r="Y919" t="s">
        <v>14526</v>
      </c>
      <c r="Z919" t="s">
        <v>14527</v>
      </c>
      <c r="AA919" t="s">
        <v>16829</v>
      </c>
      <c r="AB919" t="s">
        <v>16830</v>
      </c>
      <c r="AC919" t="s">
        <v>16831</v>
      </c>
      <c r="AD919" t="s">
        <v>1304</v>
      </c>
      <c r="AE919" t="s">
        <v>74</v>
      </c>
      <c r="AF919" t="s">
        <v>74</v>
      </c>
      <c r="AG919">
        <v>9</v>
      </c>
      <c r="AH919">
        <v>27</v>
      </c>
      <c r="AI919">
        <v>29</v>
      </c>
      <c r="AJ919">
        <v>0</v>
      </c>
      <c r="AK919">
        <v>16</v>
      </c>
      <c r="AL919" t="s">
        <v>670</v>
      </c>
      <c r="AM919" t="s">
        <v>391</v>
      </c>
      <c r="AN919" t="s">
        <v>3747</v>
      </c>
      <c r="AO919" t="s">
        <v>1853</v>
      </c>
      <c r="AP919" t="s">
        <v>1854</v>
      </c>
      <c r="AQ919" t="s">
        <v>74</v>
      </c>
      <c r="AR919" t="s">
        <v>1855</v>
      </c>
      <c r="AS919" t="s">
        <v>1856</v>
      </c>
      <c r="AT919" t="s">
        <v>14886</v>
      </c>
      <c r="AU919">
        <v>2013</v>
      </c>
      <c r="AV919">
        <v>6</v>
      </c>
      <c r="AW919">
        <v>3</v>
      </c>
      <c r="AX919" t="s">
        <v>74</v>
      </c>
      <c r="AY919" t="s">
        <v>74</v>
      </c>
      <c r="AZ919" t="s">
        <v>74</v>
      </c>
      <c r="BA919" t="s">
        <v>74</v>
      </c>
      <c r="BB919">
        <v>166</v>
      </c>
      <c r="BC919">
        <v>167</v>
      </c>
      <c r="BD919" t="s">
        <v>74</v>
      </c>
      <c r="BE919" t="s">
        <v>16832</v>
      </c>
      <c r="BF919" t="str">
        <f>HYPERLINK("http://dx.doi.org/10.1038/ngeo1743","http://dx.doi.org/10.1038/ngeo1743")</f>
        <v>http://dx.doi.org/10.1038/ngeo1743</v>
      </c>
      <c r="BG919" t="s">
        <v>74</v>
      </c>
      <c r="BH919" t="s">
        <v>74</v>
      </c>
      <c r="BI919">
        <v>2</v>
      </c>
      <c r="BJ919" t="s">
        <v>1426</v>
      </c>
      <c r="BK919" t="s">
        <v>102</v>
      </c>
      <c r="BL919" t="s">
        <v>219</v>
      </c>
      <c r="BM919" t="s">
        <v>15250</v>
      </c>
      <c r="BN919" t="s">
        <v>74</v>
      </c>
      <c r="BO919" t="s">
        <v>74</v>
      </c>
      <c r="BP919" t="s">
        <v>74</v>
      </c>
      <c r="BQ919" t="s">
        <v>74</v>
      </c>
      <c r="BR919" t="s">
        <v>105</v>
      </c>
      <c r="BS919" t="s">
        <v>16833</v>
      </c>
      <c r="BT919" t="str">
        <f>HYPERLINK("https%3A%2F%2Fwww.webofscience.com%2Fwos%2Fwoscc%2Ffull-record%2FWOS:000316945800012","View Full Record in Web of Science")</f>
        <v>View Full Record in Web of Science</v>
      </c>
    </row>
    <row r="920" spans="1:72" x14ac:dyDescent="0.15">
      <c r="A920" t="s">
        <v>72</v>
      </c>
      <c r="B920" t="s">
        <v>16834</v>
      </c>
      <c r="C920" t="s">
        <v>74</v>
      </c>
      <c r="D920" t="s">
        <v>74</v>
      </c>
      <c r="E920" t="s">
        <v>74</v>
      </c>
      <c r="F920" t="s">
        <v>16835</v>
      </c>
      <c r="G920" t="s">
        <v>74</v>
      </c>
      <c r="H920" t="s">
        <v>74</v>
      </c>
      <c r="I920" t="s">
        <v>16836</v>
      </c>
      <c r="J920" t="s">
        <v>1838</v>
      </c>
      <c r="K920" t="s">
        <v>74</v>
      </c>
      <c r="L920" t="s">
        <v>74</v>
      </c>
      <c r="M920" t="s">
        <v>78</v>
      </c>
      <c r="N920" t="s">
        <v>79</v>
      </c>
      <c r="O920" t="s">
        <v>74</v>
      </c>
      <c r="P920" t="s">
        <v>74</v>
      </c>
      <c r="Q920" t="s">
        <v>74</v>
      </c>
      <c r="R920" t="s">
        <v>74</v>
      </c>
      <c r="S920" t="s">
        <v>74</v>
      </c>
      <c r="T920" t="s">
        <v>74</v>
      </c>
      <c r="U920" t="s">
        <v>16837</v>
      </c>
      <c r="V920" t="s">
        <v>16838</v>
      </c>
      <c r="W920" t="s">
        <v>16839</v>
      </c>
      <c r="X920" t="s">
        <v>16840</v>
      </c>
      <c r="Y920" t="s">
        <v>16841</v>
      </c>
      <c r="Z920" t="s">
        <v>16842</v>
      </c>
      <c r="AA920" t="s">
        <v>16843</v>
      </c>
      <c r="AB920" t="s">
        <v>16844</v>
      </c>
      <c r="AC920" t="s">
        <v>16845</v>
      </c>
      <c r="AD920" t="s">
        <v>2050</v>
      </c>
      <c r="AE920" t="s">
        <v>16846</v>
      </c>
      <c r="AF920" t="s">
        <v>74</v>
      </c>
      <c r="AG920">
        <v>30</v>
      </c>
      <c r="AH920">
        <v>44</v>
      </c>
      <c r="AI920">
        <v>49</v>
      </c>
      <c r="AJ920">
        <v>2</v>
      </c>
      <c r="AK920">
        <v>60</v>
      </c>
      <c r="AL920" t="s">
        <v>670</v>
      </c>
      <c r="AM920" t="s">
        <v>391</v>
      </c>
      <c r="AN920" t="s">
        <v>3747</v>
      </c>
      <c r="AO920" t="s">
        <v>1853</v>
      </c>
      <c r="AP920" t="s">
        <v>1854</v>
      </c>
      <c r="AQ920" t="s">
        <v>74</v>
      </c>
      <c r="AR920" t="s">
        <v>1855</v>
      </c>
      <c r="AS920" t="s">
        <v>1856</v>
      </c>
      <c r="AT920" t="s">
        <v>14886</v>
      </c>
      <c r="AU920">
        <v>2013</v>
      </c>
      <c r="AV920">
        <v>6</v>
      </c>
      <c r="AW920">
        <v>3</v>
      </c>
      <c r="AX920" t="s">
        <v>74</v>
      </c>
      <c r="AY920" t="s">
        <v>74</v>
      </c>
      <c r="AZ920" t="s">
        <v>74</v>
      </c>
      <c r="BA920" t="s">
        <v>74</v>
      </c>
      <c r="BB920">
        <v>199</v>
      </c>
      <c r="BC920">
        <v>202</v>
      </c>
      <c r="BD920" t="s">
        <v>74</v>
      </c>
      <c r="BE920" t="s">
        <v>16847</v>
      </c>
      <c r="BF920" t="str">
        <f>HYPERLINK("http://dx.doi.org/10.1038/ngeo1703","http://dx.doi.org/10.1038/ngeo1703")</f>
        <v>http://dx.doi.org/10.1038/ngeo1703</v>
      </c>
      <c r="BG920" t="s">
        <v>74</v>
      </c>
      <c r="BH920" t="s">
        <v>74</v>
      </c>
      <c r="BI920">
        <v>4</v>
      </c>
      <c r="BJ920" t="s">
        <v>1426</v>
      </c>
      <c r="BK920" t="s">
        <v>102</v>
      </c>
      <c r="BL920" t="s">
        <v>219</v>
      </c>
      <c r="BM920" t="s">
        <v>15250</v>
      </c>
      <c r="BN920" t="s">
        <v>74</v>
      </c>
      <c r="BO920" t="s">
        <v>1428</v>
      </c>
      <c r="BP920" t="s">
        <v>74</v>
      </c>
      <c r="BQ920" t="s">
        <v>74</v>
      </c>
      <c r="BR920" t="s">
        <v>105</v>
      </c>
      <c r="BS920" t="s">
        <v>16848</v>
      </c>
      <c r="BT920" t="str">
        <f>HYPERLINK("https%3A%2F%2Fwww.webofscience.com%2Fwos%2Fwoscc%2Ffull-record%2FWOS:000316945800020","View Full Record in Web of Science")</f>
        <v>View Full Record in Web of Science</v>
      </c>
    </row>
    <row r="921" spans="1:72" x14ac:dyDescent="0.15">
      <c r="A921" t="s">
        <v>72</v>
      </c>
      <c r="B921" t="s">
        <v>16849</v>
      </c>
      <c r="C921" t="s">
        <v>74</v>
      </c>
      <c r="D921" t="s">
        <v>74</v>
      </c>
      <c r="E921" t="s">
        <v>74</v>
      </c>
      <c r="F921" t="s">
        <v>16850</v>
      </c>
      <c r="G921" t="s">
        <v>74</v>
      </c>
      <c r="H921" t="s">
        <v>74</v>
      </c>
      <c r="I921" t="s">
        <v>16851</v>
      </c>
      <c r="J921" t="s">
        <v>16852</v>
      </c>
      <c r="K921" t="s">
        <v>74</v>
      </c>
      <c r="L921" t="s">
        <v>74</v>
      </c>
      <c r="M921" t="s">
        <v>78</v>
      </c>
      <c r="N921" t="s">
        <v>79</v>
      </c>
      <c r="O921" t="s">
        <v>74</v>
      </c>
      <c r="P921" t="s">
        <v>74</v>
      </c>
      <c r="Q921" t="s">
        <v>74</v>
      </c>
      <c r="R921" t="s">
        <v>74</v>
      </c>
      <c r="S921" t="s">
        <v>74</v>
      </c>
      <c r="T921" t="s">
        <v>16853</v>
      </c>
      <c r="U921" t="s">
        <v>16854</v>
      </c>
      <c r="V921" t="s">
        <v>16855</v>
      </c>
      <c r="W921" t="s">
        <v>16856</v>
      </c>
      <c r="X921" t="s">
        <v>16857</v>
      </c>
      <c r="Y921" t="s">
        <v>16567</v>
      </c>
      <c r="Z921" t="s">
        <v>16568</v>
      </c>
      <c r="AA921" t="s">
        <v>16858</v>
      </c>
      <c r="AB921" t="s">
        <v>16859</v>
      </c>
      <c r="AC921" t="s">
        <v>16860</v>
      </c>
      <c r="AD921" t="s">
        <v>16861</v>
      </c>
      <c r="AE921" t="s">
        <v>16862</v>
      </c>
      <c r="AF921" t="s">
        <v>74</v>
      </c>
      <c r="AG921">
        <v>38</v>
      </c>
      <c r="AH921">
        <v>11</v>
      </c>
      <c r="AI921">
        <v>14</v>
      </c>
      <c r="AJ921">
        <v>1</v>
      </c>
      <c r="AK921">
        <v>54</v>
      </c>
      <c r="AL921" t="s">
        <v>368</v>
      </c>
      <c r="AM921" t="s">
        <v>369</v>
      </c>
      <c r="AN921" t="s">
        <v>370</v>
      </c>
      <c r="AO921" t="s">
        <v>16863</v>
      </c>
      <c r="AP921" t="s">
        <v>16864</v>
      </c>
      <c r="AQ921" t="s">
        <v>74</v>
      </c>
      <c r="AR921" t="s">
        <v>16865</v>
      </c>
      <c r="AS921" t="s">
        <v>16866</v>
      </c>
      <c r="AT921" t="s">
        <v>14886</v>
      </c>
      <c r="AU921">
        <v>2013</v>
      </c>
      <c r="AV921">
        <v>197</v>
      </c>
      <c r="AW921">
        <v>4</v>
      </c>
      <c r="AX921" t="s">
        <v>74</v>
      </c>
      <c r="AY921" t="s">
        <v>74</v>
      </c>
      <c r="AZ921" t="s">
        <v>74</v>
      </c>
      <c r="BA921" t="s">
        <v>74</v>
      </c>
      <c r="BB921">
        <v>1152</v>
      </c>
      <c r="BC921">
        <v>1160</v>
      </c>
      <c r="BD921" t="s">
        <v>74</v>
      </c>
      <c r="BE921" t="s">
        <v>16867</v>
      </c>
      <c r="BF921" t="str">
        <f>HYPERLINK("http://dx.doi.org/10.1111/nph.12114","http://dx.doi.org/10.1111/nph.12114")</f>
        <v>http://dx.doi.org/10.1111/nph.12114</v>
      </c>
      <c r="BG921" t="s">
        <v>74</v>
      </c>
      <c r="BH921" t="s">
        <v>74</v>
      </c>
      <c r="BI921">
        <v>9</v>
      </c>
      <c r="BJ921" t="s">
        <v>3795</v>
      </c>
      <c r="BK921" t="s">
        <v>102</v>
      </c>
      <c r="BL921" t="s">
        <v>3795</v>
      </c>
      <c r="BM921" t="s">
        <v>16868</v>
      </c>
      <c r="BN921">
        <v>23311300</v>
      </c>
      <c r="BO921" t="s">
        <v>104</v>
      </c>
      <c r="BP921" t="s">
        <v>74</v>
      </c>
      <c r="BQ921" t="s">
        <v>74</v>
      </c>
      <c r="BR921" t="s">
        <v>105</v>
      </c>
      <c r="BS921" t="s">
        <v>16869</v>
      </c>
      <c r="BT921" t="str">
        <f>HYPERLINK("https%3A%2F%2Fwww.webofscience.com%2Fwos%2Fwoscc%2Ffull-record%2FWOS:000314656200015","View Full Record in Web of Science")</f>
        <v>View Full Record in Web of Science</v>
      </c>
    </row>
    <row r="922" spans="1:72" x14ac:dyDescent="0.15">
      <c r="A922" t="s">
        <v>72</v>
      </c>
      <c r="B922" t="s">
        <v>16870</v>
      </c>
      <c r="C922" t="s">
        <v>74</v>
      </c>
      <c r="D922" t="s">
        <v>74</v>
      </c>
      <c r="E922" t="s">
        <v>74</v>
      </c>
      <c r="F922" t="s">
        <v>16871</v>
      </c>
      <c r="G922" t="s">
        <v>74</v>
      </c>
      <c r="H922" t="s">
        <v>74</v>
      </c>
      <c r="I922" t="s">
        <v>16872</v>
      </c>
      <c r="J922" t="s">
        <v>5670</v>
      </c>
      <c r="K922" t="s">
        <v>74</v>
      </c>
      <c r="L922" t="s">
        <v>74</v>
      </c>
      <c r="M922" t="s">
        <v>78</v>
      </c>
      <c r="N922" t="s">
        <v>79</v>
      </c>
      <c r="O922" t="s">
        <v>74</v>
      </c>
      <c r="P922" t="s">
        <v>74</v>
      </c>
      <c r="Q922" t="s">
        <v>74</v>
      </c>
      <c r="R922" t="s">
        <v>74</v>
      </c>
      <c r="S922" t="s">
        <v>74</v>
      </c>
      <c r="T922" t="s">
        <v>74</v>
      </c>
      <c r="U922" t="s">
        <v>16873</v>
      </c>
      <c r="V922" t="s">
        <v>16874</v>
      </c>
      <c r="W922" t="s">
        <v>16875</v>
      </c>
      <c r="X922" t="s">
        <v>16876</v>
      </c>
      <c r="Y922" t="s">
        <v>16877</v>
      </c>
      <c r="Z922" t="s">
        <v>16878</v>
      </c>
      <c r="AA922" t="s">
        <v>74</v>
      </c>
      <c r="AB922" t="s">
        <v>16879</v>
      </c>
      <c r="AC922" t="s">
        <v>16880</v>
      </c>
      <c r="AD922" t="s">
        <v>16881</v>
      </c>
      <c r="AE922" t="s">
        <v>16882</v>
      </c>
      <c r="AF922" t="s">
        <v>74</v>
      </c>
      <c r="AG922">
        <v>57</v>
      </c>
      <c r="AH922">
        <v>492</v>
      </c>
      <c r="AI922">
        <v>552</v>
      </c>
      <c r="AJ922">
        <v>13</v>
      </c>
      <c r="AK922">
        <v>224</v>
      </c>
      <c r="AL922" t="s">
        <v>5679</v>
      </c>
      <c r="AM922" t="s">
        <v>5680</v>
      </c>
      <c r="AN922" t="s">
        <v>5681</v>
      </c>
      <c r="AO922" t="s">
        <v>5682</v>
      </c>
      <c r="AP922" t="s">
        <v>74</v>
      </c>
      <c r="AQ922" t="s">
        <v>74</v>
      </c>
      <c r="AR922" t="s">
        <v>5670</v>
      </c>
      <c r="AS922" t="s">
        <v>327</v>
      </c>
      <c r="AT922" t="s">
        <v>14886</v>
      </c>
      <c r="AU922">
        <v>2013</v>
      </c>
      <c r="AV922">
        <v>26</v>
      </c>
      <c r="AW922">
        <v>1</v>
      </c>
      <c r="AX922" t="s">
        <v>74</v>
      </c>
      <c r="AY922" t="s">
        <v>74</v>
      </c>
      <c r="AZ922" t="s">
        <v>74</v>
      </c>
      <c r="BA922" t="s">
        <v>74</v>
      </c>
      <c r="BB922">
        <v>80</v>
      </c>
      <c r="BC922">
        <v>97</v>
      </c>
      <c r="BD922" t="s">
        <v>74</v>
      </c>
      <c r="BE922" t="s">
        <v>16883</v>
      </c>
      <c r="BF922" t="str">
        <f>HYPERLINK("http://dx.doi.org/10.5670/oceanog.2013.07","http://dx.doi.org/10.5670/oceanog.2013.07")</f>
        <v>http://dx.doi.org/10.5670/oceanog.2013.07</v>
      </c>
      <c r="BG922" t="s">
        <v>74</v>
      </c>
      <c r="BH922" t="s">
        <v>74</v>
      </c>
      <c r="BI922">
        <v>18</v>
      </c>
      <c r="BJ922" t="s">
        <v>327</v>
      </c>
      <c r="BK922" t="s">
        <v>102</v>
      </c>
      <c r="BL922" t="s">
        <v>327</v>
      </c>
      <c r="BM922" t="s">
        <v>16884</v>
      </c>
      <c r="BN922" t="s">
        <v>74</v>
      </c>
      <c r="BO922" t="s">
        <v>2917</v>
      </c>
      <c r="BP922" t="s">
        <v>2451</v>
      </c>
      <c r="BQ922" t="s">
        <v>2452</v>
      </c>
      <c r="BR922" t="s">
        <v>105</v>
      </c>
      <c r="BS922" t="s">
        <v>16885</v>
      </c>
      <c r="BT922" t="str">
        <f>HYPERLINK("https%3A%2F%2Fwww.webofscience.com%2Fwos%2Fwoscc%2Ffull-record%2FWOS:000317530100014","View Full Record in Web of Science")</f>
        <v>View Full Record in Web of Science</v>
      </c>
    </row>
    <row r="923" spans="1:72" x14ac:dyDescent="0.15">
      <c r="A923" t="s">
        <v>72</v>
      </c>
      <c r="B923" t="s">
        <v>16886</v>
      </c>
      <c r="C923" t="s">
        <v>74</v>
      </c>
      <c r="D923" t="s">
        <v>74</v>
      </c>
      <c r="E923" t="s">
        <v>74</v>
      </c>
      <c r="F923" t="s">
        <v>16887</v>
      </c>
      <c r="G923" t="s">
        <v>74</v>
      </c>
      <c r="H923" t="s">
        <v>74</v>
      </c>
      <c r="I923" t="s">
        <v>16888</v>
      </c>
      <c r="J923" t="s">
        <v>16889</v>
      </c>
      <c r="K923" t="s">
        <v>74</v>
      </c>
      <c r="L923" t="s">
        <v>74</v>
      </c>
      <c r="M923" t="s">
        <v>78</v>
      </c>
      <c r="N923" t="s">
        <v>79</v>
      </c>
      <c r="O923" t="s">
        <v>74</v>
      </c>
      <c r="P923" t="s">
        <v>74</v>
      </c>
      <c r="Q923" t="s">
        <v>74</v>
      </c>
      <c r="R923" t="s">
        <v>74</v>
      </c>
      <c r="S923" t="s">
        <v>74</v>
      </c>
      <c r="T923" t="s">
        <v>74</v>
      </c>
      <c r="U923" t="s">
        <v>16890</v>
      </c>
      <c r="V923" t="s">
        <v>16891</v>
      </c>
      <c r="W923" t="s">
        <v>16892</v>
      </c>
      <c r="X923" t="s">
        <v>15568</v>
      </c>
      <c r="Y923" t="s">
        <v>16893</v>
      </c>
      <c r="Z923" t="s">
        <v>16894</v>
      </c>
      <c r="AA923" t="s">
        <v>16895</v>
      </c>
      <c r="AB923" t="s">
        <v>74</v>
      </c>
      <c r="AC923" t="s">
        <v>16896</v>
      </c>
      <c r="AD923" t="s">
        <v>16897</v>
      </c>
      <c r="AE923" t="s">
        <v>16898</v>
      </c>
      <c r="AF923" t="s">
        <v>74</v>
      </c>
      <c r="AG923">
        <v>51</v>
      </c>
      <c r="AH923">
        <v>25</v>
      </c>
      <c r="AI923">
        <v>27</v>
      </c>
      <c r="AJ923">
        <v>1</v>
      </c>
      <c r="AK923">
        <v>39</v>
      </c>
      <c r="AL923" t="s">
        <v>731</v>
      </c>
      <c r="AM923" t="s">
        <v>732</v>
      </c>
      <c r="AN923" t="s">
        <v>733</v>
      </c>
      <c r="AO923" t="s">
        <v>16899</v>
      </c>
      <c r="AP923" t="s">
        <v>16900</v>
      </c>
      <c r="AQ923" t="s">
        <v>74</v>
      </c>
      <c r="AR923" t="s">
        <v>16901</v>
      </c>
      <c r="AS923" t="s">
        <v>16902</v>
      </c>
      <c r="AT923" t="s">
        <v>15141</v>
      </c>
      <c r="AU923">
        <v>2013</v>
      </c>
      <c r="AV923">
        <v>86</v>
      </c>
      <c r="AW923">
        <v>2</v>
      </c>
      <c r="AX923" t="s">
        <v>74</v>
      </c>
      <c r="AY923" t="s">
        <v>74</v>
      </c>
      <c r="AZ923" t="s">
        <v>74</v>
      </c>
      <c r="BA923" t="s">
        <v>74</v>
      </c>
      <c r="BB923">
        <v>233</v>
      </c>
      <c r="BC923">
        <v>244</v>
      </c>
      <c r="BD923" t="s">
        <v>74</v>
      </c>
      <c r="BE923" t="s">
        <v>16903</v>
      </c>
      <c r="BF923" t="str">
        <f>HYPERLINK("http://dx.doi.org/10.1086/669538","http://dx.doi.org/10.1086/669538")</f>
        <v>http://dx.doi.org/10.1086/669538</v>
      </c>
      <c r="BG923" t="s">
        <v>74</v>
      </c>
      <c r="BH923" t="s">
        <v>74</v>
      </c>
      <c r="BI923">
        <v>12</v>
      </c>
      <c r="BJ923" t="s">
        <v>13821</v>
      </c>
      <c r="BK923" t="s">
        <v>102</v>
      </c>
      <c r="BL923" t="s">
        <v>13821</v>
      </c>
      <c r="BM923" t="s">
        <v>16904</v>
      </c>
      <c r="BN923">
        <v>23434783</v>
      </c>
      <c r="BO923" t="s">
        <v>74</v>
      </c>
      <c r="BP923" t="s">
        <v>74</v>
      </c>
      <c r="BQ923" t="s">
        <v>74</v>
      </c>
      <c r="BR923" t="s">
        <v>105</v>
      </c>
      <c r="BS923" t="s">
        <v>16905</v>
      </c>
      <c r="BT923" t="str">
        <f>HYPERLINK("https%3A%2F%2Fwww.webofscience.com%2Fwos%2Fwoscc%2Ffull-record%2FWOS:000315333600008","View Full Record in Web of Science")</f>
        <v>View Full Record in Web of Science</v>
      </c>
    </row>
    <row r="924" spans="1:72" x14ac:dyDescent="0.15">
      <c r="A924" t="s">
        <v>72</v>
      </c>
      <c r="B924" t="s">
        <v>16906</v>
      </c>
      <c r="C924" t="s">
        <v>74</v>
      </c>
      <c r="D924" t="s">
        <v>74</v>
      </c>
      <c r="E924" t="s">
        <v>74</v>
      </c>
      <c r="F924" t="s">
        <v>16907</v>
      </c>
      <c r="G924" t="s">
        <v>74</v>
      </c>
      <c r="H924" t="s">
        <v>74</v>
      </c>
      <c r="I924" t="s">
        <v>16908</v>
      </c>
      <c r="J924" t="s">
        <v>16909</v>
      </c>
      <c r="K924" t="s">
        <v>74</v>
      </c>
      <c r="L924" t="s">
        <v>74</v>
      </c>
      <c r="M924" t="s">
        <v>78</v>
      </c>
      <c r="N924" t="s">
        <v>1459</v>
      </c>
      <c r="O924" t="s">
        <v>74</v>
      </c>
      <c r="P924" t="s">
        <v>74</v>
      </c>
      <c r="Q924" t="s">
        <v>74</v>
      </c>
      <c r="R924" t="s">
        <v>74</v>
      </c>
      <c r="S924" t="s">
        <v>74</v>
      </c>
      <c r="T924" t="s">
        <v>16910</v>
      </c>
      <c r="U924" t="s">
        <v>16911</v>
      </c>
      <c r="V924" t="s">
        <v>16912</v>
      </c>
      <c r="W924" t="s">
        <v>16913</v>
      </c>
      <c r="X924" t="s">
        <v>16914</v>
      </c>
      <c r="Y924" t="s">
        <v>16915</v>
      </c>
      <c r="Z924" t="s">
        <v>16916</v>
      </c>
      <c r="AA924" t="s">
        <v>74</v>
      </c>
      <c r="AB924" t="s">
        <v>74</v>
      </c>
      <c r="AC924" t="s">
        <v>74</v>
      </c>
      <c r="AD924" t="s">
        <v>74</v>
      </c>
      <c r="AE924" t="s">
        <v>74</v>
      </c>
      <c r="AF924" t="s">
        <v>74</v>
      </c>
      <c r="AG924">
        <v>29</v>
      </c>
      <c r="AH924">
        <v>13</v>
      </c>
      <c r="AI924">
        <v>14</v>
      </c>
      <c r="AJ924">
        <v>0</v>
      </c>
      <c r="AK924">
        <v>47</v>
      </c>
      <c r="AL924" t="s">
        <v>16917</v>
      </c>
      <c r="AM924" t="s">
        <v>643</v>
      </c>
      <c r="AN924" t="s">
        <v>16918</v>
      </c>
      <c r="AO924" t="s">
        <v>16919</v>
      </c>
      <c r="AP924" t="s">
        <v>16920</v>
      </c>
      <c r="AQ924" t="s">
        <v>74</v>
      </c>
      <c r="AR924" t="s">
        <v>16909</v>
      </c>
      <c r="AS924" t="s">
        <v>16921</v>
      </c>
      <c r="AT924" t="s">
        <v>14886</v>
      </c>
      <c r="AU924">
        <v>2013</v>
      </c>
      <c r="AV924">
        <v>34</v>
      </c>
      <c r="AW924" t="s">
        <v>74</v>
      </c>
      <c r="AX924" t="s">
        <v>74</v>
      </c>
      <c r="AY924" t="s">
        <v>16922</v>
      </c>
      <c r="AZ924" t="s">
        <v>74</v>
      </c>
      <c r="BA924" t="s">
        <v>74</v>
      </c>
      <c r="BB924" t="s">
        <v>16923</v>
      </c>
      <c r="BC924" t="s">
        <v>16924</v>
      </c>
      <c r="BD924" t="s">
        <v>74</v>
      </c>
      <c r="BE924" t="s">
        <v>16925</v>
      </c>
      <c r="BF924" t="str">
        <f>HYPERLINK("http://dx.doi.org/10.1016/j.placenta.2012.11.021","http://dx.doi.org/10.1016/j.placenta.2012.11.021")</f>
        <v>http://dx.doi.org/10.1016/j.placenta.2012.11.021</v>
      </c>
      <c r="BG924" t="s">
        <v>74</v>
      </c>
      <c r="BH924" t="s">
        <v>74</v>
      </c>
      <c r="BI924">
        <v>7</v>
      </c>
      <c r="BJ924" t="s">
        <v>16926</v>
      </c>
      <c r="BK924" t="s">
        <v>102</v>
      </c>
      <c r="BL924" t="s">
        <v>16926</v>
      </c>
      <c r="BM924" t="s">
        <v>16927</v>
      </c>
      <c r="BN924">
        <v>23332416</v>
      </c>
      <c r="BO924" t="s">
        <v>74</v>
      </c>
      <c r="BP924" t="s">
        <v>74</v>
      </c>
      <c r="BQ924" t="s">
        <v>74</v>
      </c>
      <c r="BR924" t="s">
        <v>105</v>
      </c>
      <c r="BS924" t="s">
        <v>16928</v>
      </c>
      <c r="BT924" t="str">
        <f>HYPERLINK("https%3A%2F%2Fwww.webofscience.com%2Fwos%2Fwoscc%2Ffull-record%2FWOS:000317315100006","View Full Record in Web of Science")</f>
        <v>View Full Record in Web of Science</v>
      </c>
    </row>
    <row r="925" spans="1:72" x14ac:dyDescent="0.15">
      <c r="A925" t="s">
        <v>72</v>
      </c>
      <c r="B925" t="s">
        <v>16929</v>
      </c>
      <c r="C925" t="s">
        <v>74</v>
      </c>
      <c r="D925" t="s">
        <v>74</v>
      </c>
      <c r="E925" t="s">
        <v>74</v>
      </c>
      <c r="F925" t="s">
        <v>16930</v>
      </c>
      <c r="G925" t="s">
        <v>74</v>
      </c>
      <c r="H925" t="s">
        <v>74</v>
      </c>
      <c r="I925" t="s">
        <v>16931</v>
      </c>
      <c r="J925" t="s">
        <v>16932</v>
      </c>
      <c r="K925" t="s">
        <v>74</v>
      </c>
      <c r="L925" t="s">
        <v>74</v>
      </c>
      <c r="M925" t="s">
        <v>78</v>
      </c>
      <c r="N925" t="s">
        <v>79</v>
      </c>
      <c r="O925" t="s">
        <v>74</v>
      </c>
      <c r="P925" t="s">
        <v>74</v>
      </c>
      <c r="Q925" t="s">
        <v>74</v>
      </c>
      <c r="R925" t="s">
        <v>74</v>
      </c>
      <c r="S925" t="s">
        <v>74</v>
      </c>
      <c r="T925" t="s">
        <v>16933</v>
      </c>
      <c r="U925" t="s">
        <v>16934</v>
      </c>
      <c r="V925" t="s">
        <v>16935</v>
      </c>
      <c r="W925" t="s">
        <v>16936</v>
      </c>
      <c r="X925" t="s">
        <v>16937</v>
      </c>
      <c r="Y925" t="s">
        <v>16938</v>
      </c>
      <c r="Z925" t="s">
        <v>16939</v>
      </c>
      <c r="AA925" t="s">
        <v>16940</v>
      </c>
      <c r="AB925" t="s">
        <v>16941</v>
      </c>
      <c r="AC925" t="s">
        <v>16942</v>
      </c>
      <c r="AD925" t="s">
        <v>16943</v>
      </c>
      <c r="AE925" t="s">
        <v>16944</v>
      </c>
      <c r="AF925" t="s">
        <v>74</v>
      </c>
      <c r="AG925">
        <v>90</v>
      </c>
      <c r="AH925">
        <v>27</v>
      </c>
      <c r="AI925">
        <v>36</v>
      </c>
      <c r="AJ925">
        <v>0</v>
      </c>
      <c r="AK925">
        <v>75</v>
      </c>
      <c r="AL925" t="s">
        <v>1080</v>
      </c>
      <c r="AM925" t="s">
        <v>1081</v>
      </c>
      <c r="AN925" t="s">
        <v>1082</v>
      </c>
      <c r="AO925" t="s">
        <v>16945</v>
      </c>
      <c r="AP925" t="s">
        <v>16946</v>
      </c>
      <c r="AQ925" t="s">
        <v>74</v>
      </c>
      <c r="AR925" t="s">
        <v>16947</v>
      </c>
      <c r="AS925" t="s">
        <v>16948</v>
      </c>
      <c r="AT925" t="s">
        <v>15214</v>
      </c>
      <c r="AU925">
        <v>2013</v>
      </c>
      <c r="AV925">
        <v>147</v>
      </c>
      <c r="AW925">
        <v>1</v>
      </c>
      <c r="AX925" t="s">
        <v>74</v>
      </c>
      <c r="AY925" t="s">
        <v>74</v>
      </c>
      <c r="AZ925" t="s">
        <v>74</v>
      </c>
      <c r="BA925" t="s">
        <v>74</v>
      </c>
      <c r="BB925">
        <v>247</v>
      </c>
      <c r="BC925">
        <v>258</v>
      </c>
      <c r="BD925" t="s">
        <v>74</v>
      </c>
      <c r="BE925" t="s">
        <v>16949</v>
      </c>
      <c r="BF925" t="str">
        <f>HYPERLINK("http://dx.doi.org/10.1080/11263504.2012.753135","http://dx.doi.org/10.1080/11263504.2012.753135")</f>
        <v>http://dx.doi.org/10.1080/11263504.2012.753135</v>
      </c>
      <c r="BG925" t="s">
        <v>74</v>
      </c>
      <c r="BH925" t="s">
        <v>74</v>
      </c>
      <c r="BI925">
        <v>12</v>
      </c>
      <c r="BJ925" t="s">
        <v>3795</v>
      </c>
      <c r="BK925" t="s">
        <v>102</v>
      </c>
      <c r="BL925" t="s">
        <v>3795</v>
      </c>
      <c r="BM925" t="s">
        <v>16950</v>
      </c>
      <c r="BN925" t="s">
        <v>74</v>
      </c>
      <c r="BO925" t="s">
        <v>1014</v>
      </c>
      <c r="BP925" t="s">
        <v>74</v>
      </c>
      <c r="BQ925" t="s">
        <v>74</v>
      </c>
      <c r="BR925" t="s">
        <v>105</v>
      </c>
      <c r="BS925" t="s">
        <v>16951</v>
      </c>
      <c r="BT925" t="str">
        <f>HYPERLINK("https%3A%2F%2Fwww.webofscience.com%2Fwos%2Fwoscc%2Ffull-record%2FWOS:000317268600026","View Full Record in Web of Science")</f>
        <v>View Full Record in Web of Science</v>
      </c>
    </row>
    <row r="926" spans="1:72" x14ac:dyDescent="0.15">
      <c r="A926" t="s">
        <v>72</v>
      </c>
      <c r="B926" t="s">
        <v>16952</v>
      </c>
      <c r="C926" t="s">
        <v>74</v>
      </c>
      <c r="D926" t="s">
        <v>74</v>
      </c>
      <c r="E926" t="s">
        <v>74</v>
      </c>
      <c r="F926" t="s">
        <v>16953</v>
      </c>
      <c r="G926" t="s">
        <v>74</v>
      </c>
      <c r="H926" t="s">
        <v>74</v>
      </c>
      <c r="I926" t="s">
        <v>16954</v>
      </c>
      <c r="J926" t="s">
        <v>3345</v>
      </c>
      <c r="K926" t="s">
        <v>74</v>
      </c>
      <c r="L926" t="s">
        <v>74</v>
      </c>
      <c r="M926" t="s">
        <v>78</v>
      </c>
      <c r="N926" t="s">
        <v>79</v>
      </c>
      <c r="O926" t="s">
        <v>74</v>
      </c>
      <c r="P926" t="s">
        <v>74</v>
      </c>
      <c r="Q926" t="s">
        <v>74</v>
      </c>
      <c r="R926" t="s">
        <v>74</v>
      </c>
      <c r="S926" t="s">
        <v>74</v>
      </c>
      <c r="T926" t="s">
        <v>16955</v>
      </c>
      <c r="U926" t="s">
        <v>16956</v>
      </c>
      <c r="V926" t="s">
        <v>16957</v>
      </c>
      <c r="W926" t="s">
        <v>16958</v>
      </c>
      <c r="X926" t="s">
        <v>16959</v>
      </c>
      <c r="Y926" t="s">
        <v>16960</v>
      </c>
      <c r="Z926" t="s">
        <v>16961</v>
      </c>
      <c r="AA926" t="s">
        <v>16962</v>
      </c>
      <c r="AB926" t="s">
        <v>16963</v>
      </c>
      <c r="AC926" t="s">
        <v>16964</v>
      </c>
      <c r="AD926" t="s">
        <v>16965</v>
      </c>
      <c r="AE926" t="s">
        <v>16966</v>
      </c>
      <c r="AF926" t="s">
        <v>74</v>
      </c>
      <c r="AG926">
        <v>52</v>
      </c>
      <c r="AH926">
        <v>17</v>
      </c>
      <c r="AI926">
        <v>17</v>
      </c>
      <c r="AJ926">
        <v>2</v>
      </c>
      <c r="AK926">
        <v>35</v>
      </c>
      <c r="AL926" t="s">
        <v>529</v>
      </c>
      <c r="AM926" t="s">
        <v>391</v>
      </c>
      <c r="AN926" t="s">
        <v>1220</v>
      </c>
      <c r="AO926" t="s">
        <v>3358</v>
      </c>
      <c r="AP926" t="s">
        <v>3359</v>
      </c>
      <c r="AQ926" t="s">
        <v>74</v>
      </c>
      <c r="AR926" t="s">
        <v>3360</v>
      </c>
      <c r="AS926" t="s">
        <v>3361</v>
      </c>
      <c r="AT926" t="s">
        <v>14886</v>
      </c>
      <c r="AU926">
        <v>2013</v>
      </c>
      <c r="AV926">
        <v>36</v>
      </c>
      <c r="AW926">
        <v>3</v>
      </c>
      <c r="AX926" t="s">
        <v>74</v>
      </c>
      <c r="AY926" t="s">
        <v>74</v>
      </c>
      <c r="AZ926" t="s">
        <v>74</v>
      </c>
      <c r="BA926" t="s">
        <v>74</v>
      </c>
      <c r="BB926">
        <v>321</v>
      </c>
      <c r="BC926">
        <v>333</v>
      </c>
      <c r="BD926" t="s">
        <v>74</v>
      </c>
      <c r="BE926" t="s">
        <v>16967</v>
      </c>
      <c r="BF926" t="str">
        <f>HYPERLINK("http://dx.doi.org/10.1007/s00300-012-1261-9","http://dx.doi.org/10.1007/s00300-012-1261-9")</f>
        <v>http://dx.doi.org/10.1007/s00300-012-1261-9</v>
      </c>
      <c r="BG926" t="s">
        <v>74</v>
      </c>
      <c r="BH926" t="s">
        <v>74</v>
      </c>
      <c r="BI926">
        <v>13</v>
      </c>
      <c r="BJ926" t="s">
        <v>1158</v>
      </c>
      <c r="BK926" t="s">
        <v>102</v>
      </c>
      <c r="BL926" t="s">
        <v>1159</v>
      </c>
      <c r="BM926" t="s">
        <v>15901</v>
      </c>
      <c r="BN926" t="s">
        <v>74</v>
      </c>
      <c r="BO926" t="s">
        <v>74</v>
      </c>
      <c r="BP926" t="s">
        <v>74</v>
      </c>
      <c r="BQ926" t="s">
        <v>74</v>
      </c>
      <c r="BR926" t="s">
        <v>105</v>
      </c>
      <c r="BS926" t="s">
        <v>16968</v>
      </c>
      <c r="BT926" t="str">
        <f>HYPERLINK("https%3A%2F%2Fwww.webofscience.com%2Fwos%2Fwoscc%2Ffull-record%2FWOS:000314852300002","View Full Record in Web of Science")</f>
        <v>View Full Record in Web of Science</v>
      </c>
    </row>
    <row r="927" spans="1:72" x14ac:dyDescent="0.15">
      <c r="A927" t="s">
        <v>72</v>
      </c>
      <c r="B927" t="s">
        <v>16969</v>
      </c>
      <c r="C927" t="s">
        <v>74</v>
      </c>
      <c r="D927" t="s">
        <v>74</v>
      </c>
      <c r="E927" t="s">
        <v>74</v>
      </c>
      <c r="F927" t="s">
        <v>16970</v>
      </c>
      <c r="G927" t="s">
        <v>74</v>
      </c>
      <c r="H927" t="s">
        <v>74</v>
      </c>
      <c r="I927" t="s">
        <v>16971</v>
      </c>
      <c r="J927" t="s">
        <v>3345</v>
      </c>
      <c r="K927" t="s">
        <v>74</v>
      </c>
      <c r="L927" t="s">
        <v>74</v>
      </c>
      <c r="M927" t="s">
        <v>78</v>
      </c>
      <c r="N927" t="s">
        <v>79</v>
      </c>
      <c r="O927" t="s">
        <v>74</v>
      </c>
      <c r="P927" t="s">
        <v>74</v>
      </c>
      <c r="Q927" t="s">
        <v>74</v>
      </c>
      <c r="R927" t="s">
        <v>74</v>
      </c>
      <c r="S927" t="s">
        <v>74</v>
      </c>
      <c r="T927" t="s">
        <v>16972</v>
      </c>
      <c r="U927" t="s">
        <v>16973</v>
      </c>
      <c r="V927" t="s">
        <v>16974</v>
      </c>
      <c r="W927" t="s">
        <v>16975</v>
      </c>
      <c r="X927" t="s">
        <v>16976</v>
      </c>
      <c r="Y927" t="s">
        <v>16977</v>
      </c>
      <c r="Z927" t="s">
        <v>16978</v>
      </c>
      <c r="AA927" t="s">
        <v>16979</v>
      </c>
      <c r="AB927" t="s">
        <v>74</v>
      </c>
      <c r="AC927" t="s">
        <v>16980</v>
      </c>
      <c r="AD927" t="s">
        <v>16981</v>
      </c>
      <c r="AE927" t="s">
        <v>16982</v>
      </c>
      <c r="AF927" t="s">
        <v>74</v>
      </c>
      <c r="AG927">
        <v>81</v>
      </c>
      <c r="AH927">
        <v>7</v>
      </c>
      <c r="AI927">
        <v>8</v>
      </c>
      <c r="AJ927">
        <v>1</v>
      </c>
      <c r="AK927">
        <v>46</v>
      </c>
      <c r="AL927" t="s">
        <v>529</v>
      </c>
      <c r="AM927" t="s">
        <v>391</v>
      </c>
      <c r="AN927" t="s">
        <v>1220</v>
      </c>
      <c r="AO927" t="s">
        <v>3358</v>
      </c>
      <c r="AP927" t="s">
        <v>3359</v>
      </c>
      <c r="AQ927" t="s">
        <v>74</v>
      </c>
      <c r="AR927" t="s">
        <v>3360</v>
      </c>
      <c r="AS927" t="s">
        <v>3361</v>
      </c>
      <c r="AT927" t="s">
        <v>14886</v>
      </c>
      <c r="AU927">
        <v>2013</v>
      </c>
      <c r="AV927">
        <v>36</v>
      </c>
      <c r="AW927">
        <v>3</v>
      </c>
      <c r="AX927" t="s">
        <v>74</v>
      </c>
      <c r="AY927" t="s">
        <v>74</v>
      </c>
      <c r="AZ927" t="s">
        <v>74</v>
      </c>
      <c r="BA927" t="s">
        <v>74</v>
      </c>
      <c r="BB927">
        <v>391</v>
      </c>
      <c r="BC927">
        <v>408</v>
      </c>
      <c r="BD927" t="s">
        <v>74</v>
      </c>
      <c r="BE927" t="s">
        <v>16983</v>
      </c>
      <c r="BF927" t="str">
        <f>HYPERLINK("http://dx.doi.org/10.1007/s00300-012-1270-8","http://dx.doi.org/10.1007/s00300-012-1270-8")</f>
        <v>http://dx.doi.org/10.1007/s00300-012-1270-8</v>
      </c>
      <c r="BG927" t="s">
        <v>74</v>
      </c>
      <c r="BH927" t="s">
        <v>74</v>
      </c>
      <c r="BI927">
        <v>18</v>
      </c>
      <c r="BJ927" t="s">
        <v>1158</v>
      </c>
      <c r="BK927" t="s">
        <v>102</v>
      </c>
      <c r="BL927" t="s">
        <v>1159</v>
      </c>
      <c r="BM927" t="s">
        <v>15901</v>
      </c>
      <c r="BN927" t="s">
        <v>74</v>
      </c>
      <c r="BO927" t="s">
        <v>74</v>
      </c>
      <c r="BP927" t="s">
        <v>74</v>
      </c>
      <c r="BQ927" t="s">
        <v>74</v>
      </c>
      <c r="BR927" t="s">
        <v>105</v>
      </c>
      <c r="BS927" t="s">
        <v>16984</v>
      </c>
      <c r="BT927" t="str">
        <f>HYPERLINK("https%3A%2F%2Fwww.webofscience.com%2Fwos%2Fwoscc%2Ffull-record%2FWOS:000314852300009","View Full Record in Web of Science")</f>
        <v>View Full Record in Web of Science</v>
      </c>
    </row>
    <row r="928" spans="1:72" x14ac:dyDescent="0.15">
      <c r="A928" t="s">
        <v>72</v>
      </c>
      <c r="B928" t="s">
        <v>16985</v>
      </c>
      <c r="C928" t="s">
        <v>74</v>
      </c>
      <c r="D928" t="s">
        <v>74</v>
      </c>
      <c r="E928" t="s">
        <v>74</v>
      </c>
      <c r="F928" t="s">
        <v>16986</v>
      </c>
      <c r="G928" t="s">
        <v>74</v>
      </c>
      <c r="H928" t="s">
        <v>74</v>
      </c>
      <c r="I928" t="s">
        <v>16987</v>
      </c>
      <c r="J928" t="s">
        <v>3345</v>
      </c>
      <c r="K928" t="s">
        <v>74</v>
      </c>
      <c r="L928" t="s">
        <v>74</v>
      </c>
      <c r="M928" t="s">
        <v>78</v>
      </c>
      <c r="N928" t="s">
        <v>79</v>
      </c>
      <c r="O928" t="s">
        <v>74</v>
      </c>
      <c r="P928" t="s">
        <v>74</v>
      </c>
      <c r="Q928" t="s">
        <v>74</v>
      </c>
      <c r="R928" t="s">
        <v>74</v>
      </c>
      <c r="S928" t="s">
        <v>74</v>
      </c>
      <c r="T928" t="s">
        <v>16988</v>
      </c>
      <c r="U928" t="s">
        <v>16989</v>
      </c>
      <c r="V928" t="s">
        <v>16990</v>
      </c>
      <c r="W928" t="s">
        <v>16991</v>
      </c>
      <c r="X928" t="s">
        <v>16992</v>
      </c>
      <c r="Y928" t="s">
        <v>16993</v>
      </c>
      <c r="Z928" t="s">
        <v>16994</v>
      </c>
      <c r="AA928" t="s">
        <v>74</v>
      </c>
      <c r="AB928" t="s">
        <v>2207</v>
      </c>
      <c r="AC928" t="s">
        <v>16995</v>
      </c>
      <c r="AD928" t="s">
        <v>16996</v>
      </c>
      <c r="AE928" t="s">
        <v>16997</v>
      </c>
      <c r="AF928" t="s">
        <v>74</v>
      </c>
      <c r="AG928">
        <v>34</v>
      </c>
      <c r="AH928">
        <v>27</v>
      </c>
      <c r="AI928">
        <v>28</v>
      </c>
      <c r="AJ928">
        <v>0</v>
      </c>
      <c r="AK928">
        <v>31</v>
      </c>
      <c r="AL928" t="s">
        <v>529</v>
      </c>
      <c r="AM928" t="s">
        <v>391</v>
      </c>
      <c r="AN928" t="s">
        <v>530</v>
      </c>
      <c r="AO928" t="s">
        <v>3358</v>
      </c>
      <c r="AP928" t="s">
        <v>3359</v>
      </c>
      <c r="AQ928" t="s">
        <v>74</v>
      </c>
      <c r="AR928" t="s">
        <v>3360</v>
      </c>
      <c r="AS928" t="s">
        <v>3361</v>
      </c>
      <c r="AT928" t="s">
        <v>14886</v>
      </c>
      <c r="AU928">
        <v>2013</v>
      </c>
      <c r="AV928">
        <v>36</v>
      </c>
      <c r="AW928">
        <v>3</v>
      </c>
      <c r="AX928" t="s">
        <v>74</v>
      </c>
      <c r="AY928" t="s">
        <v>74</v>
      </c>
      <c r="AZ928" t="s">
        <v>74</v>
      </c>
      <c r="BA928" t="s">
        <v>74</v>
      </c>
      <c r="BB928">
        <v>445</v>
      </c>
      <c r="BC928">
        <v>451</v>
      </c>
      <c r="BD928" t="s">
        <v>74</v>
      </c>
      <c r="BE928" t="s">
        <v>16998</v>
      </c>
      <c r="BF928" t="str">
        <f>HYPERLINK("http://dx.doi.org/10.1007/s00300-012-1269-1","http://dx.doi.org/10.1007/s00300-012-1269-1")</f>
        <v>http://dx.doi.org/10.1007/s00300-012-1269-1</v>
      </c>
      <c r="BG928" t="s">
        <v>74</v>
      </c>
      <c r="BH928" t="s">
        <v>74</v>
      </c>
      <c r="BI928">
        <v>7</v>
      </c>
      <c r="BJ928" t="s">
        <v>1158</v>
      </c>
      <c r="BK928" t="s">
        <v>102</v>
      </c>
      <c r="BL928" t="s">
        <v>1159</v>
      </c>
      <c r="BM928" t="s">
        <v>15901</v>
      </c>
      <c r="BN928" t="s">
        <v>74</v>
      </c>
      <c r="BO928" t="s">
        <v>74</v>
      </c>
      <c r="BP928" t="s">
        <v>74</v>
      </c>
      <c r="BQ928" t="s">
        <v>74</v>
      </c>
      <c r="BR928" t="s">
        <v>105</v>
      </c>
      <c r="BS928" t="s">
        <v>16999</v>
      </c>
      <c r="BT928" t="str">
        <f>HYPERLINK("https%3A%2F%2Fwww.webofscience.com%2Fwos%2Fwoscc%2Ffull-record%2FWOS:000314852300014","View Full Record in Web of Science")</f>
        <v>View Full Record in Web of Science</v>
      </c>
    </row>
    <row r="929" spans="1:72" x14ac:dyDescent="0.15">
      <c r="A929" t="s">
        <v>72</v>
      </c>
      <c r="B929" t="s">
        <v>17000</v>
      </c>
      <c r="C929" t="s">
        <v>74</v>
      </c>
      <c r="D929" t="s">
        <v>74</v>
      </c>
      <c r="E929" t="s">
        <v>74</v>
      </c>
      <c r="F929" t="s">
        <v>17001</v>
      </c>
      <c r="G929" t="s">
        <v>74</v>
      </c>
      <c r="H929" t="s">
        <v>74</v>
      </c>
      <c r="I929" t="s">
        <v>17002</v>
      </c>
      <c r="J929" t="s">
        <v>3345</v>
      </c>
      <c r="K929" t="s">
        <v>74</v>
      </c>
      <c r="L929" t="s">
        <v>74</v>
      </c>
      <c r="M929" t="s">
        <v>78</v>
      </c>
      <c r="N929" t="s">
        <v>79</v>
      </c>
      <c r="O929" t="s">
        <v>74</v>
      </c>
      <c r="P929" t="s">
        <v>74</v>
      </c>
      <c r="Q929" t="s">
        <v>74</v>
      </c>
      <c r="R929" t="s">
        <v>74</v>
      </c>
      <c r="S929" t="s">
        <v>74</v>
      </c>
      <c r="T929" t="s">
        <v>17003</v>
      </c>
      <c r="U929" t="s">
        <v>17004</v>
      </c>
      <c r="V929" t="s">
        <v>17005</v>
      </c>
      <c r="W929" t="s">
        <v>17006</v>
      </c>
      <c r="X929" t="s">
        <v>74</v>
      </c>
      <c r="Y929" t="s">
        <v>17007</v>
      </c>
      <c r="Z929" t="s">
        <v>17008</v>
      </c>
      <c r="AA929" t="s">
        <v>17009</v>
      </c>
      <c r="AB929" t="s">
        <v>17010</v>
      </c>
      <c r="AC929" t="s">
        <v>17011</v>
      </c>
      <c r="AD929" t="s">
        <v>17012</v>
      </c>
      <c r="AE929" t="s">
        <v>17013</v>
      </c>
      <c r="AF929" t="s">
        <v>74</v>
      </c>
      <c r="AG929">
        <v>26</v>
      </c>
      <c r="AH929">
        <v>5</v>
      </c>
      <c r="AI929">
        <v>7</v>
      </c>
      <c r="AJ929">
        <v>0</v>
      </c>
      <c r="AK929">
        <v>71</v>
      </c>
      <c r="AL929" t="s">
        <v>529</v>
      </c>
      <c r="AM929" t="s">
        <v>391</v>
      </c>
      <c r="AN929" t="s">
        <v>530</v>
      </c>
      <c r="AO929" t="s">
        <v>3358</v>
      </c>
      <c r="AP929" t="s">
        <v>74</v>
      </c>
      <c r="AQ929" t="s">
        <v>74</v>
      </c>
      <c r="AR929" t="s">
        <v>3360</v>
      </c>
      <c r="AS929" t="s">
        <v>3361</v>
      </c>
      <c r="AT929" t="s">
        <v>14886</v>
      </c>
      <c r="AU929">
        <v>2013</v>
      </c>
      <c r="AV929">
        <v>36</v>
      </c>
      <c r="AW929">
        <v>3</v>
      </c>
      <c r="AX929" t="s">
        <v>74</v>
      </c>
      <c r="AY929" t="s">
        <v>74</v>
      </c>
      <c r="AZ929" t="s">
        <v>74</v>
      </c>
      <c r="BA929" t="s">
        <v>74</v>
      </c>
      <c r="BB929">
        <v>453</v>
      </c>
      <c r="BC929">
        <v>456</v>
      </c>
      <c r="BD929" t="s">
        <v>74</v>
      </c>
      <c r="BE929" t="s">
        <v>17014</v>
      </c>
      <c r="BF929" t="str">
        <f>HYPERLINK("http://dx.doi.org/10.1007/s00300-012-1275-3","http://dx.doi.org/10.1007/s00300-012-1275-3")</f>
        <v>http://dx.doi.org/10.1007/s00300-012-1275-3</v>
      </c>
      <c r="BG929" t="s">
        <v>74</v>
      </c>
      <c r="BH929" t="s">
        <v>74</v>
      </c>
      <c r="BI929">
        <v>4</v>
      </c>
      <c r="BJ929" t="s">
        <v>1158</v>
      </c>
      <c r="BK929" t="s">
        <v>102</v>
      </c>
      <c r="BL929" t="s">
        <v>1159</v>
      </c>
      <c r="BM929" t="s">
        <v>15901</v>
      </c>
      <c r="BN929" t="s">
        <v>74</v>
      </c>
      <c r="BO929" t="s">
        <v>74</v>
      </c>
      <c r="BP929" t="s">
        <v>74</v>
      </c>
      <c r="BQ929" t="s">
        <v>74</v>
      </c>
      <c r="BR929" t="s">
        <v>105</v>
      </c>
      <c r="BS929" t="s">
        <v>17015</v>
      </c>
      <c r="BT929" t="str">
        <f>HYPERLINK("https%3A%2F%2Fwww.webofscience.com%2Fwos%2Fwoscc%2Ffull-record%2FWOS:000314852300015","View Full Record in Web of Science")</f>
        <v>View Full Record in Web of Science</v>
      </c>
    </row>
    <row r="930" spans="1:72" x14ac:dyDescent="0.15">
      <c r="A930" t="s">
        <v>72</v>
      </c>
      <c r="B930" t="s">
        <v>17016</v>
      </c>
      <c r="C930" t="s">
        <v>74</v>
      </c>
      <c r="D930" t="s">
        <v>74</v>
      </c>
      <c r="E930" t="s">
        <v>74</v>
      </c>
      <c r="F930" t="s">
        <v>17017</v>
      </c>
      <c r="G930" t="s">
        <v>74</v>
      </c>
      <c r="H930" t="s">
        <v>74</v>
      </c>
      <c r="I930" t="s">
        <v>17018</v>
      </c>
      <c r="J930" t="s">
        <v>17019</v>
      </c>
      <c r="K930" t="s">
        <v>74</v>
      </c>
      <c r="L930" t="s">
        <v>74</v>
      </c>
      <c r="M930" t="s">
        <v>78</v>
      </c>
      <c r="N930" t="s">
        <v>1459</v>
      </c>
      <c r="O930" t="s">
        <v>74</v>
      </c>
      <c r="P930" t="s">
        <v>74</v>
      </c>
      <c r="Q930" t="s">
        <v>74</v>
      </c>
      <c r="R930" t="s">
        <v>74</v>
      </c>
      <c r="S930" t="s">
        <v>74</v>
      </c>
      <c r="T930" t="s">
        <v>74</v>
      </c>
      <c r="U930" t="s">
        <v>17020</v>
      </c>
      <c r="V930" t="s">
        <v>17021</v>
      </c>
      <c r="W930" t="s">
        <v>17022</v>
      </c>
      <c r="X930" t="s">
        <v>17023</v>
      </c>
      <c r="Y930" t="s">
        <v>8241</v>
      </c>
      <c r="Z930" t="s">
        <v>17024</v>
      </c>
      <c r="AA930" t="s">
        <v>17025</v>
      </c>
      <c r="AB930" t="s">
        <v>17026</v>
      </c>
      <c r="AC930" t="s">
        <v>17027</v>
      </c>
      <c r="AD930" t="s">
        <v>17028</v>
      </c>
      <c r="AE930" t="s">
        <v>17029</v>
      </c>
      <c r="AF930" t="s">
        <v>74</v>
      </c>
      <c r="AG930">
        <v>56</v>
      </c>
      <c r="AH930">
        <v>43</v>
      </c>
      <c r="AI930">
        <v>50</v>
      </c>
      <c r="AJ930">
        <v>1</v>
      </c>
      <c r="AK930">
        <v>78</v>
      </c>
      <c r="AL930" t="s">
        <v>506</v>
      </c>
      <c r="AM930" t="s">
        <v>442</v>
      </c>
      <c r="AN930" t="s">
        <v>507</v>
      </c>
      <c r="AO930" t="s">
        <v>17030</v>
      </c>
      <c r="AP930" t="s">
        <v>74</v>
      </c>
      <c r="AQ930" t="s">
        <v>74</v>
      </c>
      <c r="AR930" t="s">
        <v>17031</v>
      </c>
      <c r="AS930" t="s">
        <v>17032</v>
      </c>
      <c r="AT930" t="s">
        <v>14886</v>
      </c>
      <c r="AU930">
        <v>2013</v>
      </c>
      <c r="AV930">
        <v>110</v>
      </c>
      <c r="AW930" t="s">
        <v>74</v>
      </c>
      <c r="AX930" t="s">
        <v>74</v>
      </c>
      <c r="AY930" t="s">
        <v>74</v>
      </c>
      <c r="AZ930" t="s">
        <v>74</v>
      </c>
      <c r="BA930" t="s">
        <v>74</v>
      </c>
      <c r="BB930">
        <v>1</v>
      </c>
      <c r="BC930">
        <v>10</v>
      </c>
      <c r="BD930" t="s">
        <v>74</v>
      </c>
      <c r="BE930" t="s">
        <v>17033</v>
      </c>
      <c r="BF930" t="str">
        <f>HYPERLINK("http://dx.doi.org/10.1016/j.pocean.2013.01.005","http://dx.doi.org/10.1016/j.pocean.2013.01.005")</f>
        <v>http://dx.doi.org/10.1016/j.pocean.2013.01.005</v>
      </c>
      <c r="BG930" t="s">
        <v>74</v>
      </c>
      <c r="BH930" t="s">
        <v>74</v>
      </c>
      <c r="BI930">
        <v>10</v>
      </c>
      <c r="BJ930" t="s">
        <v>327</v>
      </c>
      <c r="BK930" t="s">
        <v>102</v>
      </c>
      <c r="BL930" t="s">
        <v>327</v>
      </c>
      <c r="BM930" t="s">
        <v>17034</v>
      </c>
      <c r="BN930" t="s">
        <v>74</v>
      </c>
      <c r="BO930" t="s">
        <v>426</v>
      </c>
      <c r="BP930" t="s">
        <v>74</v>
      </c>
      <c r="BQ930" t="s">
        <v>74</v>
      </c>
      <c r="BR930" t="s">
        <v>105</v>
      </c>
      <c r="BS930" t="s">
        <v>17035</v>
      </c>
      <c r="BT930" t="str">
        <f>HYPERLINK("https%3A%2F%2Fwww.webofscience.com%2Fwos%2Fwoscc%2Ffull-record%2FWOS:000317169300001","View Full Record in Web of Science")</f>
        <v>View Full Record in Web of Science</v>
      </c>
    </row>
    <row r="931" spans="1:72" x14ac:dyDescent="0.15">
      <c r="A931" t="s">
        <v>72</v>
      </c>
      <c r="B931" t="s">
        <v>17036</v>
      </c>
      <c r="C931" t="s">
        <v>74</v>
      </c>
      <c r="D931" t="s">
        <v>74</v>
      </c>
      <c r="E931" t="s">
        <v>74</v>
      </c>
      <c r="F931" t="s">
        <v>17037</v>
      </c>
      <c r="G931" t="s">
        <v>74</v>
      </c>
      <c r="H931" t="s">
        <v>74</v>
      </c>
      <c r="I931" t="s">
        <v>17038</v>
      </c>
      <c r="J931" t="s">
        <v>17019</v>
      </c>
      <c r="K931" t="s">
        <v>74</v>
      </c>
      <c r="L931" t="s">
        <v>74</v>
      </c>
      <c r="M931" t="s">
        <v>78</v>
      </c>
      <c r="N931" t="s">
        <v>1459</v>
      </c>
      <c r="O931" t="s">
        <v>74</v>
      </c>
      <c r="P931" t="s">
        <v>74</v>
      </c>
      <c r="Q931" t="s">
        <v>74</v>
      </c>
      <c r="R931" t="s">
        <v>74</v>
      </c>
      <c r="S931" t="s">
        <v>74</v>
      </c>
      <c r="T931" t="s">
        <v>74</v>
      </c>
      <c r="U931" t="s">
        <v>17039</v>
      </c>
      <c r="V931" t="s">
        <v>17040</v>
      </c>
      <c r="W931" t="s">
        <v>17041</v>
      </c>
      <c r="X931" t="s">
        <v>17042</v>
      </c>
      <c r="Y931" t="s">
        <v>15683</v>
      </c>
      <c r="Z931" t="s">
        <v>15684</v>
      </c>
      <c r="AA931" t="s">
        <v>17043</v>
      </c>
      <c r="AB931" t="s">
        <v>17044</v>
      </c>
      <c r="AC931" t="s">
        <v>17045</v>
      </c>
      <c r="AD931" t="s">
        <v>17046</v>
      </c>
      <c r="AE931" t="s">
        <v>17047</v>
      </c>
      <c r="AF931" t="s">
        <v>74</v>
      </c>
      <c r="AG931">
        <v>71</v>
      </c>
      <c r="AH931">
        <v>20</v>
      </c>
      <c r="AI931">
        <v>21</v>
      </c>
      <c r="AJ931">
        <v>1</v>
      </c>
      <c r="AK931">
        <v>84</v>
      </c>
      <c r="AL931" t="s">
        <v>506</v>
      </c>
      <c r="AM931" t="s">
        <v>442</v>
      </c>
      <c r="AN931" t="s">
        <v>507</v>
      </c>
      <c r="AO931" t="s">
        <v>17030</v>
      </c>
      <c r="AP931" t="s">
        <v>17048</v>
      </c>
      <c r="AQ931" t="s">
        <v>74</v>
      </c>
      <c r="AR931" t="s">
        <v>17031</v>
      </c>
      <c r="AS931" t="s">
        <v>17032</v>
      </c>
      <c r="AT931" t="s">
        <v>14886</v>
      </c>
      <c r="AU931">
        <v>2013</v>
      </c>
      <c r="AV931">
        <v>110</v>
      </c>
      <c r="AW931" t="s">
        <v>74</v>
      </c>
      <c r="AX931" t="s">
        <v>74</v>
      </c>
      <c r="AY931" t="s">
        <v>74</v>
      </c>
      <c r="AZ931" t="s">
        <v>74</v>
      </c>
      <c r="BA931" t="s">
        <v>74</v>
      </c>
      <c r="BB931">
        <v>69</v>
      </c>
      <c r="BC931">
        <v>79</v>
      </c>
      <c r="BD931" t="s">
        <v>74</v>
      </c>
      <c r="BE931" t="s">
        <v>17049</v>
      </c>
      <c r="BF931" t="str">
        <f>HYPERLINK("http://dx.doi.org/10.1016/j.pocean.2013.01.001","http://dx.doi.org/10.1016/j.pocean.2013.01.001")</f>
        <v>http://dx.doi.org/10.1016/j.pocean.2013.01.001</v>
      </c>
      <c r="BG931" t="s">
        <v>74</v>
      </c>
      <c r="BH931" t="s">
        <v>74</v>
      </c>
      <c r="BI931">
        <v>11</v>
      </c>
      <c r="BJ931" t="s">
        <v>327</v>
      </c>
      <c r="BK931" t="s">
        <v>102</v>
      </c>
      <c r="BL931" t="s">
        <v>327</v>
      </c>
      <c r="BM931" t="s">
        <v>17034</v>
      </c>
      <c r="BN931" t="s">
        <v>74</v>
      </c>
      <c r="BO931" t="s">
        <v>426</v>
      </c>
      <c r="BP931" t="s">
        <v>74</v>
      </c>
      <c r="BQ931" t="s">
        <v>74</v>
      </c>
      <c r="BR931" t="s">
        <v>105</v>
      </c>
      <c r="BS931" t="s">
        <v>17050</v>
      </c>
      <c r="BT931" t="str">
        <f>HYPERLINK("https%3A%2F%2Fwww.webofscience.com%2Fwos%2Fwoscc%2Ffull-record%2FWOS:000317169300006","View Full Record in Web of Science")</f>
        <v>View Full Record in Web of Science</v>
      </c>
    </row>
    <row r="932" spans="1:72" x14ac:dyDescent="0.15">
      <c r="A932" t="s">
        <v>72</v>
      </c>
      <c r="B932" t="s">
        <v>17051</v>
      </c>
      <c r="C932" t="s">
        <v>74</v>
      </c>
      <c r="D932" t="s">
        <v>74</v>
      </c>
      <c r="E932" t="s">
        <v>74</v>
      </c>
      <c r="F932" t="s">
        <v>17052</v>
      </c>
      <c r="G932" t="s">
        <v>74</v>
      </c>
      <c r="H932" t="s">
        <v>74</v>
      </c>
      <c r="I932" t="s">
        <v>17053</v>
      </c>
      <c r="J932" t="s">
        <v>17019</v>
      </c>
      <c r="K932" t="s">
        <v>74</v>
      </c>
      <c r="L932" t="s">
        <v>74</v>
      </c>
      <c r="M932" t="s">
        <v>78</v>
      </c>
      <c r="N932" t="s">
        <v>1459</v>
      </c>
      <c r="O932" t="s">
        <v>74</v>
      </c>
      <c r="P932" t="s">
        <v>74</v>
      </c>
      <c r="Q932" t="s">
        <v>74</v>
      </c>
      <c r="R932" t="s">
        <v>74</v>
      </c>
      <c r="S932" t="s">
        <v>74</v>
      </c>
      <c r="T932" t="s">
        <v>74</v>
      </c>
      <c r="U932" t="s">
        <v>17054</v>
      </c>
      <c r="V932" t="s">
        <v>17055</v>
      </c>
      <c r="W932" t="s">
        <v>17056</v>
      </c>
      <c r="X932" t="s">
        <v>17057</v>
      </c>
      <c r="Y932" t="s">
        <v>17058</v>
      </c>
      <c r="Z932" t="s">
        <v>17059</v>
      </c>
      <c r="AA932" t="s">
        <v>17060</v>
      </c>
      <c r="AB932" t="s">
        <v>17061</v>
      </c>
      <c r="AC932" t="s">
        <v>17062</v>
      </c>
      <c r="AD932" t="s">
        <v>17063</v>
      </c>
      <c r="AE932" t="s">
        <v>17064</v>
      </c>
      <c r="AF932" t="s">
        <v>74</v>
      </c>
      <c r="AG932">
        <v>109</v>
      </c>
      <c r="AH932">
        <v>23</v>
      </c>
      <c r="AI932">
        <v>25</v>
      </c>
      <c r="AJ932">
        <v>1</v>
      </c>
      <c r="AK932">
        <v>52</v>
      </c>
      <c r="AL932" t="s">
        <v>506</v>
      </c>
      <c r="AM932" t="s">
        <v>442</v>
      </c>
      <c r="AN932" t="s">
        <v>507</v>
      </c>
      <c r="AO932" t="s">
        <v>17030</v>
      </c>
      <c r="AP932" t="s">
        <v>74</v>
      </c>
      <c r="AQ932" t="s">
        <v>74</v>
      </c>
      <c r="AR932" t="s">
        <v>17031</v>
      </c>
      <c r="AS932" t="s">
        <v>17032</v>
      </c>
      <c r="AT932" t="s">
        <v>14886</v>
      </c>
      <c r="AU932">
        <v>2013</v>
      </c>
      <c r="AV932">
        <v>110</v>
      </c>
      <c r="AW932" t="s">
        <v>74</v>
      </c>
      <c r="AX932" t="s">
        <v>74</v>
      </c>
      <c r="AY932" t="s">
        <v>74</v>
      </c>
      <c r="AZ932" t="s">
        <v>74</v>
      </c>
      <c r="BA932" t="s">
        <v>74</v>
      </c>
      <c r="BB932">
        <v>80</v>
      </c>
      <c r="BC932">
        <v>92</v>
      </c>
      <c r="BD932" t="s">
        <v>74</v>
      </c>
      <c r="BE932" t="s">
        <v>17065</v>
      </c>
      <c r="BF932" t="str">
        <f>HYPERLINK("http://dx.doi.org/10.1016/j.pocean.2013.01.002","http://dx.doi.org/10.1016/j.pocean.2013.01.002")</f>
        <v>http://dx.doi.org/10.1016/j.pocean.2013.01.002</v>
      </c>
      <c r="BG932" t="s">
        <v>74</v>
      </c>
      <c r="BH932" t="s">
        <v>74</v>
      </c>
      <c r="BI932">
        <v>13</v>
      </c>
      <c r="BJ932" t="s">
        <v>327</v>
      </c>
      <c r="BK932" t="s">
        <v>102</v>
      </c>
      <c r="BL932" t="s">
        <v>327</v>
      </c>
      <c r="BM932" t="s">
        <v>17034</v>
      </c>
      <c r="BN932" t="s">
        <v>74</v>
      </c>
      <c r="BO932" t="s">
        <v>74</v>
      </c>
      <c r="BP932" t="s">
        <v>74</v>
      </c>
      <c r="BQ932" t="s">
        <v>74</v>
      </c>
      <c r="BR932" t="s">
        <v>105</v>
      </c>
      <c r="BS932" t="s">
        <v>17066</v>
      </c>
      <c r="BT932" t="str">
        <f>HYPERLINK("https%3A%2F%2Fwww.webofscience.com%2Fwos%2Fwoscc%2Ffull-record%2FWOS:000317169300007","View Full Record in Web of Science")</f>
        <v>View Full Record in Web of Science</v>
      </c>
    </row>
    <row r="933" spans="1:72" x14ac:dyDescent="0.15">
      <c r="A933" t="s">
        <v>72</v>
      </c>
      <c r="B933" t="s">
        <v>17067</v>
      </c>
      <c r="C933" t="s">
        <v>74</v>
      </c>
      <c r="D933" t="s">
        <v>74</v>
      </c>
      <c r="E933" t="s">
        <v>74</v>
      </c>
      <c r="F933" t="s">
        <v>17068</v>
      </c>
      <c r="G933" t="s">
        <v>74</v>
      </c>
      <c r="H933" t="s">
        <v>74</v>
      </c>
      <c r="I933" t="s">
        <v>17069</v>
      </c>
      <c r="J933" t="s">
        <v>17070</v>
      </c>
      <c r="K933" t="s">
        <v>74</v>
      </c>
      <c r="L933" t="s">
        <v>74</v>
      </c>
      <c r="M933" t="s">
        <v>78</v>
      </c>
      <c r="N933" t="s">
        <v>79</v>
      </c>
      <c r="O933" t="s">
        <v>74</v>
      </c>
      <c r="P933" t="s">
        <v>74</v>
      </c>
      <c r="Q933" t="s">
        <v>74</v>
      </c>
      <c r="R933" t="s">
        <v>74</v>
      </c>
      <c r="S933" t="s">
        <v>74</v>
      </c>
      <c r="T933" t="s">
        <v>74</v>
      </c>
      <c r="U933" t="s">
        <v>17071</v>
      </c>
      <c r="V933" t="s">
        <v>17072</v>
      </c>
      <c r="W933" t="s">
        <v>17073</v>
      </c>
      <c r="X933" t="s">
        <v>17074</v>
      </c>
      <c r="Y933" t="s">
        <v>17075</v>
      </c>
      <c r="Z933" t="s">
        <v>17076</v>
      </c>
      <c r="AA933" t="s">
        <v>74</v>
      </c>
      <c r="AB933" t="s">
        <v>17077</v>
      </c>
      <c r="AC933" t="s">
        <v>17078</v>
      </c>
      <c r="AD933" t="s">
        <v>17079</v>
      </c>
      <c r="AE933" t="s">
        <v>17080</v>
      </c>
      <c r="AF933" t="s">
        <v>74</v>
      </c>
      <c r="AG933">
        <v>31</v>
      </c>
      <c r="AH933">
        <v>3</v>
      </c>
      <c r="AI933">
        <v>3</v>
      </c>
      <c r="AJ933">
        <v>0</v>
      </c>
      <c r="AK933">
        <v>22</v>
      </c>
      <c r="AL933" t="s">
        <v>368</v>
      </c>
      <c r="AM933" t="s">
        <v>369</v>
      </c>
      <c r="AN933" t="s">
        <v>370</v>
      </c>
      <c r="AO933" t="s">
        <v>17081</v>
      </c>
      <c r="AP933" t="s">
        <v>17082</v>
      </c>
      <c r="AQ933" t="s">
        <v>74</v>
      </c>
      <c r="AR933" t="s">
        <v>17083</v>
      </c>
      <c r="AS933" t="s">
        <v>17084</v>
      </c>
      <c r="AT933" t="s">
        <v>14886</v>
      </c>
      <c r="AU933">
        <v>2013</v>
      </c>
      <c r="AV933">
        <v>81</v>
      </c>
      <c r="AW933">
        <v>3</v>
      </c>
      <c r="AX933" t="s">
        <v>74</v>
      </c>
      <c r="AY933" t="s">
        <v>74</v>
      </c>
      <c r="AZ933" t="s">
        <v>74</v>
      </c>
      <c r="BA933" t="s">
        <v>74</v>
      </c>
      <c r="BB933">
        <v>531</v>
      </c>
      <c r="BC933">
        <v>537</v>
      </c>
      <c r="BD933" t="s">
        <v>74</v>
      </c>
      <c r="BE933" t="s">
        <v>17085</v>
      </c>
      <c r="BF933" t="str">
        <f>HYPERLINK("http://dx.doi.org/10.1002/prot.24208","http://dx.doi.org/10.1002/prot.24208")</f>
        <v>http://dx.doi.org/10.1002/prot.24208</v>
      </c>
      <c r="BG933" t="s">
        <v>74</v>
      </c>
      <c r="BH933" t="s">
        <v>74</v>
      </c>
      <c r="BI933">
        <v>7</v>
      </c>
      <c r="BJ933" t="s">
        <v>2890</v>
      </c>
      <c r="BK933" t="s">
        <v>102</v>
      </c>
      <c r="BL933" t="s">
        <v>2890</v>
      </c>
      <c r="BM933" t="s">
        <v>17086</v>
      </c>
      <c r="BN933">
        <v>23152139</v>
      </c>
      <c r="BO933" t="s">
        <v>74</v>
      </c>
      <c r="BP933" t="s">
        <v>74</v>
      </c>
      <c r="BQ933" t="s">
        <v>74</v>
      </c>
      <c r="BR933" t="s">
        <v>105</v>
      </c>
      <c r="BS933" t="s">
        <v>17087</v>
      </c>
      <c r="BT933" t="str">
        <f>HYPERLINK("https%3A%2F%2Fwww.webofscience.com%2Fwos%2Fwoscc%2Ffull-record%2FWOS:000314179600017","View Full Record in Web of Science")</f>
        <v>View Full Record in Web of Science</v>
      </c>
    </row>
    <row r="934" spans="1:72" x14ac:dyDescent="0.15">
      <c r="A934" t="s">
        <v>72</v>
      </c>
      <c r="B934" t="s">
        <v>17088</v>
      </c>
      <c r="C934" t="s">
        <v>74</v>
      </c>
      <c r="D934" t="s">
        <v>74</v>
      </c>
      <c r="E934" t="s">
        <v>74</v>
      </c>
      <c r="F934" t="s">
        <v>17089</v>
      </c>
      <c r="G934" t="s">
        <v>74</v>
      </c>
      <c r="H934" t="s">
        <v>74</v>
      </c>
      <c r="I934" t="s">
        <v>17090</v>
      </c>
      <c r="J934" t="s">
        <v>17091</v>
      </c>
      <c r="K934" t="s">
        <v>74</v>
      </c>
      <c r="L934" t="s">
        <v>74</v>
      </c>
      <c r="M934" t="s">
        <v>78</v>
      </c>
      <c r="N934" t="s">
        <v>79</v>
      </c>
      <c r="O934" t="s">
        <v>74</v>
      </c>
      <c r="P934" t="s">
        <v>74</v>
      </c>
      <c r="Q934" t="s">
        <v>74</v>
      </c>
      <c r="R934" t="s">
        <v>74</v>
      </c>
      <c r="S934" t="s">
        <v>74</v>
      </c>
      <c r="T934" t="s">
        <v>17092</v>
      </c>
      <c r="U934" t="s">
        <v>17093</v>
      </c>
      <c r="V934" t="s">
        <v>17094</v>
      </c>
      <c r="W934" t="s">
        <v>17095</v>
      </c>
      <c r="X934" t="s">
        <v>17096</v>
      </c>
      <c r="Y934" t="s">
        <v>17097</v>
      </c>
      <c r="Z934" t="s">
        <v>17098</v>
      </c>
      <c r="AA934" t="s">
        <v>17099</v>
      </c>
      <c r="AB934" t="s">
        <v>17100</v>
      </c>
      <c r="AC934" t="s">
        <v>17101</v>
      </c>
      <c r="AD934" t="s">
        <v>17102</v>
      </c>
      <c r="AE934" t="s">
        <v>17103</v>
      </c>
      <c r="AF934" t="s">
        <v>74</v>
      </c>
      <c r="AG934">
        <v>72</v>
      </c>
      <c r="AH934">
        <v>52</v>
      </c>
      <c r="AI934">
        <v>58</v>
      </c>
      <c r="AJ934">
        <v>0</v>
      </c>
      <c r="AK934">
        <v>111</v>
      </c>
      <c r="AL934" t="s">
        <v>7630</v>
      </c>
      <c r="AM934" t="s">
        <v>7631</v>
      </c>
      <c r="AN934" t="s">
        <v>7632</v>
      </c>
      <c r="AO934" t="s">
        <v>74</v>
      </c>
      <c r="AP934" t="s">
        <v>17104</v>
      </c>
      <c r="AQ934" t="s">
        <v>74</v>
      </c>
      <c r="AR934" t="s">
        <v>17105</v>
      </c>
      <c r="AS934" t="s">
        <v>17106</v>
      </c>
      <c r="AT934" t="s">
        <v>14886</v>
      </c>
      <c r="AU934">
        <v>2013</v>
      </c>
      <c r="AV934">
        <v>5</v>
      </c>
      <c r="AW934">
        <v>3</v>
      </c>
      <c r="AX934" t="s">
        <v>74</v>
      </c>
      <c r="AY934" t="s">
        <v>74</v>
      </c>
      <c r="AZ934" t="s">
        <v>74</v>
      </c>
      <c r="BA934" t="s">
        <v>74</v>
      </c>
      <c r="BB934">
        <v>1177</v>
      </c>
      <c r="BC934">
        <v>1203</v>
      </c>
      <c r="BD934" t="s">
        <v>74</v>
      </c>
      <c r="BE934" t="s">
        <v>17107</v>
      </c>
      <c r="BF934" t="str">
        <f>HYPERLINK("http://dx.doi.org/10.3390/rs5031177","http://dx.doi.org/10.3390/rs5031177")</f>
        <v>http://dx.doi.org/10.3390/rs5031177</v>
      </c>
      <c r="BG934" t="s">
        <v>74</v>
      </c>
      <c r="BH934" t="s">
        <v>74</v>
      </c>
      <c r="BI934">
        <v>27</v>
      </c>
      <c r="BJ934" t="s">
        <v>17108</v>
      </c>
      <c r="BK934" t="s">
        <v>102</v>
      </c>
      <c r="BL934" t="s">
        <v>17109</v>
      </c>
      <c r="BM934" t="s">
        <v>17110</v>
      </c>
      <c r="BN934" t="s">
        <v>74</v>
      </c>
      <c r="BO934" t="s">
        <v>2917</v>
      </c>
      <c r="BP934" t="s">
        <v>74</v>
      </c>
      <c r="BQ934" t="s">
        <v>74</v>
      </c>
      <c r="BR934" t="s">
        <v>105</v>
      </c>
      <c r="BS934" t="s">
        <v>17111</v>
      </c>
      <c r="BT934" t="str">
        <f>HYPERLINK("https%3A%2F%2Fwww.webofscience.com%2Fwos%2Fwoscc%2Ffull-record%2FWOS:000316612000009","View Full Record in Web of Science")</f>
        <v>View Full Record in Web of Science</v>
      </c>
    </row>
    <row r="935" spans="1:72" x14ac:dyDescent="0.15">
      <c r="A935" t="s">
        <v>72</v>
      </c>
      <c r="B935" t="s">
        <v>17112</v>
      </c>
      <c r="C935" t="s">
        <v>74</v>
      </c>
      <c r="D935" t="s">
        <v>74</v>
      </c>
      <c r="E935" t="s">
        <v>74</v>
      </c>
      <c r="F935" t="s">
        <v>17113</v>
      </c>
      <c r="G935" t="s">
        <v>74</v>
      </c>
      <c r="H935" t="s">
        <v>74</v>
      </c>
      <c r="I935" t="s">
        <v>17114</v>
      </c>
      <c r="J935" t="s">
        <v>2090</v>
      </c>
      <c r="K935" t="s">
        <v>74</v>
      </c>
      <c r="L935" t="s">
        <v>74</v>
      </c>
      <c r="M935" t="s">
        <v>78</v>
      </c>
      <c r="N935" t="s">
        <v>991</v>
      </c>
      <c r="O935" t="s">
        <v>74</v>
      </c>
      <c r="P935" t="s">
        <v>74</v>
      </c>
      <c r="Q935" t="s">
        <v>74</v>
      </c>
      <c r="R935" t="s">
        <v>74</v>
      </c>
      <c r="S935" t="s">
        <v>74</v>
      </c>
      <c r="T935" t="s">
        <v>74</v>
      </c>
      <c r="U935" t="s">
        <v>17115</v>
      </c>
      <c r="V935" t="s">
        <v>74</v>
      </c>
      <c r="W935" t="s">
        <v>17116</v>
      </c>
      <c r="X935" t="s">
        <v>6116</v>
      </c>
      <c r="Y935" t="s">
        <v>17117</v>
      </c>
      <c r="Z935" t="s">
        <v>17118</v>
      </c>
      <c r="AA935" t="s">
        <v>17119</v>
      </c>
      <c r="AB935" t="s">
        <v>74</v>
      </c>
      <c r="AC935" t="s">
        <v>74</v>
      </c>
      <c r="AD935" t="s">
        <v>74</v>
      </c>
      <c r="AE935" t="s">
        <v>74</v>
      </c>
      <c r="AF935" t="s">
        <v>74</v>
      </c>
      <c r="AG935">
        <v>9</v>
      </c>
      <c r="AH935">
        <v>8</v>
      </c>
      <c r="AI935">
        <v>12</v>
      </c>
      <c r="AJ935">
        <v>0</v>
      </c>
      <c r="AK935">
        <v>59</v>
      </c>
      <c r="AL935" t="s">
        <v>2091</v>
      </c>
      <c r="AM935" t="s">
        <v>93</v>
      </c>
      <c r="AN935" t="s">
        <v>2092</v>
      </c>
      <c r="AO935" t="s">
        <v>2093</v>
      </c>
      <c r="AP935" t="s">
        <v>4961</v>
      </c>
      <c r="AQ935" t="s">
        <v>74</v>
      </c>
      <c r="AR935" t="s">
        <v>2090</v>
      </c>
      <c r="AS935" t="s">
        <v>2094</v>
      </c>
      <c r="AT935" t="s">
        <v>15214</v>
      </c>
      <c r="AU935">
        <v>2013</v>
      </c>
      <c r="AV935">
        <v>339</v>
      </c>
      <c r="AW935">
        <v>6123</v>
      </c>
      <c r="AX935" t="s">
        <v>74</v>
      </c>
      <c r="AY935" t="s">
        <v>74</v>
      </c>
      <c r="AZ935" t="s">
        <v>74</v>
      </c>
      <c r="BA935" t="s">
        <v>74</v>
      </c>
      <c r="BB935">
        <v>1042</v>
      </c>
      <c r="BC935">
        <v>1043</v>
      </c>
      <c r="BD935" t="s">
        <v>74</v>
      </c>
      <c r="BE935" t="s">
        <v>17120</v>
      </c>
      <c r="BF935" t="str">
        <f>HYPERLINK("http://dx.doi.org/10.1126/science.1234239","http://dx.doi.org/10.1126/science.1234239")</f>
        <v>http://dx.doi.org/10.1126/science.1234239</v>
      </c>
      <c r="BG935" t="s">
        <v>74</v>
      </c>
      <c r="BH935" t="s">
        <v>74</v>
      </c>
      <c r="BI935">
        <v>2</v>
      </c>
      <c r="BJ935" t="s">
        <v>1880</v>
      </c>
      <c r="BK935" t="s">
        <v>102</v>
      </c>
      <c r="BL935" t="s">
        <v>1881</v>
      </c>
      <c r="BM935" t="s">
        <v>17121</v>
      </c>
      <c r="BN935">
        <v>23449585</v>
      </c>
      <c r="BO935" t="s">
        <v>74</v>
      </c>
      <c r="BP935" t="s">
        <v>74</v>
      </c>
      <c r="BQ935" t="s">
        <v>74</v>
      </c>
      <c r="BR935" t="s">
        <v>105</v>
      </c>
      <c r="BS935" t="s">
        <v>17122</v>
      </c>
      <c r="BT935" t="str">
        <f>HYPERLINK("https%3A%2F%2Fwww.webofscience.com%2Fwos%2Fwoscc%2Ffull-record%2FWOS:000315452000029","View Full Record in Web of Science")</f>
        <v>View Full Record in Web of Science</v>
      </c>
    </row>
    <row r="936" spans="1:72" x14ac:dyDescent="0.15">
      <c r="A936" t="s">
        <v>72</v>
      </c>
      <c r="B936" t="s">
        <v>17123</v>
      </c>
      <c r="C936" t="s">
        <v>74</v>
      </c>
      <c r="D936" t="s">
        <v>74</v>
      </c>
      <c r="E936" t="s">
        <v>74</v>
      </c>
      <c r="F936" t="s">
        <v>17124</v>
      </c>
      <c r="G936" t="s">
        <v>74</v>
      </c>
      <c r="H936" t="s">
        <v>74</v>
      </c>
      <c r="I936" t="s">
        <v>17125</v>
      </c>
      <c r="J936" t="s">
        <v>2090</v>
      </c>
      <c r="K936" t="s">
        <v>74</v>
      </c>
      <c r="L936" t="s">
        <v>74</v>
      </c>
      <c r="M936" t="s">
        <v>78</v>
      </c>
      <c r="N936" t="s">
        <v>79</v>
      </c>
      <c r="O936" t="s">
        <v>74</v>
      </c>
      <c r="P936" t="s">
        <v>74</v>
      </c>
      <c r="Q936" t="s">
        <v>74</v>
      </c>
      <c r="R936" t="s">
        <v>74</v>
      </c>
      <c r="S936" t="s">
        <v>74</v>
      </c>
      <c r="T936" t="s">
        <v>74</v>
      </c>
      <c r="U936" t="s">
        <v>17126</v>
      </c>
      <c r="V936" t="s">
        <v>17127</v>
      </c>
      <c r="W936" t="s">
        <v>17128</v>
      </c>
      <c r="X936" t="s">
        <v>17129</v>
      </c>
      <c r="Y936" t="s">
        <v>17130</v>
      </c>
      <c r="Z936" t="s">
        <v>17131</v>
      </c>
      <c r="AA936" t="s">
        <v>17132</v>
      </c>
      <c r="AB936" t="s">
        <v>17133</v>
      </c>
      <c r="AC936" t="s">
        <v>17134</v>
      </c>
      <c r="AD936" t="s">
        <v>17135</v>
      </c>
      <c r="AE936" t="s">
        <v>17136</v>
      </c>
      <c r="AF936" t="s">
        <v>74</v>
      </c>
      <c r="AG936">
        <v>29</v>
      </c>
      <c r="AH936">
        <v>229</v>
      </c>
      <c r="AI936">
        <v>255</v>
      </c>
      <c r="AJ936">
        <v>8</v>
      </c>
      <c r="AK936">
        <v>334</v>
      </c>
      <c r="AL936" t="s">
        <v>2091</v>
      </c>
      <c r="AM936" t="s">
        <v>93</v>
      </c>
      <c r="AN936" t="s">
        <v>2092</v>
      </c>
      <c r="AO936" t="s">
        <v>2093</v>
      </c>
      <c r="AP936" t="s">
        <v>4961</v>
      </c>
      <c r="AQ936" t="s">
        <v>74</v>
      </c>
      <c r="AR936" t="s">
        <v>2090</v>
      </c>
      <c r="AS936" t="s">
        <v>2094</v>
      </c>
      <c r="AT936" t="s">
        <v>15214</v>
      </c>
      <c r="AU936">
        <v>2013</v>
      </c>
      <c r="AV936">
        <v>339</v>
      </c>
      <c r="AW936">
        <v>6123</v>
      </c>
      <c r="AX936" t="s">
        <v>74</v>
      </c>
      <c r="AY936" t="s">
        <v>74</v>
      </c>
      <c r="AZ936" t="s">
        <v>74</v>
      </c>
      <c r="BA936" t="s">
        <v>74</v>
      </c>
      <c r="BB936">
        <v>1060</v>
      </c>
      <c r="BC936">
        <v>1063</v>
      </c>
      <c r="BD936" t="s">
        <v>74</v>
      </c>
      <c r="BE936" t="s">
        <v>17137</v>
      </c>
      <c r="BF936" t="str">
        <f>HYPERLINK("http://dx.doi.org/10.1126/science.1226368","http://dx.doi.org/10.1126/science.1226368")</f>
        <v>http://dx.doi.org/10.1126/science.1226368</v>
      </c>
      <c r="BG936" t="s">
        <v>74</v>
      </c>
      <c r="BH936" t="s">
        <v>74</v>
      </c>
      <c r="BI936">
        <v>4</v>
      </c>
      <c r="BJ936" t="s">
        <v>1880</v>
      </c>
      <c r="BK936" t="s">
        <v>102</v>
      </c>
      <c r="BL936" t="s">
        <v>1881</v>
      </c>
      <c r="BM936" t="s">
        <v>17121</v>
      </c>
      <c r="BN936">
        <v>23449589</v>
      </c>
      <c r="BO936" t="s">
        <v>5030</v>
      </c>
      <c r="BP936" t="s">
        <v>74</v>
      </c>
      <c r="BQ936" t="s">
        <v>74</v>
      </c>
      <c r="BR936" t="s">
        <v>105</v>
      </c>
      <c r="BS936" t="s">
        <v>17138</v>
      </c>
      <c r="BT936" t="str">
        <f>HYPERLINK("https%3A%2F%2Fwww.webofscience.com%2Fwos%2Fwoscc%2Ffull-record%2FWOS:000315452000037","View Full Record in Web of Science")</f>
        <v>View Full Record in Web of Science</v>
      </c>
    </row>
    <row r="937" spans="1:72" x14ac:dyDescent="0.15">
      <c r="A937" t="s">
        <v>72</v>
      </c>
      <c r="B937" t="s">
        <v>17139</v>
      </c>
      <c r="C937" t="s">
        <v>74</v>
      </c>
      <c r="D937" t="s">
        <v>74</v>
      </c>
      <c r="E937" t="s">
        <v>74</v>
      </c>
      <c r="F937" t="s">
        <v>17140</v>
      </c>
      <c r="G937" t="s">
        <v>74</v>
      </c>
      <c r="H937" t="s">
        <v>74</v>
      </c>
      <c r="I937" t="s">
        <v>17141</v>
      </c>
      <c r="J937" t="s">
        <v>17142</v>
      </c>
      <c r="K937" t="s">
        <v>74</v>
      </c>
      <c r="L937" t="s">
        <v>74</v>
      </c>
      <c r="M937" t="s">
        <v>78</v>
      </c>
      <c r="N937" t="s">
        <v>79</v>
      </c>
      <c r="O937" t="s">
        <v>74</v>
      </c>
      <c r="P937" t="s">
        <v>74</v>
      </c>
      <c r="Q937" t="s">
        <v>74</v>
      </c>
      <c r="R937" t="s">
        <v>74</v>
      </c>
      <c r="S937" t="s">
        <v>74</v>
      </c>
      <c r="T937" t="s">
        <v>17143</v>
      </c>
      <c r="U937" t="s">
        <v>74</v>
      </c>
      <c r="V937" t="s">
        <v>17144</v>
      </c>
      <c r="W937" t="s">
        <v>17145</v>
      </c>
      <c r="X937" t="s">
        <v>17146</v>
      </c>
      <c r="Y937" t="s">
        <v>17147</v>
      </c>
      <c r="Z937" t="s">
        <v>17148</v>
      </c>
      <c r="AA937" t="s">
        <v>17149</v>
      </c>
      <c r="AB937" t="s">
        <v>17150</v>
      </c>
      <c r="AC937" t="s">
        <v>74</v>
      </c>
      <c r="AD937" t="s">
        <v>74</v>
      </c>
      <c r="AE937" t="s">
        <v>74</v>
      </c>
      <c r="AF937" t="s">
        <v>74</v>
      </c>
      <c r="AG937">
        <v>9</v>
      </c>
      <c r="AH937">
        <v>3</v>
      </c>
      <c r="AI937">
        <v>3</v>
      </c>
      <c r="AJ937">
        <v>0</v>
      </c>
      <c r="AK937">
        <v>15</v>
      </c>
      <c r="AL937" t="s">
        <v>17151</v>
      </c>
      <c r="AM937" t="s">
        <v>17152</v>
      </c>
      <c r="AN937" t="s">
        <v>17153</v>
      </c>
      <c r="AO937" t="s">
        <v>17154</v>
      </c>
      <c r="AP937" t="s">
        <v>74</v>
      </c>
      <c r="AQ937" t="s">
        <v>74</v>
      </c>
      <c r="AR937" t="s">
        <v>17155</v>
      </c>
      <c r="AS937" t="s">
        <v>17156</v>
      </c>
      <c r="AT937" t="s">
        <v>15141</v>
      </c>
      <c r="AU937">
        <v>2013</v>
      </c>
      <c r="AV937">
        <v>109</v>
      </c>
      <c r="AW937" t="s">
        <v>599</v>
      </c>
      <c r="AX937" t="s">
        <v>74</v>
      </c>
      <c r="AY937" t="s">
        <v>74</v>
      </c>
      <c r="AZ937" t="s">
        <v>74</v>
      </c>
      <c r="BA937" t="s">
        <v>74</v>
      </c>
      <c r="BB937">
        <v>2</v>
      </c>
      <c r="BC937">
        <v>5</v>
      </c>
      <c r="BD937" t="s">
        <v>17157</v>
      </c>
      <c r="BE937" t="s">
        <v>17158</v>
      </c>
      <c r="BF937" t="str">
        <f>HYPERLINK("http://dx.doi.org/10.1590/sajs.2013/a009","http://dx.doi.org/10.1590/sajs.2013/a009")</f>
        <v>http://dx.doi.org/10.1590/sajs.2013/a009</v>
      </c>
      <c r="BG937" t="s">
        <v>74</v>
      </c>
      <c r="BH937" t="s">
        <v>74</v>
      </c>
      <c r="BI937">
        <v>4</v>
      </c>
      <c r="BJ937" t="s">
        <v>1880</v>
      </c>
      <c r="BK937" t="s">
        <v>102</v>
      </c>
      <c r="BL937" t="s">
        <v>1881</v>
      </c>
      <c r="BM937" t="s">
        <v>17159</v>
      </c>
      <c r="BN937" t="s">
        <v>74</v>
      </c>
      <c r="BO937" t="s">
        <v>8995</v>
      </c>
      <c r="BP937" t="s">
        <v>74</v>
      </c>
      <c r="BQ937" t="s">
        <v>74</v>
      </c>
      <c r="BR937" t="s">
        <v>105</v>
      </c>
      <c r="BS937" t="s">
        <v>17160</v>
      </c>
      <c r="BT937" t="str">
        <f>HYPERLINK("https%3A%2F%2Fwww.webofscience.com%2Fwos%2Fwoscc%2Ffull-record%2FWOS:000323295300002","View Full Record in Web of Science")</f>
        <v>View Full Record in Web of Science</v>
      </c>
    </row>
    <row r="938" spans="1:72" x14ac:dyDescent="0.15">
      <c r="A938" t="s">
        <v>72</v>
      </c>
      <c r="B938" t="s">
        <v>17161</v>
      </c>
      <c r="C938" t="s">
        <v>74</v>
      </c>
      <c r="D938" t="s">
        <v>74</v>
      </c>
      <c r="E938" t="s">
        <v>74</v>
      </c>
      <c r="F938" t="s">
        <v>17162</v>
      </c>
      <c r="G938" t="s">
        <v>74</v>
      </c>
      <c r="H938" t="s">
        <v>74</v>
      </c>
      <c r="I938" t="s">
        <v>17163</v>
      </c>
      <c r="J938" t="s">
        <v>17164</v>
      </c>
      <c r="K938" t="s">
        <v>74</v>
      </c>
      <c r="L938" t="s">
        <v>74</v>
      </c>
      <c r="M938" t="s">
        <v>78</v>
      </c>
      <c r="N938" t="s">
        <v>79</v>
      </c>
      <c r="O938" t="s">
        <v>74</v>
      </c>
      <c r="P938" t="s">
        <v>74</v>
      </c>
      <c r="Q938" t="s">
        <v>74</v>
      </c>
      <c r="R938" t="s">
        <v>74</v>
      </c>
      <c r="S938" t="s">
        <v>74</v>
      </c>
      <c r="T938" t="s">
        <v>17165</v>
      </c>
      <c r="U938" t="s">
        <v>17166</v>
      </c>
      <c r="V938" t="s">
        <v>17167</v>
      </c>
      <c r="W938" t="s">
        <v>17168</v>
      </c>
      <c r="X938" t="s">
        <v>17169</v>
      </c>
      <c r="Y938" t="s">
        <v>17170</v>
      </c>
      <c r="Z938" t="s">
        <v>17171</v>
      </c>
      <c r="AA938" t="s">
        <v>74</v>
      </c>
      <c r="AB938" t="s">
        <v>17172</v>
      </c>
      <c r="AC938" t="s">
        <v>74</v>
      </c>
      <c r="AD938" t="s">
        <v>74</v>
      </c>
      <c r="AE938" t="s">
        <v>74</v>
      </c>
      <c r="AF938" t="s">
        <v>74</v>
      </c>
      <c r="AG938">
        <v>21</v>
      </c>
      <c r="AH938">
        <v>16</v>
      </c>
      <c r="AI938">
        <v>18</v>
      </c>
      <c r="AJ938">
        <v>0</v>
      </c>
      <c r="AK938">
        <v>11</v>
      </c>
      <c r="AL938" t="s">
        <v>7356</v>
      </c>
      <c r="AM938" t="s">
        <v>7357</v>
      </c>
      <c r="AN938" t="s">
        <v>7358</v>
      </c>
      <c r="AO938" t="s">
        <v>17173</v>
      </c>
      <c r="AP938" t="s">
        <v>17174</v>
      </c>
      <c r="AQ938" t="s">
        <v>74</v>
      </c>
      <c r="AR938" t="s">
        <v>17175</v>
      </c>
      <c r="AS938" t="s">
        <v>17176</v>
      </c>
      <c r="AT938" t="s">
        <v>14886</v>
      </c>
      <c r="AU938">
        <v>2013</v>
      </c>
      <c r="AV938">
        <v>19</v>
      </c>
      <c r="AW938">
        <v>3</v>
      </c>
      <c r="AX938" t="s">
        <v>74</v>
      </c>
      <c r="AY938" t="s">
        <v>74</v>
      </c>
      <c r="AZ938" t="s">
        <v>74</v>
      </c>
      <c r="BA938" t="s">
        <v>74</v>
      </c>
      <c r="BB938">
        <v>186</v>
      </c>
      <c r="BC938">
        <v>191</v>
      </c>
      <c r="BD938" t="s">
        <v>74</v>
      </c>
      <c r="BE938" t="s">
        <v>17177</v>
      </c>
      <c r="BF938" t="str">
        <f>HYPERLINK("http://dx.doi.org/10.1089/tmj.2012.0111","http://dx.doi.org/10.1089/tmj.2012.0111")</f>
        <v>http://dx.doi.org/10.1089/tmj.2012.0111</v>
      </c>
      <c r="BG938" t="s">
        <v>74</v>
      </c>
      <c r="BH938" t="s">
        <v>74</v>
      </c>
      <c r="BI938">
        <v>6</v>
      </c>
      <c r="BJ938" t="s">
        <v>17178</v>
      </c>
      <c r="BK938" t="s">
        <v>102</v>
      </c>
      <c r="BL938" t="s">
        <v>17178</v>
      </c>
      <c r="BM938" t="s">
        <v>17179</v>
      </c>
      <c r="BN938">
        <v>23480714</v>
      </c>
      <c r="BO938" t="s">
        <v>74</v>
      </c>
      <c r="BP938" t="s">
        <v>74</v>
      </c>
      <c r="BQ938" t="s">
        <v>74</v>
      </c>
      <c r="BR938" t="s">
        <v>105</v>
      </c>
      <c r="BS938" t="s">
        <v>17180</v>
      </c>
      <c r="BT938" t="str">
        <f>HYPERLINK("https%3A%2F%2Fwww.webofscience.com%2Fwos%2Fwoscc%2Ffull-record%2FWOS:000316059300008","View Full Record in Web of Science")</f>
        <v>View Full Record in Web of Science</v>
      </c>
    </row>
    <row r="939" spans="1:72" x14ac:dyDescent="0.15">
      <c r="A939" t="s">
        <v>72</v>
      </c>
      <c r="B939" t="s">
        <v>17181</v>
      </c>
      <c r="C939" t="s">
        <v>74</v>
      </c>
      <c r="D939" t="s">
        <v>74</v>
      </c>
      <c r="E939" t="s">
        <v>74</v>
      </c>
      <c r="F939" t="s">
        <v>17182</v>
      </c>
      <c r="G939" t="s">
        <v>74</v>
      </c>
      <c r="H939" t="s">
        <v>74</v>
      </c>
      <c r="I939" t="s">
        <v>17183</v>
      </c>
      <c r="J939" t="s">
        <v>17184</v>
      </c>
      <c r="K939" t="s">
        <v>74</v>
      </c>
      <c r="L939" t="s">
        <v>74</v>
      </c>
      <c r="M939" t="s">
        <v>78</v>
      </c>
      <c r="N939" t="s">
        <v>1459</v>
      </c>
      <c r="O939" t="s">
        <v>74</v>
      </c>
      <c r="P939" t="s">
        <v>74</v>
      </c>
      <c r="Q939" t="s">
        <v>74</v>
      </c>
      <c r="R939" t="s">
        <v>74</v>
      </c>
      <c r="S939" t="s">
        <v>74</v>
      </c>
      <c r="T939" t="s">
        <v>17185</v>
      </c>
      <c r="U939" t="s">
        <v>17186</v>
      </c>
      <c r="V939" t="s">
        <v>17187</v>
      </c>
      <c r="W939" t="s">
        <v>17188</v>
      </c>
      <c r="X939" t="s">
        <v>17189</v>
      </c>
      <c r="Y939" t="s">
        <v>17190</v>
      </c>
      <c r="Z939" t="s">
        <v>17191</v>
      </c>
      <c r="AA939" t="s">
        <v>17192</v>
      </c>
      <c r="AB939" t="s">
        <v>17193</v>
      </c>
      <c r="AC939" t="s">
        <v>17194</v>
      </c>
      <c r="AD939" t="s">
        <v>17195</v>
      </c>
      <c r="AE939" t="s">
        <v>17196</v>
      </c>
      <c r="AF939" t="s">
        <v>74</v>
      </c>
      <c r="AG939">
        <v>152</v>
      </c>
      <c r="AH939">
        <v>32</v>
      </c>
      <c r="AI939">
        <v>36</v>
      </c>
      <c r="AJ939">
        <v>0</v>
      </c>
      <c r="AK939">
        <v>23</v>
      </c>
      <c r="AL939" t="s">
        <v>2961</v>
      </c>
      <c r="AM939" t="s">
        <v>369</v>
      </c>
      <c r="AN939" t="s">
        <v>370</v>
      </c>
      <c r="AO939" t="s">
        <v>17197</v>
      </c>
      <c r="AP939" t="s">
        <v>74</v>
      </c>
      <c r="AQ939" t="s">
        <v>74</v>
      </c>
      <c r="AR939" t="s">
        <v>17198</v>
      </c>
      <c r="AS939" t="s">
        <v>17199</v>
      </c>
      <c r="AT939" t="s">
        <v>14886</v>
      </c>
      <c r="AU939">
        <v>2013</v>
      </c>
      <c r="AV939">
        <v>167</v>
      </c>
      <c r="AW939">
        <v>3</v>
      </c>
      <c r="AX939" t="s">
        <v>74</v>
      </c>
      <c r="AY939" t="s">
        <v>74</v>
      </c>
      <c r="AZ939" t="s">
        <v>74</v>
      </c>
      <c r="BA939" t="s">
        <v>74</v>
      </c>
      <c r="BB939">
        <v>389</v>
      </c>
      <c r="BC939">
        <v>429</v>
      </c>
      <c r="BD939" t="s">
        <v>74</v>
      </c>
      <c r="BE939" t="s">
        <v>17200</v>
      </c>
      <c r="BF939" t="str">
        <f>HYPERLINK("http://dx.doi.org/10.1111/zoj.12013","http://dx.doi.org/10.1111/zoj.12013")</f>
        <v>http://dx.doi.org/10.1111/zoj.12013</v>
      </c>
      <c r="BG939" t="s">
        <v>74</v>
      </c>
      <c r="BH939" t="s">
        <v>74</v>
      </c>
      <c r="BI939">
        <v>41</v>
      </c>
      <c r="BJ939" t="s">
        <v>2120</v>
      </c>
      <c r="BK939" t="s">
        <v>102</v>
      </c>
      <c r="BL939" t="s">
        <v>2120</v>
      </c>
      <c r="BM939" t="s">
        <v>17201</v>
      </c>
      <c r="BN939" t="s">
        <v>74</v>
      </c>
      <c r="BO939" t="s">
        <v>74</v>
      </c>
      <c r="BP939" t="s">
        <v>74</v>
      </c>
      <c r="BQ939" t="s">
        <v>74</v>
      </c>
      <c r="BR939" t="s">
        <v>105</v>
      </c>
      <c r="BS939" t="s">
        <v>17202</v>
      </c>
      <c r="BT939" t="str">
        <f>HYPERLINK("https%3A%2F%2Fwww.webofscience.com%2Fwos%2Fwoscc%2Ffull-record%2FWOS:000316749600003","View Full Record in Web of Science")</f>
        <v>View Full Record in Web of Science</v>
      </c>
    </row>
    <row r="940" spans="1:72" x14ac:dyDescent="0.15">
      <c r="A940" t="s">
        <v>72</v>
      </c>
      <c r="B940" t="s">
        <v>17203</v>
      </c>
      <c r="C940" t="s">
        <v>74</v>
      </c>
      <c r="D940" t="s">
        <v>74</v>
      </c>
      <c r="E940" t="s">
        <v>74</v>
      </c>
      <c r="F940" t="s">
        <v>17204</v>
      </c>
      <c r="G940" t="s">
        <v>74</v>
      </c>
      <c r="H940" t="s">
        <v>74</v>
      </c>
      <c r="I940" t="s">
        <v>17205</v>
      </c>
      <c r="J940" t="s">
        <v>17206</v>
      </c>
      <c r="K940" t="s">
        <v>74</v>
      </c>
      <c r="L940" t="s">
        <v>74</v>
      </c>
      <c r="M940" t="s">
        <v>78</v>
      </c>
      <c r="N940" t="s">
        <v>79</v>
      </c>
      <c r="O940" t="s">
        <v>74</v>
      </c>
      <c r="P940" t="s">
        <v>74</v>
      </c>
      <c r="Q940" t="s">
        <v>74</v>
      </c>
      <c r="R940" t="s">
        <v>74</v>
      </c>
      <c r="S940" t="s">
        <v>74</v>
      </c>
      <c r="T940" t="s">
        <v>17207</v>
      </c>
      <c r="U940" t="s">
        <v>17208</v>
      </c>
      <c r="V940" t="s">
        <v>17209</v>
      </c>
      <c r="W940" t="s">
        <v>17210</v>
      </c>
      <c r="X940" t="s">
        <v>17211</v>
      </c>
      <c r="Y940" t="s">
        <v>17212</v>
      </c>
      <c r="Z940" t="s">
        <v>17213</v>
      </c>
      <c r="AA940" t="s">
        <v>17214</v>
      </c>
      <c r="AB940" t="s">
        <v>17215</v>
      </c>
      <c r="AC940" t="s">
        <v>17216</v>
      </c>
      <c r="AD940" t="s">
        <v>17217</v>
      </c>
      <c r="AE940" t="s">
        <v>17218</v>
      </c>
      <c r="AF940" t="s">
        <v>74</v>
      </c>
      <c r="AG940">
        <v>28</v>
      </c>
      <c r="AH940">
        <v>5</v>
      </c>
      <c r="AI940">
        <v>6</v>
      </c>
      <c r="AJ940">
        <v>0</v>
      </c>
      <c r="AK940">
        <v>15</v>
      </c>
      <c r="AL940" t="s">
        <v>195</v>
      </c>
      <c r="AM940" t="s">
        <v>155</v>
      </c>
      <c r="AN940" t="s">
        <v>196</v>
      </c>
      <c r="AO940" t="s">
        <v>17219</v>
      </c>
      <c r="AP940" t="s">
        <v>17220</v>
      </c>
      <c r="AQ940" t="s">
        <v>74</v>
      </c>
      <c r="AR940" t="s">
        <v>17221</v>
      </c>
      <c r="AS940" t="s">
        <v>17222</v>
      </c>
      <c r="AT940" t="s">
        <v>15214</v>
      </c>
      <c r="AU940">
        <v>2013</v>
      </c>
      <c r="AV940">
        <v>290</v>
      </c>
      <c r="AW940" t="s">
        <v>74</v>
      </c>
      <c r="AX940" t="s">
        <v>74</v>
      </c>
      <c r="AY940" t="s">
        <v>74</v>
      </c>
      <c r="AZ940" t="s">
        <v>74</v>
      </c>
      <c r="BA940" t="s">
        <v>74</v>
      </c>
      <c r="BB940">
        <v>19</v>
      </c>
      <c r="BC940">
        <v>27</v>
      </c>
      <c r="BD940" t="s">
        <v>74</v>
      </c>
      <c r="BE940" t="s">
        <v>17223</v>
      </c>
      <c r="BF940" t="str">
        <f>HYPERLINK("http://dx.doi.org/10.1016/j.optcom.2012.10.012","http://dx.doi.org/10.1016/j.optcom.2012.10.012")</f>
        <v>http://dx.doi.org/10.1016/j.optcom.2012.10.012</v>
      </c>
      <c r="BG940" t="s">
        <v>74</v>
      </c>
      <c r="BH940" t="s">
        <v>74</v>
      </c>
      <c r="BI940">
        <v>9</v>
      </c>
      <c r="BJ940" t="s">
        <v>17224</v>
      </c>
      <c r="BK940" t="s">
        <v>102</v>
      </c>
      <c r="BL940" t="s">
        <v>17224</v>
      </c>
      <c r="BM940" t="s">
        <v>17225</v>
      </c>
      <c r="BN940" t="s">
        <v>74</v>
      </c>
      <c r="BO940" t="s">
        <v>104</v>
      </c>
      <c r="BP940" t="s">
        <v>74</v>
      </c>
      <c r="BQ940" t="s">
        <v>74</v>
      </c>
      <c r="BR940" t="s">
        <v>105</v>
      </c>
      <c r="BS940" t="s">
        <v>17226</v>
      </c>
      <c r="BT940" t="str">
        <f>HYPERLINK("https%3A%2F%2Fwww.webofscience.com%2Fwos%2Fwoscc%2Ffull-record%2FWOS:000312613300004","View Full Record in Web of Science")</f>
        <v>View Full Record in Web of Science</v>
      </c>
    </row>
    <row r="941" spans="1:72" x14ac:dyDescent="0.15">
      <c r="A941" t="s">
        <v>72</v>
      </c>
      <c r="B941" t="s">
        <v>17227</v>
      </c>
      <c r="C941" t="s">
        <v>74</v>
      </c>
      <c r="D941" t="s">
        <v>74</v>
      </c>
      <c r="E941" t="s">
        <v>74</v>
      </c>
      <c r="F941" t="s">
        <v>17228</v>
      </c>
      <c r="G941" t="s">
        <v>74</v>
      </c>
      <c r="H941" t="s">
        <v>74</v>
      </c>
      <c r="I941" t="s">
        <v>17229</v>
      </c>
      <c r="J941" t="s">
        <v>17230</v>
      </c>
      <c r="K941" t="s">
        <v>74</v>
      </c>
      <c r="L941" t="s">
        <v>74</v>
      </c>
      <c r="M941" t="s">
        <v>78</v>
      </c>
      <c r="N941" t="s">
        <v>79</v>
      </c>
      <c r="O941" t="s">
        <v>74</v>
      </c>
      <c r="P941" t="s">
        <v>74</v>
      </c>
      <c r="Q941" t="s">
        <v>74</v>
      </c>
      <c r="R941" t="s">
        <v>74</v>
      </c>
      <c r="S941" t="s">
        <v>74</v>
      </c>
      <c r="T941" t="s">
        <v>17231</v>
      </c>
      <c r="U941" t="s">
        <v>17232</v>
      </c>
      <c r="V941" t="s">
        <v>17233</v>
      </c>
      <c r="W941" t="s">
        <v>17234</v>
      </c>
      <c r="X941" t="s">
        <v>10913</v>
      </c>
      <c r="Y941" t="s">
        <v>17235</v>
      </c>
      <c r="Z941" t="s">
        <v>17236</v>
      </c>
      <c r="AA941" t="s">
        <v>74</v>
      </c>
      <c r="AB941" t="s">
        <v>74</v>
      </c>
      <c r="AC941" t="s">
        <v>17237</v>
      </c>
      <c r="AD941" t="s">
        <v>17238</v>
      </c>
      <c r="AE941" t="s">
        <v>17239</v>
      </c>
      <c r="AF941" t="s">
        <v>74</v>
      </c>
      <c r="AG941">
        <v>128</v>
      </c>
      <c r="AH941">
        <v>11</v>
      </c>
      <c r="AI941">
        <v>12</v>
      </c>
      <c r="AJ941">
        <v>0</v>
      </c>
      <c r="AK941">
        <v>9</v>
      </c>
      <c r="AL941" t="s">
        <v>17240</v>
      </c>
      <c r="AM941" t="s">
        <v>17241</v>
      </c>
      <c r="AN941" t="s">
        <v>17242</v>
      </c>
      <c r="AO941" t="s">
        <v>17243</v>
      </c>
      <c r="AP941" t="s">
        <v>17244</v>
      </c>
      <c r="AQ941" t="s">
        <v>74</v>
      </c>
      <c r="AR941" t="s">
        <v>17230</v>
      </c>
      <c r="AS941" t="s">
        <v>17245</v>
      </c>
      <c r="AT941" t="s">
        <v>17246</v>
      </c>
      <c r="AU941">
        <v>2013</v>
      </c>
      <c r="AV941">
        <v>50</v>
      </c>
      <c r="AW941">
        <v>1</v>
      </c>
      <c r="AX941" t="s">
        <v>74</v>
      </c>
      <c r="AY941" t="s">
        <v>74</v>
      </c>
      <c r="AZ941" t="s">
        <v>74</v>
      </c>
      <c r="BA941" t="s">
        <v>74</v>
      </c>
      <c r="BB941">
        <v>114</v>
      </c>
      <c r="BC941">
        <v>135</v>
      </c>
      <c r="BD941" t="s">
        <v>74</v>
      </c>
      <c r="BE941" t="s">
        <v>17247</v>
      </c>
      <c r="BF941" t="str">
        <f>HYPERLINK("http://dx.doi.org/10.5710/AMGH.7.2.2013.588","http://dx.doi.org/10.5710/AMGH.7.2.2013.588")</f>
        <v>http://dx.doi.org/10.5710/AMGH.7.2.2013.588</v>
      </c>
      <c r="BG941" t="s">
        <v>74</v>
      </c>
      <c r="BH941" t="s">
        <v>74</v>
      </c>
      <c r="BI941">
        <v>22</v>
      </c>
      <c r="BJ941" t="s">
        <v>3339</v>
      </c>
      <c r="BK941" t="s">
        <v>102</v>
      </c>
      <c r="BL941" t="s">
        <v>3339</v>
      </c>
      <c r="BM941" t="s">
        <v>17248</v>
      </c>
      <c r="BN941" t="s">
        <v>74</v>
      </c>
      <c r="BO941" t="s">
        <v>426</v>
      </c>
      <c r="BP941" t="s">
        <v>74</v>
      </c>
      <c r="BQ941" t="s">
        <v>74</v>
      </c>
      <c r="BR941" t="s">
        <v>105</v>
      </c>
      <c r="BS941" t="s">
        <v>17249</v>
      </c>
      <c r="BT941" t="str">
        <f>HYPERLINK("https%3A%2F%2Fwww.webofscience.com%2Fwos%2Fwoscc%2Ffull-record%2FWOS:000322555400007","View Full Record in Web of Science")</f>
        <v>View Full Record in Web of Science</v>
      </c>
    </row>
    <row r="942" spans="1:72" x14ac:dyDescent="0.15">
      <c r="A942" t="s">
        <v>72</v>
      </c>
      <c r="B942" t="s">
        <v>17250</v>
      </c>
      <c r="C942" t="s">
        <v>74</v>
      </c>
      <c r="D942" t="s">
        <v>74</v>
      </c>
      <c r="E942" t="s">
        <v>74</v>
      </c>
      <c r="F942" t="s">
        <v>17251</v>
      </c>
      <c r="G942" t="s">
        <v>74</v>
      </c>
      <c r="H942" t="s">
        <v>74</v>
      </c>
      <c r="I942" t="s">
        <v>17252</v>
      </c>
      <c r="J942" t="s">
        <v>1957</v>
      </c>
      <c r="K942" t="s">
        <v>74</v>
      </c>
      <c r="L942" t="s">
        <v>74</v>
      </c>
      <c r="M942" t="s">
        <v>78</v>
      </c>
      <c r="N942" t="s">
        <v>79</v>
      </c>
      <c r="O942" t="s">
        <v>74</v>
      </c>
      <c r="P942" t="s">
        <v>74</v>
      </c>
      <c r="Q942" t="s">
        <v>74</v>
      </c>
      <c r="R942" t="s">
        <v>74</v>
      </c>
      <c r="S942" t="s">
        <v>74</v>
      </c>
      <c r="T942" t="s">
        <v>74</v>
      </c>
      <c r="U942" t="s">
        <v>17253</v>
      </c>
      <c r="V942" t="s">
        <v>17254</v>
      </c>
      <c r="W942" t="s">
        <v>17255</v>
      </c>
      <c r="X942" t="s">
        <v>17256</v>
      </c>
      <c r="Y942" t="s">
        <v>17257</v>
      </c>
      <c r="Z942" t="s">
        <v>17258</v>
      </c>
      <c r="AA942" t="s">
        <v>17259</v>
      </c>
      <c r="AB942" t="s">
        <v>17260</v>
      </c>
      <c r="AC942" t="s">
        <v>17261</v>
      </c>
      <c r="AD942" t="s">
        <v>17262</v>
      </c>
      <c r="AE942" t="s">
        <v>17263</v>
      </c>
      <c r="AF942" t="s">
        <v>74</v>
      </c>
      <c r="AG942">
        <v>26</v>
      </c>
      <c r="AH942">
        <v>27</v>
      </c>
      <c r="AI942">
        <v>32</v>
      </c>
      <c r="AJ942">
        <v>2</v>
      </c>
      <c r="AK942">
        <v>42</v>
      </c>
      <c r="AL942" t="s">
        <v>92</v>
      </c>
      <c r="AM942" t="s">
        <v>93</v>
      </c>
      <c r="AN942" t="s">
        <v>94</v>
      </c>
      <c r="AO942" t="s">
        <v>1970</v>
      </c>
      <c r="AP942" t="s">
        <v>1971</v>
      </c>
      <c r="AQ942" t="s">
        <v>74</v>
      </c>
      <c r="AR942" t="s">
        <v>1972</v>
      </c>
      <c r="AS942" t="s">
        <v>1973</v>
      </c>
      <c r="AT942" t="s">
        <v>17246</v>
      </c>
      <c r="AU942">
        <v>2013</v>
      </c>
      <c r="AV942">
        <v>40</v>
      </c>
      <c r="AW942">
        <v>4</v>
      </c>
      <c r="AX942" t="s">
        <v>74</v>
      </c>
      <c r="AY942" t="s">
        <v>74</v>
      </c>
      <c r="AZ942" t="s">
        <v>74</v>
      </c>
      <c r="BA942" t="s">
        <v>74</v>
      </c>
      <c r="BB942">
        <v>791</v>
      </c>
      <c r="BC942">
        <v>796</v>
      </c>
      <c r="BD942" t="s">
        <v>74</v>
      </c>
      <c r="BE942" t="s">
        <v>17264</v>
      </c>
      <c r="BF942" t="str">
        <f>HYPERLINK("http://dx.doi.org/10.1002/grl.50154","http://dx.doi.org/10.1002/grl.50154")</f>
        <v>http://dx.doi.org/10.1002/grl.50154</v>
      </c>
      <c r="BG942" t="s">
        <v>74</v>
      </c>
      <c r="BH942" t="s">
        <v>74</v>
      </c>
      <c r="BI942">
        <v>6</v>
      </c>
      <c r="BJ942" t="s">
        <v>1426</v>
      </c>
      <c r="BK942" t="s">
        <v>102</v>
      </c>
      <c r="BL942" t="s">
        <v>219</v>
      </c>
      <c r="BM942" t="s">
        <v>17265</v>
      </c>
      <c r="BN942" t="s">
        <v>74</v>
      </c>
      <c r="BO942" t="s">
        <v>426</v>
      </c>
      <c r="BP942" t="s">
        <v>74</v>
      </c>
      <c r="BQ942" t="s">
        <v>74</v>
      </c>
      <c r="BR942" t="s">
        <v>105</v>
      </c>
      <c r="BS942" t="s">
        <v>17266</v>
      </c>
      <c r="BT942" t="str">
        <f>HYPERLINK("https%3A%2F%2Fwww.webofscience.com%2Fwos%2Fwoscc%2Ffull-record%2FWOS:000317831800024","View Full Record in Web of Science")</f>
        <v>View Full Record in Web of Science</v>
      </c>
    </row>
    <row r="943" spans="1:72" x14ac:dyDescent="0.15">
      <c r="A943" t="s">
        <v>72</v>
      </c>
      <c r="B943" t="s">
        <v>17267</v>
      </c>
      <c r="C943" t="s">
        <v>74</v>
      </c>
      <c r="D943" t="s">
        <v>74</v>
      </c>
      <c r="E943" t="s">
        <v>74</v>
      </c>
      <c r="F943" t="s">
        <v>17268</v>
      </c>
      <c r="G943" t="s">
        <v>74</v>
      </c>
      <c r="H943" t="s">
        <v>74</v>
      </c>
      <c r="I943" t="s">
        <v>17269</v>
      </c>
      <c r="J943" t="s">
        <v>2016</v>
      </c>
      <c r="K943" t="s">
        <v>74</v>
      </c>
      <c r="L943" t="s">
        <v>74</v>
      </c>
      <c r="M943" t="s">
        <v>78</v>
      </c>
      <c r="N943" t="s">
        <v>79</v>
      </c>
      <c r="O943" t="s">
        <v>74</v>
      </c>
      <c r="P943" t="s">
        <v>74</v>
      </c>
      <c r="Q943" t="s">
        <v>74</v>
      </c>
      <c r="R943" t="s">
        <v>74</v>
      </c>
      <c r="S943" t="s">
        <v>74</v>
      </c>
      <c r="T943" t="s">
        <v>74</v>
      </c>
      <c r="U943" t="s">
        <v>17270</v>
      </c>
      <c r="V943" t="s">
        <v>17271</v>
      </c>
      <c r="W943" t="s">
        <v>17272</v>
      </c>
      <c r="X943" t="s">
        <v>17273</v>
      </c>
      <c r="Y943" t="s">
        <v>17274</v>
      </c>
      <c r="Z943" t="s">
        <v>17275</v>
      </c>
      <c r="AA943" t="s">
        <v>17276</v>
      </c>
      <c r="AB943" t="s">
        <v>17277</v>
      </c>
      <c r="AC943" t="s">
        <v>17278</v>
      </c>
      <c r="AD943" t="s">
        <v>17279</v>
      </c>
      <c r="AE943" t="s">
        <v>17280</v>
      </c>
      <c r="AF943" t="s">
        <v>74</v>
      </c>
      <c r="AG943">
        <v>68</v>
      </c>
      <c r="AH943">
        <v>52</v>
      </c>
      <c r="AI943">
        <v>52</v>
      </c>
      <c r="AJ943">
        <v>0</v>
      </c>
      <c r="AK943">
        <v>26</v>
      </c>
      <c r="AL943" t="s">
        <v>92</v>
      </c>
      <c r="AM943" t="s">
        <v>93</v>
      </c>
      <c r="AN943" t="s">
        <v>94</v>
      </c>
      <c r="AO943" t="s">
        <v>2029</v>
      </c>
      <c r="AP943" t="s">
        <v>74</v>
      </c>
      <c r="AQ943" t="s">
        <v>74</v>
      </c>
      <c r="AR943" t="s">
        <v>2031</v>
      </c>
      <c r="AS943" t="s">
        <v>2032</v>
      </c>
      <c r="AT943" t="s">
        <v>17281</v>
      </c>
      <c r="AU943">
        <v>2013</v>
      </c>
      <c r="AV943">
        <v>118</v>
      </c>
      <c r="AW943">
        <v>4</v>
      </c>
      <c r="AX943" t="s">
        <v>74</v>
      </c>
      <c r="AY943" t="s">
        <v>74</v>
      </c>
      <c r="AZ943" t="s">
        <v>74</v>
      </c>
      <c r="BA943" t="s">
        <v>74</v>
      </c>
      <c r="BB943">
        <v>1700</v>
      </c>
      <c r="BC943">
        <v>1715</v>
      </c>
      <c r="BD943" t="s">
        <v>74</v>
      </c>
      <c r="BE943" t="s">
        <v>17282</v>
      </c>
      <c r="BF943" t="str">
        <f>HYPERLINK("http://dx.doi.org/10.1002/jgrd.50177","http://dx.doi.org/10.1002/jgrd.50177")</f>
        <v>http://dx.doi.org/10.1002/jgrd.50177</v>
      </c>
      <c r="BG943" t="s">
        <v>74</v>
      </c>
      <c r="BH943" t="s">
        <v>74</v>
      </c>
      <c r="BI943">
        <v>16</v>
      </c>
      <c r="BJ943" t="s">
        <v>305</v>
      </c>
      <c r="BK943" t="s">
        <v>102</v>
      </c>
      <c r="BL943" t="s">
        <v>305</v>
      </c>
      <c r="BM943" t="s">
        <v>17283</v>
      </c>
      <c r="BN943" t="s">
        <v>74</v>
      </c>
      <c r="BO943" t="s">
        <v>2011</v>
      </c>
      <c r="BP943" t="s">
        <v>74</v>
      </c>
      <c r="BQ943" t="s">
        <v>74</v>
      </c>
      <c r="BR943" t="s">
        <v>105</v>
      </c>
      <c r="BS943" t="s">
        <v>17284</v>
      </c>
      <c r="BT943" t="str">
        <f>HYPERLINK("https%3A%2F%2Fwww.webofscience.com%2Fwos%2Fwoscc%2Ffull-record%2FWOS:000317841000010","View Full Record in Web of Science")</f>
        <v>View Full Record in Web of Science</v>
      </c>
    </row>
    <row r="944" spans="1:72" x14ac:dyDescent="0.15">
      <c r="A944" t="s">
        <v>72</v>
      </c>
      <c r="B944" t="s">
        <v>17285</v>
      </c>
      <c r="C944" t="s">
        <v>74</v>
      </c>
      <c r="D944" t="s">
        <v>74</v>
      </c>
      <c r="E944" t="s">
        <v>74</v>
      </c>
      <c r="F944" t="s">
        <v>17286</v>
      </c>
      <c r="G944" t="s">
        <v>74</v>
      </c>
      <c r="H944" t="s">
        <v>74</v>
      </c>
      <c r="I944" t="s">
        <v>17287</v>
      </c>
      <c r="J944" t="s">
        <v>2343</v>
      </c>
      <c r="K944" t="s">
        <v>74</v>
      </c>
      <c r="L944" t="s">
        <v>74</v>
      </c>
      <c r="M944" t="s">
        <v>78</v>
      </c>
      <c r="N944" t="s">
        <v>79</v>
      </c>
      <c r="O944" t="s">
        <v>74</v>
      </c>
      <c r="P944" t="s">
        <v>74</v>
      </c>
      <c r="Q944" t="s">
        <v>74</v>
      </c>
      <c r="R944" t="s">
        <v>74</v>
      </c>
      <c r="S944" t="s">
        <v>74</v>
      </c>
      <c r="T944" t="s">
        <v>74</v>
      </c>
      <c r="U944" t="s">
        <v>17288</v>
      </c>
      <c r="V944" t="s">
        <v>17289</v>
      </c>
      <c r="W944" t="s">
        <v>17290</v>
      </c>
      <c r="X944" t="s">
        <v>17291</v>
      </c>
      <c r="Y944" t="s">
        <v>17292</v>
      </c>
      <c r="Z944" t="s">
        <v>17293</v>
      </c>
      <c r="AA944" t="s">
        <v>17294</v>
      </c>
      <c r="AB944" t="s">
        <v>17295</v>
      </c>
      <c r="AC944" t="s">
        <v>17296</v>
      </c>
      <c r="AD944" t="s">
        <v>17297</v>
      </c>
      <c r="AE944" t="s">
        <v>17298</v>
      </c>
      <c r="AF944" t="s">
        <v>74</v>
      </c>
      <c r="AG944">
        <v>36</v>
      </c>
      <c r="AH944">
        <v>58</v>
      </c>
      <c r="AI944">
        <v>60</v>
      </c>
      <c r="AJ944">
        <v>0</v>
      </c>
      <c r="AK944">
        <v>29</v>
      </c>
      <c r="AL944" t="s">
        <v>2355</v>
      </c>
      <c r="AM944" t="s">
        <v>2356</v>
      </c>
      <c r="AN944" t="s">
        <v>2357</v>
      </c>
      <c r="AO944" t="s">
        <v>2358</v>
      </c>
      <c r="AP944" t="s">
        <v>74</v>
      </c>
      <c r="AQ944" t="s">
        <v>74</v>
      </c>
      <c r="AR944" t="s">
        <v>2343</v>
      </c>
      <c r="AS944" t="s">
        <v>2359</v>
      </c>
      <c r="AT944" t="s">
        <v>17281</v>
      </c>
      <c r="AU944">
        <v>2013</v>
      </c>
      <c r="AV944">
        <v>8</v>
      </c>
      <c r="AW944">
        <v>2</v>
      </c>
      <c r="AX944" t="s">
        <v>74</v>
      </c>
      <c r="AY944" t="s">
        <v>74</v>
      </c>
      <c r="AZ944" t="s">
        <v>74</v>
      </c>
      <c r="BA944" t="s">
        <v>74</v>
      </c>
      <c r="BB944" t="s">
        <v>74</v>
      </c>
      <c r="BC944" t="s">
        <v>74</v>
      </c>
      <c r="BD944" t="s">
        <v>17299</v>
      </c>
      <c r="BE944" t="s">
        <v>17300</v>
      </c>
      <c r="BF944" t="str">
        <f>HYPERLINK("http://dx.doi.org/10.1371/journal.pone.0056939","http://dx.doi.org/10.1371/journal.pone.0056939")</f>
        <v>http://dx.doi.org/10.1371/journal.pone.0056939</v>
      </c>
      <c r="BG944" t="s">
        <v>74</v>
      </c>
      <c r="BH944" t="s">
        <v>74</v>
      </c>
      <c r="BI944">
        <v>7</v>
      </c>
      <c r="BJ944" t="s">
        <v>1880</v>
      </c>
      <c r="BK944" t="s">
        <v>102</v>
      </c>
      <c r="BL944" t="s">
        <v>1881</v>
      </c>
      <c r="BM944" t="s">
        <v>17301</v>
      </c>
      <c r="BN944">
        <v>23460822</v>
      </c>
      <c r="BO944" t="s">
        <v>14809</v>
      </c>
      <c r="BP944" t="s">
        <v>74</v>
      </c>
      <c r="BQ944" t="s">
        <v>74</v>
      </c>
      <c r="BR944" t="s">
        <v>105</v>
      </c>
      <c r="BS944" t="s">
        <v>17302</v>
      </c>
      <c r="BT944" t="str">
        <f>HYPERLINK("https%3A%2F%2Fwww.webofscience.com%2Fwos%2Fwoscc%2Ffull-record%2FWOS:000315519000048","View Full Record in Web of Science")</f>
        <v>View Full Record in Web of Science</v>
      </c>
    </row>
    <row r="945" spans="1:72" x14ac:dyDescent="0.15">
      <c r="A945" t="s">
        <v>72</v>
      </c>
      <c r="B945" t="s">
        <v>17303</v>
      </c>
      <c r="C945" t="s">
        <v>74</v>
      </c>
      <c r="D945" t="s">
        <v>74</v>
      </c>
      <c r="E945" t="s">
        <v>74</v>
      </c>
      <c r="F945" t="s">
        <v>17304</v>
      </c>
      <c r="G945" t="s">
        <v>74</v>
      </c>
      <c r="H945" t="s">
        <v>74</v>
      </c>
      <c r="I945" t="s">
        <v>17305</v>
      </c>
      <c r="J945" t="s">
        <v>2101</v>
      </c>
      <c r="K945" t="s">
        <v>74</v>
      </c>
      <c r="L945" t="s">
        <v>74</v>
      </c>
      <c r="M945" t="s">
        <v>78</v>
      </c>
      <c r="N945" t="s">
        <v>79</v>
      </c>
      <c r="O945" t="s">
        <v>74</v>
      </c>
      <c r="P945" t="s">
        <v>74</v>
      </c>
      <c r="Q945" t="s">
        <v>74</v>
      </c>
      <c r="R945" t="s">
        <v>74</v>
      </c>
      <c r="S945" t="s">
        <v>74</v>
      </c>
      <c r="T945" t="s">
        <v>17306</v>
      </c>
      <c r="U945" t="s">
        <v>17307</v>
      </c>
      <c r="V945" t="s">
        <v>17308</v>
      </c>
      <c r="W945" t="s">
        <v>17309</v>
      </c>
      <c r="X945" t="s">
        <v>17310</v>
      </c>
      <c r="Y945" t="s">
        <v>17311</v>
      </c>
      <c r="Z945" t="s">
        <v>17312</v>
      </c>
      <c r="AA945" t="s">
        <v>74</v>
      </c>
      <c r="AB945" t="s">
        <v>74</v>
      </c>
      <c r="AC945" t="s">
        <v>17313</v>
      </c>
      <c r="AD945" t="s">
        <v>17314</v>
      </c>
      <c r="AE945" t="s">
        <v>17315</v>
      </c>
      <c r="AF945" t="s">
        <v>74</v>
      </c>
      <c r="AG945">
        <v>70</v>
      </c>
      <c r="AH945">
        <v>17</v>
      </c>
      <c r="AI945">
        <v>17</v>
      </c>
      <c r="AJ945">
        <v>0</v>
      </c>
      <c r="AK945">
        <v>14</v>
      </c>
      <c r="AL945" t="s">
        <v>2112</v>
      </c>
      <c r="AM945" t="s">
        <v>2113</v>
      </c>
      <c r="AN945" t="s">
        <v>2114</v>
      </c>
      <c r="AO945" t="s">
        <v>2115</v>
      </c>
      <c r="AP945" t="s">
        <v>2116</v>
      </c>
      <c r="AQ945" t="s">
        <v>74</v>
      </c>
      <c r="AR945" t="s">
        <v>2101</v>
      </c>
      <c r="AS945" t="s">
        <v>2117</v>
      </c>
      <c r="AT945" t="s">
        <v>17316</v>
      </c>
      <c r="AU945">
        <v>2013</v>
      </c>
      <c r="AV945">
        <v>3619</v>
      </c>
      <c r="AW945">
        <v>1</v>
      </c>
      <c r="AX945" t="s">
        <v>74</v>
      </c>
      <c r="AY945" t="s">
        <v>74</v>
      </c>
      <c r="AZ945" t="s">
        <v>74</v>
      </c>
      <c r="BA945" t="s">
        <v>74</v>
      </c>
      <c r="BB945">
        <v>1</v>
      </c>
      <c r="BC945">
        <v>45</v>
      </c>
      <c r="BD945" t="s">
        <v>74</v>
      </c>
      <c r="BE945" t="s">
        <v>17317</v>
      </c>
      <c r="BF945" t="str">
        <f>HYPERLINK("http://dx.doi.org/10.11646/zootaxa.3619.1.1","http://dx.doi.org/10.11646/zootaxa.3619.1.1")</f>
        <v>http://dx.doi.org/10.11646/zootaxa.3619.1.1</v>
      </c>
      <c r="BG945" t="s">
        <v>74</v>
      </c>
      <c r="BH945" t="s">
        <v>74</v>
      </c>
      <c r="BI945">
        <v>45</v>
      </c>
      <c r="BJ945" t="s">
        <v>2120</v>
      </c>
      <c r="BK945" t="s">
        <v>102</v>
      </c>
      <c r="BL945" t="s">
        <v>2120</v>
      </c>
      <c r="BM945" t="s">
        <v>17318</v>
      </c>
      <c r="BN945">
        <v>26131462</v>
      </c>
      <c r="BO945" t="s">
        <v>74</v>
      </c>
      <c r="BP945" t="s">
        <v>74</v>
      </c>
      <c r="BQ945" t="s">
        <v>74</v>
      </c>
      <c r="BR945" t="s">
        <v>105</v>
      </c>
      <c r="BS945" t="s">
        <v>17319</v>
      </c>
      <c r="BT945" t="str">
        <f>HYPERLINK("https%3A%2F%2Fwww.webofscience.com%2Fwos%2Fwoscc%2Ffull-record%2FWOS:000315258800001","View Full Record in Web of Science")</f>
        <v>View Full Record in Web of Science</v>
      </c>
    </row>
    <row r="946" spans="1:72" x14ac:dyDescent="0.15">
      <c r="A946" t="s">
        <v>72</v>
      </c>
      <c r="B946" t="s">
        <v>17320</v>
      </c>
      <c r="C946" t="s">
        <v>74</v>
      </c>
      <c r="D946" t="s">
        <v>74</v>
      </c>
      <c r="E946" t="s">
        <v>74</v>
      </c>
      <c r="F946" t="s">
        <v>17321</v>
      </c>
      <c r="G946" t="s">
        <v>74</v>
      </c>
      <c r="H946" t="s">
        <v>74</v>
      </c>
      <c r="I946" t="s">
        <v>17322</v>
      </c>
      <c r="J946" t="s">
        <v>2343</v>
      </c>
      <c r="K946" t="s">
        <v>74</v>
      </c>
      <c r="L946" t="s">
        <v>74</v>
      </c>
      <c r="M946" t="s">
        <v>78</v>
      </c>
      <c r="N946" t="s">
        <v>79</v>
      </c>
      <c r="O946" t="s">
        <v>74</v>
      </c>
      <c r="P946" t="s">
        <v>74</v>
      </c>
      <c r="Q946" t="s">
        <v>74</v>
      </c>
      <c r="R946" t="s">
        <v>74</v>
      </c>
      <c r="S946" t="s">
        <v>74</v>
      </c>
      <c r="T946" t="s">
        <v>74</v>
      </c>
      <c r="U946" t="s">
        <v>17323</v>
      </c>
      <c r="V946" t="s">
        <v>17324</v>
      </c>
      <c r="W946" t="s">
        <v>17325</v>
      </c>
      <c r="X946" t="s">
        <v>17326</v>
      </c>
      <c r="Y946" t="s">
        <v>17327</v>
      </c>
      <c r="Z946" t="s">
        <v>17328</v>
      </c>
      <c r="AA946" t="s">
        <v>17329</v>
      </c>
      <c r="AB946" t="s">
        <v>74</v>
      </c>
      <c r="AC946" t="s">
        <v>17330</v>
      </c>
      <c r="AD946" t="s">
        <v>17331</v>
      </c>
      <c r="AE946" t="s">
        <v>17332</v>
      </c>
      <c r="AF946" t="s">
        <v>74</v>
      </c>
      <c r="AG946">
        <v>45</v>
      </c>
      <c r="AH946">
        <v>20</v>
      </c>
      <c r="AI946">
        <v>21</v>
      </c>
      <c r="AJ946">
        <v>2</v>
      </c>
      <c r="AK946">
        <v>51</v>
      </c>
      <c r="AL946" t="s">
        <v>2355</v>
      </c>
      <c r="AM946" t="s">
        <v>2356</v>
      </c>
      <c r="AN946" t="s">
        <v>2357</v>
      </c>
      <c r="AO946" t="s">
        <v>2358</v>
      </c>
      <c r="AP946" t="s">
        <v>74</v>
      </c>
      <c r="AQ946" t="s">
        <v>74</v>
      </c>
      <c r="AR946" t="s">
        <v>2343</v>
      </c>
      <c r="AS946" t="s">
        <v>2359</v>
      </c>
      <c r="AT946" t="s">
        <v>17316</v>
      </c>
      <c r="AU946">
        <v>2013</v>
      </c>
      <c r="AV946">
        <v>8</v>
      </c>
      <c r="AW946">
        <v>2</v>
      </c>
      <c r="AX946" t="s">
        <v>74</v>
      </c>
      <c r="AY946" t="s">
        <v>74</v>
      </c>
      <c r="AZ946" t="s">
        <v>74</v>
      </c>
      <c r="BA946" t="s">
        <v>74</v>
      </c>
      <c r="BB946" t="s">
        <v>74</v>
      </c>
      <c r="BC946" t="s">
        <v>74</v>
      </c>
      <c r="BD946" t="s">
        <v>17333</v>
      </c>
      <c r="BE946" t="s">
        <v>17334</v>
      </c>
      <c r="BF946" t="str">
        <f>HYPERLINK("http://dx.doi.org/10.1371/journal.pone.0056889","http://dx.doi.org/10.1371/journal.pone.0056889")</f>
        <v>http://dx.doi.org/10.1371/journal.pone.0056889</v>
      </c>
      <c r="BG946" t="s">
        <v>74</v>
      </c>
      <c r="BH946" t="s">
        <v>74</v>
      </c>
      <c r="BI946">
        <v>8</v>
      </c>
      <c r="BJ946" t="s">
        <v>1880</v>
      </c>
      <c r="BK946" t="s">
        <v>102</v>
      </c>
      <c r="BL946" t="s">
        <v>1881</v>
      </c>
      <c r="BM946" t="s">
        <v>17335</v>
      </c>
      <c r="BN946">
        <v>23468889</v>
      </c>
      <c r="BO946" t="s">
        <v>2559</v>
      </c>
      <c r="BP946" t="s">
        <v>74</v>
      </c>
      <c r="BQ946" t="s">
        <v>74</v>
      </c>
      <c r="BR946" t="s">
        <v>105</v>
      </c>
      <c r="BS946" t="s">
        <v>17336</v>
      </c>
      <c r="BT946" t="str">
        <f>HYPERLINK("https%3A%2F%2Fwww.webofscience.com%2Fwos%2Fwoscc%2Ffull-record%2FWOS:000315561400016","View Full Record in Web of Science")</f>
        <v>View Full Record in Web of Science</v>
      </c>
    </row>
    <row r="947" spans="1:72" x14ac:dyDescent="0.15">
      <c r="A947" t="s">
        <v>72</v>
      </c>
      <c r="B947" t="s">
        <v>17337</v>
      </c>
      <c r="C947" t="s">
        <v>74</v>
      </c>
      <c r="D947" t="s">
        <v>74</v>
      </c>
      <c r="E947" t="s">
        <v>74</v>
      </c>
      <c r="F947" t="s">
        <v>17338</v>
      </c>
      <c r="G947" t="s">
        <v>74</v>
      </c>
      <c r="H947" t="s">
        <v>74</v>
      </c>
      <c r="I947" t="s">
        <v>17339</v>
      </c>
      <c r="J947" t="s">
        <v>2253</v>
      </c>
      <c r="K947" t="s">
        <v>74</v>
      </c>
      <c r="L947" t="s">
        <v>74</v>
      </c>
      <c r="M947" t="s">
        <v>78</v>
      </c>
      <c r="N947" t="s">
        <v>79</v>
      </c>
      <c r="O947" t="s">
        <v>74</v>
      </c>
      <c r="P947" t="s">
        <v>74</v>
      </c>
      <c r="Q947" t="s">
        <v>74</v>
      </c>
      <c r="R947" t="s">
        <v>74</v>
      </c>
      <c r="S947" t="s">
        <v>74</v>
      </c>
      <c r="T947" t="s">
        <v>17340</v>
      </c>
      <c r="U947" t="s">
        <v>17341</v>
      </c>
      <c r="V947" t="s">
        <v>17342</v>
      </c>
      <c r="W947" t="s">
        <v>17343</v>
      </c>
      <c r="X947" t="s">
        <v>17344</v>
      </c>
      <c r="Y947" t="s">
        <v>17345</v>
      </c>
      <c r="Z947" t="s">
        <v>17346</v>
      </c>
      <c r="AA947" t="s">
        <v>17347</v>
      </c>
      <c r="AB947" t="s">
        <v>17348</v>
      </c>
      <c r="AC947" t="s">
        <v>17349</v>
      </c>
      <c r="AD947" t="s">
        <v>17350</v>
      </c>
      <c r="AE947" t="s">
        <v>17351</v>
      </c>
      <c r="AF947" t="s">
        <v>74</v>
      </c>
      <c r="AG947">
        <v>33</v>
      </c>
      <c r="AH947">
        <v>32</v>
      </c>
      <c r="AI947">
        <v>38</v>
      </c>
      <c r="AJ947">
        <v>0</v>
      </c>
      <c r="AK947">
        <v>62</v>
      </c>
      <c r="AL947" t="s">
        <v>2266</v>
      </c>
      <c r="AM947" t="s">
        <v>93</v>
      </c>
      <c r="AN947" t="s">
        <v>2267</v>
      </c>
      <c r="AO947" t="s">
        <v>2268</v>
      </c>
      <c r="AP947" t="s">
        <v>74</v>
      </c>
      <c r="AQ947" t="s">
        <v>74</v>
      </c>
      <c r="AR947" t="s">
        <v>2269</v>
      </c>
      <c r="AS947" t="s">
        <v>2270</v>
      </c>
      <c r="AT947" t="s">
        <v>17316</v>
      </c>
      <c r="AU947">
        <v>2013</v>
      </c>
      <c r="AV947">
        <v>110</v>
      </c>
      <c r="AW947" t="s">
        <v>74</v>
      </c>
      <c r="AX947" t="s">
        <v>74</v>
      </c>
      <c r="AY947">
        <v>1</v>
      </c>
      <c r="AZ947" t="s">
        <v>74</v>
      </c>
      <c r="BA947" t="s">
        <v>74</v>
      </c>
      <c r="BB947">
        <v>3692</v>
      </c>
      <c r="BC947">
        <v>3699</v>
      </c>
      <c r="BD947" t="s">
        <v>74</v>
      </c>
      <c r="BE947" t="s">
        <v>17352</v>
      </c>
      <c r="BF947" t="str">
        <f>HYPERLINK("http://dx.doi.org/10.1073/pnas.1117683109","http://dx.doi.org/10.1073/pnas.1117683109")</f>
        <v>http://dx.doi.org/10.1073/pnas.1117683109</v>
      </c>
      <c r="BG947" t="s">
        <v>74</v>
      </c>
      <c r="BH947" t="s">
        <v>74</v>
      </c>
      <c r="BI947">
        <v>8</v>
      </c>
      <c r="BJ947" t="s">
        <v>1880</v>
      </c>
      <c r="BK947" t="s">
        <v>102</v>
      </c>
      <c r="BL947" t="s">
        <v>1881</v>
      </c>
      <c r="BM947" t="s">
        <v>17353</v>
      </c>
      <c r="BN947">
        <v>22543163</v>
      </c>
      <c r="BO947" t="s">
        <v>2011</v>
      </c>
      <c r="BP947" t="s">
        <v>74</v>
      </c>
      <c r="BQ947" t="s">
        <v>74</v>
      </c>
      <c r="BR947" t="s">
        <v>105</v>
      </c>
      <c r="BS947" t="s">
        <v>17354</v>
      </c>
      <c r="BT947" t="str">
        <f>HYPERLINK("https%3A%2F%2Fwww.webofscience.com%2Fwos%2Fwoscc%2Ffull-record%2FWOS:000315842100007","View Full Record in Web of Science")</f>
        <v>View Full Record in Web of Science</v>
      </c>
    </row>
    <row r="948" spans="1:72" x14ac:dyDescent="0.15">
      <c r="A948" t="s">
        <v>72</v>
      </c>
      <c r="B948" t="s">
        <v>17355</v>
      </c>
      <c r="C948" t="s">
        <v>74</v>
      </c>
      <c r="D948" t="s">
        <v>74</v>
      </c>
      <c r="E948" t="s">
        <v>74</v>
      </c>
      <c r="F948" t="s">
        <v>17356</v>
      </c>
      <c r="G948" t="s">
        <v>74</v>
      </c>
      <c r="H948" t="s">
        <v>74</v>
      </c>
      <c r="I948" t="s">
        <v>17357</v>
      </c>
      <c r="J948" t="s">
        <v>5035</v>
      </c>
      <c r="K948" t="s">
        <v>74</v>
      </c>
      <c r="L948" t="s">
        <v>74</v>
      </c>
      <c r="M948" t="s">
        <v>78</v>
      </c>
      <c r="N948" t="s">
        <v>79</v>
      </c>
      <c r="O948" t="s">
        <v>74</v>
      </c>
      <c r="P948" t="s">
        <v>74</v>
      </c>
      <c r="Q948" t="s">
        <v>74</v>
      </c>
      <c r="R948" t="s">
        <v>74</v>
      </c>
      <c r="S948" t="s">
        <v>74</v>
      </c>
      <c r="T948" t="s">
        <v>17358</v>
      </c>
      <c r="U948" t="s">
        <v>17359</v>
      </c>
      <c r="V948" t="s">
        <v>17360</v>
      </c>
      <c r="W948" t="s">
        <v>17361</v>
      </c>
      <c r="X948" t="s">
        <v>17362</v>
      </c>
      <c r="Y948" t="s">
        <v>17363</v>
      </c>
      <c r="Z948" t="s">
        <v>10450</v>
      </c>
      <c r="AA948" t="s">
        <v>17364</v>
      </c>
      <c r="AB948" t="s">
        <v>17365</v>
      </c>
      <c r="AC948" t="s">
        <v>17366</v>
      </c>
      <c r="AD948" t="s">
        <v>17367</v>
      </c>
      <c r="AE948" t="s">
        <v>17368</v>
      </c>
      <c r="AF948" t="s">
        <v>74</v>
      </c>
      <c r="AG948">
        <v>20</v>
      </c>
      <c r="AH948">
        <v>25</v>
      </c>
      <c r="AI948">
        <v>25</v>
      </c>
      <c r="AJ948">
        <v>0</v>
      </c>
      <c r="AK948">
        <v>77</v>
      </c>
      <c r="AL948" t="s">
        <v>2741</v>
      </c>
      <c r="AM948" t="s">
        <v>643</v>
      </c>
      <c r="AN948" t="s">
        <v>2742</v>
      </c>
      <c r="AO948" t="s">
        <v>5045</v>
      </c>
      <c r="AP948" t="s">
        <v>74</v>
      </c>
      <c r="AQ948" t="s">
        <v>74</v>
      </c>
      <c r="AR948" t="s">
        <v>5047</v>
      </c>
      <c r="AS948" t="s">
        <v>5048</v>
      </c>
      <c r="AT948" t="s">
        <v>17369</v>
      </c>
      <c r="AU948">
        <v>2013</v>
      </c>
      <c r="AV948">
        <v>9</v>
      </c>
      <c r="AW948">
        <v>1</v>
      </c>
      <c r="AX948" t="s">
        <v>74</v>
      </c>
      <c r="AY948" t="s">
        <v>74</v>
      </c>
      <c r="AZ948" t="s">
        <v>74</v>
      </c>
      <c r="BA948" t="s">
        <v>74</v>
      </c>
      <c r="BB948" t="s">
        <v>74</v>
      </c>
      <c r="BC948" t="s">
        <v>74</v>
      </c>
      <c r="BD948">
        <v>20120806</v>
      </c>
      <c r="BE948" t="s">
        <v>17370</v>
      </c>
      <c r="BF948" t="str">
        <f>HYPERLINK("http://dx.doi.org/10.1098/rsbl.2012.0806","http://dx.doi.org/10.1098/rsbl.2012.0806")</f>
        <v>http://dx.doi.org/10.1098/rsbl.2012.0806</v>
      </c>
      <c r="BG948" t="s">
        <v>74</v>
      </c>
      <c r="BH948" t="s">
        <v>74</v>
      </c>
      <c r="BI948">
        <v>4</v>
      </c>
      <c r="BJ948" t="s">
        <v>5051</v>
      </c>
      <c r="BK948" t="s">
        <v>102</v>
      </c>
      <c r="BL948" t="s">
        <v>5052</v>
      </c>
      <c r="BM948" t="s">
        <v>17371</v>
      </c>
      <c r="BN948">
        <v>23097460</v>
      </c>
      <c r="BO948" t="s">
        <v>1589</v>
      </c>
      <c r="BP948" t="s">
        <v>74</v>
      </c>
      <c r="BQ948" t="s">
        <v>74</v>
      </c>
      <c r="BR948" t="s">
        <v>105</v>
      </c>
      <c r="BS948" t="s">
        <v>17372</v>
      </c>
      <c r="BT948" t="str">
        <f>HYPERLINK("https%3A%2F%2Fwww.webofscience.com%2Fwos%2Fwoscc%2Ffull-record%2FWOS:000313509400015","View Full Record in Web of Science")</f>
        <v>View Full Record in Web of Science</v>
      </c>
    </row>
    <row r="949" spans="1:72" x14ac:dyDescent="0.15">
      <c r="A949" t="s">
        <v>72</v>
      </c>
      <c r="B949" t="s">
        <v>17373</v>
      </c>
      <c r="C949" t="s">
        <v>74</v>
      </c>
      <c r="D949" t="s">
        <v>74</v>
      </c>
      <c r="E949" t="s">
        <v>74</v>
      </c>
      <c r="F949" t="s">
        <v>17374</v>
      </c>
      <c r="G949" t="s">
        <v>74</v>
      </c>
      <c r="H949" t="s">
        <v>74</v>
      </c>
      <c r="I949" t="s">
        <v>17375</v>
      </c>
      <c r="J949" t="s">
        <v>2101</v>
      </c>
      <c r="K949" t="s">
        <v>74</v>
      </c>
      <c r="L949" t="s">
        <v>74</v>
      </c>
      <c r="M949" t="s">
        <v>78</v>
      </c>
      <c r="N949" t="s">
        <v>79</v>
      </c>
      <c r="O949" t="s">
        <v>74</v>
      </c>
      <c r="P949" t="s">
        <v>74</v>
      </c>
      <c r="Q949" t="s">
        <v>74</v>
      </c>
      <c r="R949" t="s">
        <v>74</v>
      </c>
      <c r="S949" t="s">
        <v>74</v>
      </c>
      <c r="T949" t="s">
        <v>74</v>
      </c>
      <c r="U949" t="s">
        <v>17376</v>
      </c>
      <c r="V949" t="s">
        <v>17377</v>
      </c>
      <c r="W949" t="s">
        <v>17378</v>
      </c>
      <c r="X949" t="s">
        <v>17379</v>
      </c>
      <c r="Y949" t="s">
        <v>17380</v>
      </c>
      <c r="Z949" t="s">
        <v>17381</v>
      </c>
      <c r="AA949" t="s">
        <v>17382</v>
      </c>
      <c r="AB949" t="s">
        <v>17383</v>
      </c>
      <c r="AC949" t="s">
        <v>17384</v>
      </c>
      <c r="AD949" t="s">
        <v>17385</v>
      </c>
      <c r="AE949" t="s">
        <v>17386</v>
      </c>
      <c r="AF949" t="s">
        <v>74</v>
      </c>
      <c r="AG949">
        <v>49</v>
      </c>
      <c r="AH949">
        <v>13</v>
      </c>
      <c r="AI949">
        <v>14</v>
      </c>
      <c r="AJ949">
        <v>0</v>
      </c>
      <c r="AK949">
        <v>8</v>
      </c>
      <c r="AL949" t="s">
        <v>2112</v>
      </c>
      <c r="AM949" t="s">
        <v>2113</v>
      </c>
      <c r="AN949" t="s">
        <v>2176</v>
      </c>
      <c r="AO949" t="s">
        <v>2115</v>
      </c>
      <c r="AP949" t="s">
        <v>2116</v>
      </c>
      <c r="AQ949" t="s">
        <v>74</v>
      </c>
      <c r="AR949" t="s">
        <v>2101</v>
      </c>
      <c r="AS949" t="s">
        <v>2117</v>
      </c>
      <c r="AT949" t="s">
        <v>17387</v>
      </c>
      <c r="AU949">
        <v>2013</v>
      </c>
      <c r="AV949">
        <v>3616</v>
      </c>
      <c r="AW949">
        <v>5</v>
      </c>
      <c r="AX949" t="s">
        <v>74</v>
      </c>
      <c r="AY949" t="s">
        <v>74</v>
      </c>
      <c r="AZ949" t="s">
        <v>74</v>
      </c>
      <c r="BA949" t="s">
        <v>74</v>
      </c>
      <c r="BB949">
        <v>401</v>
      </c>
      <c r="BC949">
        <v>436</v>
      </c>
      <c r="BD949" t="s">
        <v>74</v>
      </c>
      <c r="BE949" t="s">
        <v>74</v>
      </c>
      <c r="BF949" t="s">
        <v>74</v>
      </c>
      <c r="BG949" t="s">
        <v>74</v>
      </c>
      <c r="BH949" t="s">
        <v>74</v>
      </c>
      <c r="BI949">
        <v>36</v>
      </c>
      <c r="BJ949" t="s">
        <v>2120</v>
      </c>
      <c r="BK949" t="s">
        <v>102</v>
      </c>
      <c r="BL949" t="s">
        <v>2120</v>
      </c>
      <c r="BM949" t="s">
        <v>17388</v>
      </c>
      <c r="BN949">
        <v>24758820</v>
      </c>
      <c r="BO949" t="s">
        <v>74</v>
      </c>
      <c r="BP949" t="s">
        <v>74</v>
      </c>
      <c r="BQ949" t="s">
        <v>74</v>
      </c>
      <c r="BR949" t="s">
        <v>105</v>
      </c>
      <c r="BS949" t="s">
        <v>17389</v>
      </c>
      <c r="BT949" t="str">
        <f>HYPERLINK("https%3A%2F%2Fwww.webofscience.com%2Fwos%2Fwoscc%2Ffull-record%2FWOS:000315192600001","View Full Record in Web of Science")</f>
        <v>View Full Record in Web of Science</v>
      </c>
    </row>
    <row r="950" spans="1:72" x14ac:dyDescent="0.15">
      <c r="A950" t="s">
        <v>72</v>
      </c>
      <c r="B950" t="s">
        <v>17390</v>
      </c>
      <c r="C950" t="s">
        <v>74</v>
      </c>
      <c r="D950" t="s">
        <v>74</v>
      </c>
      <c r="E950" t="s">
        <v>74</v>
      </c>
      <c r="F950" t="s">
        <v>17391</v>
      </c>
      <c r="G950" t="s">
        <v>74</v>
      </c>
      <c r="H950" t="s">
        <v>74</v>
      </c>
      <c r="I950" t="s">
        <v>17392</v>
      </c>
      <c r="J950" t="s">
        <v>2395</v>
      </c>
      <c r="K950" t="s">
        <v>74</v>
      </c>
      <c r="L950" t="s">
        <v>74</v>
      </c>
      <c r="M950" t="s">
        <v>78</v>
      </c>
      <c r="N950" t="s">
        <v>79</v>
      </c>
      <c r="O950" t="s">
        <v>74</v>
      </c>
      <c r="P950" t="s">
        <v>74</v>
      </c>
      <c r="Q950" t="s">
        <v>74</v>
      </c>
      <c r="R950" t="s">
        <v>74</v>
      </c>
      <c r="S950" t="s">
        <v>74</v>
      </c>
      <c r="T950" t="s">
        <v>17393</v>
      </c>
      <c r="U950" t="s">
        <v>17394</v>
      </c>
      <c r="V950" t="s">
        <v>17395</v>
      </c>
      <c r="W950" t="s">
        <v>17396</v>
      </c>
      <c r="X950" t="s">
        <v>17397</v>
      </c>
      <c r="Y950" t="s">
        <v>17398</v>
      </c>
      <c r="Z950" t="s">
        <v>17399</v>
      </c>
      <c r="AA950" t="s">
        <v>74</v>
      </c>
      <c r="AB950" t="s">
        <v>17400</v>
      </c>
      <c r="AC950" t="s">
        <v>17401</v>
      </c>
      <c r="AD950" t="s">
        <v>17402</v>
      </c>
      <c r="AE950" t="s">
        <v>17403</v>
      </c>
      <c r="AF950" t="s">
        <v>74</v>
      </c>
      <c r="AG950">
        <v>52</v>
      </c>
      <c r="AH950">
        <v>17</v>
      </c>
      <c r="AI950">
        <v>19</v>
      </c>
      <c r="AJ950">
        <v>1</v>
      </c>
      <c r="AK950">
        <v>47</v>
      </c>
      <c r="AL950" t="s">
        <v>195</v>
      </c>
      <c r="AM950" t="s">
        <v>155</v>
      </c>
      <c r="AN950" t="s">
        <v>196</v>
      </c>
      <c r="AO950" t="s">
        <v>2408</v>
      </c>
      <c r="AP950" t="s">
        <v>2409</v>
      </c>
      <c r="AQ950" t="s">
        <v>74</v>
      </c>
      <c r="AR950" t="s">
        <v>2410</v>
      </c>
      <c r="AS950" t="s">
        <v>2411</v>
      </c>
      <c r="AT950" t="s">
        <v>17404</v>
      </c>
      <c r="AU950">
        <v>2013</v>
      </c>
      <c r="AV950">
        <v>149</v>
      </c>
      <c r="AW950" t="s">
        <v>74</v>
      </c>
      <c r="AX950" t="s">
        <v>74</v>
      </c>
      <c r="AY950" t="s">
        <v>74</v>
      </c>
      <c r="AZ950" t="s">
        <v>74</v>
      </c>
      <c r="BA950" t="s">
        <v>74</v>
      </c>
      <c r="BB950">
        <v>63</v>
      </c>
      <c r="BC950">
        <v>73</v>
      </c>
      <c r="BD950" t="s">
        <v>74</v>
      </c>
      <c r="BE950" t="s">
        <v>17405</v>
      </c>
      <c r="BF950" t="str">
        <f>HYPERLINK("http://dx.doi.org/10.1016/j.marchem.2012.12.007","http://dx.doi.org/10.1016/j.marchem.2012.12.007")</f>
        <v>http://dx.doi.org/10.1016/j.marchem.2012.12.007</v>
      </c>
      <c r="BG950" t="s">
        <v>74</v>
      </c>
      <c r="BH950" t="s">
        <v>74</v>
      </c>
      <c r="BI950">
        <v>11</v>
      </c>
      <c r="BJ950" t="s">
        <v>2413</v>
      </c>
      <c r="BK950" t="s">
        <v>102</v>
      </c>
      <c r="BL950" t="s">
        <v>2414</v>
      </c>
      <c r="BM950" t="s">
        <v>17406</v>
      </c>
      <c r="BN950" t="s">
        <v>74</v>
      </c>
      <c r="BO950" t="s">
        <v>74</v>
      </c>
      <c r="BP950" t="s">
        <v>74</v>
      </c>
      <c r="BQ950" t="s">
        <v>74</v>
      </c>
      <c r="BR950" t="s">
        <v>105</v>
      </c>
      <c r="BS950" t="s">
        <v>17407</v>
      </c>
      <c r="BT950" t="str">
        <f>HYPERLINK("https%3A%2F%2Fwww.webofscience.com%2Fwos%2Fwoscc%2Ffull-record%2FWOS:000316167300007","View Full Record in Web of Science")</f>
        <v>View Full Record in Web of Science</v>
      </c>
    </row>
    <row r="951" spans="1:72" x14ac:dyDescent="0.15">
      <c r="A951" t="s">
        <v>72</v>
      </c>
      <c r="B951" t="s">
        <v>17408</v>
      </c>
      <c r="C951" t="s">
        <v>74</v>
      </c>
      <c r="D951" t="s">
        <v>74</v>
      </c>
      <c r="E951" t="s">
        <v>74</v>
      </c>
      <c r="F951" t="s">
        <v>17409</v>
      </c>
      <c r="G951" t="s">
        <v>74</v>
      </c>
      <c r="H951" t="s">
        <v>74</v>
      </c>
      <c r="I951" t="s">
        <v>17410</v>
      </c>
      <c r="J951" t="s">
        <v>1957</v>
      </c>
      <c r="K951" t="s">
        <v>74</v>
      </c>
      <c r="L951" t="s">
        <v>74</v>
      </c>
      <c r="M951" t="s">
        <v>78</v>
      </c>
      <c r="N951" t="s">
        <v>79</v>
      </c>
      <c r="O951" t="s">
        <v>74</v>
      </c>
      <c r="P951" t="s">
        <v>74</v>
      </c>
      <c r="Q951" t="s">
        <v>74</v>
      </c>
      <c r="R951" t="s">
        <v>74</v>
      </c>
      <c r="S951" t="s">
        <v>74</v>
      </c>
      <c r="T951" t="s">
        <v>74</v>
      </c>
      <c r="U951" t="s">
        <v>17411</v>
      </c>
      <c r="V951" t="s">
        <v>17412</v>
      </c>
      <c r="W951" t="s">
        <v>17413</v>
      </c>
      <c r="X951" t="s">
        <v>17414</v>
      </c>
      <c r="Y951" t="s">
        <v>17415</v>
      </c>
      <c r="Z951" t="s">
        <v>17416</v>
      </c>
      <c r="AA951" t="s">
        <v>17417</v>
      </c>
      <c r="AB951" t="s">
        <v>17418</v>
      </c>
      <c r="AC951" t="s">
        <v>17419</v>
      </c>
      <c r="AD951" t="s">
        <v>17420</v>
      </c>
      <c r="AE951" t="s">
        <v>17421</v>
      </c>
      <c r="AF951" t="s">
        <v>74</v>
      </c>
      <c r="AG951">
        <v>22</v>
      </c>
      <c r="AH951">
        <v>48</v>
      </c>
      <c r="AI951">
        <v>53</v>
      </c>
      <c r="AJ951">
        <v>1</v>
      </c>
      <c r="AK951">
        <v>39</v>
      </c>
      <c r="AL951" t="s">
        <v>92</v>
      </c>
      <c r="AM951" t="s">
        <v>93</v>
      </c>
      <c r="AN951" t="s">
        <v>94</v>
      </c>
      <c r="AO951" t="s">
        <v>1970</v>
      </c>
      <c r="AP951" t="s">
        <v>1971</v>
      </c>
      <c r="AQ951" t="s">
        <v>74</v>
      </c>
      <c r="AR951" t="s">
        <v>1972</v>
      </c>
      <c r="AS951" t="s">
        <v>1973</v>
      </c>
      <c r="AT951" t="s">
        <v>17422</v>
      </c>
      <c r="AU951">
        <v>2013</v>
      </c>
      <c r="AV951">
        <v>40</v>
      </c>
      <c r="AW951">
        <v>3</v>
      </c>
      <c r="AX951" t="s">
        <v>74</v>
      </c>
      <c r="AY951" t="s">
        <v>74</v>
      </c>
      <c r="AZ951" t="s">
        <v>74</v>
      </c>
      <c r="BA951" t="s">
        <v>74</v>
      </c>
      <c r="BB951">
        <v>482</v>
      </c>
      <c r="BC951">
        <v>486</v>
      </c>
      <c r="BD951" t="s">
        <v>74</v>
      </c>
      <c r="BE951" t="s">
        <v>17423</v>
      </c>
      <c r="BF951" t="str">
        <f>HYPERLINK("http://dx.doi.org/10.1029/2012GL053000","http://dx.doi.org/10.1029/2012GL053000")</f>
        <v>http://dx.doi.org/10.1029/2012GL053000</v>
      </c>
      <c r="BG951" t="s">
        <v>74</v>
      </c>
      <c r="BH951" t="s">
        <v>74</v>
      </c>
      <c r="BI951">
        <v>5</v>
      </c>
      <c r="BJ951" t="s">
        <v>1426</v>
      </c>
      <c r="BK951" t="s">
        <v>102</v>
      </c>
      <c r="BL951" t="s">
        <v>219</v>
      </c>
      <c r="BM951" t="s">
        <v>17424</v>
      </c>
      <c r="BN951" t="s">
        <v>74</v>
      </c>
      <c r="BO951" t="s">
        <v>1014</v>
      </c>
      <c r="BP951" t="s">
        <v>74</v>
      </c>
      <c r="BQ951" t="s">
        <v>74</v>
      </c>
      <c r="BR951" t="s">
        <v>105</v>
      </c>
      <c r="BS951" t="s">
        <v>17425</v>
      </c>
      <c r="BT951" t="str">
        <f>HYPERLINK("https%3A%2F%2Fwww.webofscience.com%2Fwos%2Fwoscc%2Ffull-record%2FWOS:000317831000004","View Full Record in Web of Science")</f>
        <v>View Full Record in Web of Science</v>
      </c>
    </row>
    <row r="952" spans="1:72" x14ac:dyDescent="0.15">
      <c r="A952" t="s">
        <v>72</v>
      </c>
      <c r="B952" t="s">
        <v>17426</v>
      </c>
      <c r="C952" t="s">
        <v>74</v>
      </c>
      <c r="D952" t="s">
        <v>74</v>
      </c>
      <c r="E952" t="s">
        <v>74</v>
      </c>
      <c r="F952" t="s">
        <v>17427</v>
      </c>
      <c r="G952" t="s">
        <v>74</v>
      </c>
      <c r="H952" t="s">
        <v>74</v>
      </c>
      <c r="I952" t="s">
        <v>17428</v>
      </c>
      <c r="J952" t="s">
        <v>2016</v>
      </c>
      <c r="K952" t="s">
        <v>74</v>
      </c>
      <c r="L952" t="s">
        <v>74</v>
      </c>
      <c r="M952" t="s">
        <v>78</v>
      </c>
      <c r="N952" t="s">
        <v>79</v>
      </c>
      <c r="O952" t="s">
        <v>74</v>
      </c>
      <c r="P952" t="s">
        <v>74</v>
      </c>
      <c r="Q952" t="s">
        <v>74</v>
      </c>
      <c r="R952" t="s">
        <v>74</v>
      </c>
      <c r="S952" t="s">
        <v>74</v>
      </c>
      <c r="T952" t="s">
        <v>74</v>
      </c>
      <c r="U952" t="s">
        <v>17429</v>
      </c>
      <c r="V952" t="s">
        <v>17430</v>
      </c>
      <c r="W952" t="s">
        <v>17431</v>
      </c>
      <c r="X952" t="s">
        <v>17432</v>
      </c>
      <c r="Y952" t="s">
        <v>17433</v>
      </c>
      <c r="Z952" t="s">
        <v>17434</v>
      </c>
      <c r="AA952" t="s">
        <v>17435</v>
      </c>
      <c r="AB952" t="s">
        <v>17436</v>
      </c>
      <c r="AC952" t="s">
        <v>17437</v>
      </c>
      <c r="AD952" t="s">
        <v>17438</v>
      </c>
      <c r="AE952" t="s">
        <v>17439</v>
      </c>
      <c r="AF952" t="s">
        <v>74</v>
      </c>
      <c r="AG952">
        <v>82</v>
      </c>
      <c r="AH952">
        <v>182</v>
      </c>
      <c r="AI952">
        <v>201</v>
      </c>
      <c r="AJ952">
        <v>1</v>
      </c>
      <c r="AK952">
        <v>114</v>
      </c>
      <c r="AL952" t="s">
        <v>92</v>
      </c>
      <c r="AM952" t="s">
        <v>93</v>
      </c>
      <c r="AN952" t="s">
        <v>94</v>
      </c>
      <c r="AO952" t="s">
        <v>2029</v>
      </c>
      <c r="AP952" t="s">
        <v>2030</v>
      </c>
      <c r="AQ952" t="s">
        <v>74</v>
      </c>
      <c r="AR952" t="s">
        <v>2031</v>
      </c>
      <c r="AS952" t="s">
        <v>2032</v>
      </c>
      <c r="AT952" t="s">
        <v>17422</v>
      </c>
      <c r="AU952">
        <v>2013</v>
      </c>
      <c r="AV952">
        <v>118</v>
      </c>
      <c r="AW952">
        <v>3</v>
      </c>
      <c r="AX952" t="s">
        <v>74</v>
      </c>
      <c r="AY952" t="s">
        <v>74</v>
      </c>
      <c r="AZ952" t="s">
        <v>74</v>
      </c>
      <c r="BA952" t="s">
        <v>74</v>
      </c>
      <c r="BB952">
        <v>1151</v>
      </c>
      <c r="BC952">
        <v>1169</v>
      </c>
      <c r="BD952" t="s">
        <v>74</v>
      </c>
      <c r="BE952" t="s">
        <v>17440</v>
      </c>
      <c r="BF952" t="str">
        <f>HYPERLINK("http://dx.doi.org/10.1029/2012JD018603","http://dx.doi.org/10.1029/2012JD018603")</f>
        <v>http://dx.doi.org/10.1029/2012JD018603</v>
      </c>
      <c r="BG952" t="s">
        <v>74</v>
      </c>
      <c r="BH952" t="s">
        <v>74</v>
      </c>
      <c r="BI952">
        <v>19</v>
      </c>
      <c r="BJ952" t="s">
        <v>305</v>
      </c>
      <c r="BK952" t="s">
        <v>102</v>
      </c>
      <c r="BL952" t="s">
        <v>305</v>
      </c>
      <c r="BM952" t="s">
        <v>17441</v>
      </c>
      <c r="BN952" t="s">
        <v>74</v>
      </c>
      <c r="BO952" t="s">
        <v>1063</v>
      </c>
      <c r="BP952" t="s">
        <v>74</v>
      </c>
      <c r="BQ952" t="s">
        <v>74</v>
      </c>
      <c r="BR952" t="s">
        <v>105</v>
      </c>
      <c r="BS952" t="s">
        <v>17442</v>
      </c>
      <c r="BT952" t="str">
        <f>HYPERLINK("https%3A%2F%2Fwww.webofscience.com%2Fwos%2Fwoscc%2Ffull-record%2FWOS:000317839700002","View Full Record in Web of Science")</f>
        <v>View Full Record in Web of Science</v>
      </c>
    </row>
    <row r="953" spans="1:72" x14ac:dyDescent="0.15">
      <c r="A953" t="s">
        <v>72</v>
      </c>
      <c r="B953" t="s">
        <v>17443</v>
      </c>
      <c r="C953" t="s">
        <v>74</v>
      </c>
      <c r="D953" t="s">
        <v>74</v>
      </c>
      <c r="E953" t="s">
        <v>74</v>
      </c>
      <c r="F953" t="s">
        <v>17444</v>
      </c>
      <c r="G953" t="s">
        <v>74</v>
      </c>
      <c r="H953" t="s">
        <v>74</v>
      </c>
      <c r="I953" t="s">
        <v>17445</v>
      </c>
      <c r="J953" t="s">
        <v>2590</v>
      </c>
      <c r="K953" t="s">
        <v>74</v>
      </c>
      <c r="L953" t="s">
        <v>74</v>
      </c>
      <c r="M953" t="s">
        <v>78</v>
      </c>
      <c r="N953" t="s">
        <v>79</v>
      </c>
      <c r="O953" t="s">
        <v>74</v>
      </c>
      <c r="P953" t="s">
        <v>74</v>
      </c>
      <c r="Q953" t="s">
        <v>74</v>
      </c>
      <c r="R953" t="s">
        <v>74</v>
      </c>
      <c r="S953" t="s">
        <v>74</v>
      </c>
      <c r="T953" t="s">
        <v>17446</v>
      </c>
      <c r="U953" t="s">
        <v>17447</v>
      </c>
      <c r="V953" t="s">
        <v>17448</v>
      </c>
      <c r="W953" t="s">
        <v>17449</v>
      </c>
      <c r="X953" t="s">
        <v>17450</v>
      </c>
      <c r="Y953" t="s">
        <v>17451</v>
      </c>
      <c r="Z953" t="s">
        <v>17452</v>
      </c>
      <c r="AA953" t="s">
        <v>17453</v>
      </c>
      <c r="AB953" t="s">
        <v>17454</v>
      </c>
      <c r="AC953" t="s">
        <v>17455</v>
      </c>
      <c r="AD953" t="s">
        <v>17456</v>
      </c>
      <c r="AE953" t="s">
        <v>17457</v>
      </c>
      <c r="AF953" t="s">
        <v>74</v>
      </c>
      <c r="AG953">
        <v>77</v>
      </c>
      <c r="AH953">
        <v>32</v>
      </c>
      <c r="AI953">
        <v>36</v>
      </c>
      <c r="AJ953">
        <v>0</v>
      </c>
      <c r="AK953">
        <v>48</v>
      </c>
      <c r="AL953" t="s">
        <v>506</v>
      </c>
      <c r="AM953" t="s">
        <v>442</v>
      </c>
      <c r="AN953" t="s">
        <v>507</v>
      </c>
      <c r="AO953" t="s">
        <v>2603</v>
      </c>
      <c r="AP953" t="s">
        <v>2604</v>
      </c>
      <c r="AQ953" t="s">
        <v>74</v>
      </c>
      <c r="AR953" t="s">
        <v>2605</v>
      </c>
      <c r="AS953" t="s">
        <v>2606</v>
      </c>
      <c r="AT953" t="s">
        <v>17458</v>
      </c>
      <c r="AU953">
        <v>2013</v>
      </c>
      <c r="AV953">
        <v>54</v>
      </c>
      <c r="AW953" t="s">
        <v>74</v>
      </c>
      <c r="AX953" t="s">
        <v>74</v>
      </c>
      <c r="AY953" t="s">
        <v>74</v>
      </c>
      <c r="AZ953" t="s">
        <v>74</v>
      </c>
      <c r="BA953" t="s">
        <v>74</v>
      </c>
      <c r="BB953">
        <v>67</v>
      </c>
      <c r="BC953">
        <v>79</v>
      </c>
      <c r="BD953" t="s">
        <v>74</v>
      </c>
      <c r="BE953" t="s">
        <v>17459</v>
      </c>
      <c r="BF953" t="str">
        <f>HYPERLINK("http://dx.doi.org/10.1016/j.csr.2012.12.012","http://dx.doi.org/10.1016/j.csr.2012.12.012")</f>
        <v>http://dx.doi.org/10.1016/j.csr.2012.12.012</v>
      </c>
      <c r="BG953" t="s">
        <v>74</v>
      </c>
      <c r="BH953" t="s">
        <v>74</v>
      </c>
      <c r="BI953">
        <v>13</v>
      </c>
      <c r="BJ953" t="s">
        <v>327</v>
      </c>
      <c r="BK953" t="s">
        <v>102</v>
      </c>
      <c r="BL953" t="s">
        <v>327</v>
      </c>
      <c r="BM953" t="s">
        <v>17460</v>
      </c>
      <c r="BN953" t="s">
        <v>74</v>
      </c>
      <c r="BO953" t="s">
        <v>74</v>
      </c>
      <c r="BP953" t="s">
        <v>74</v>
      </c>
      <c r="BQ953" t="s">
        <v>74</v>
      </c>
      <c r="BR953" t="s">
        <v>105</v>
      </c>
      <c r="BS953" t="s">
        <v>17461</v>
      </c>
      <c r="BT953" t="str">
        <f>HYPERLINK("https%3A%2F%2Fwww.webofscience.com%2Fwos%2Fwoscc%2Ffull-record%2FWOS:000316163300006","View Full Record in Web of Science")</f>
        <v>View Full Record in Web of Science</v>
      </c>
    </row>
    <row r="954" spans="1:72" x14ac:dyDescent="0.15">
      <c r="A954" t="s">
        <v>72</v>
      </c>
      <c r="B954" t="s">
        <v>17462</v>
      </c>
      <c r="C954" t="s">
        <v>74</v>
      </c>
      <c r="D954" t="s">
        <v>74</v>
      </c>
      <c r="E954" t="s">
        <v>74</v>
      </c>
      <c r="F954" t="s">
        <v>17463</v>
      </c>
      <c r="G954" t="s">
        <v>74</v>
      </c>
      <c r="H954" t="s">
        <v>74</v>
      </c>
      <c r="I954" t="s">
        <v>17464</v>
      </c>
      <c r="J954" t="s">
        <v>4690</v>
      </c>
      <c r="K954" t="s">
        <v>74</v>
      </c>
      <c r="L954" t="s">
        <v>74</v>
      </c>
      <c r="M954" t="s">
        <v>78</v>
      </c>
      <c r="N954" t="s">
        <v>79</v>
      </c>
      <c r="O954" t="s">
        <v>74</v>
      </c>
      <c r="P954" t="s">
        <v>74</v>
      </c>
      <c r="Q954" t="s">
        <v>74</v>
      </c>
      <c r="R954" t="s">
        <v>74</v>
      </c>
      <c r="S954" t="s">
        <v>74</v>
      </c>
      <c r="T954" t="s">
        <v>17465</v>
      </c>
      <c r="U954" t="s">
        <v>17466</v>
      </c>
      <c r="V954" t="s">
        <v>17467</v>
      </c>
      <c r="W954" t="s">
        <v>17468</v>
      </c>
      <c r="X954" t="s">
        <v>17469</v>
      </c>
      <c r="Y954" t="s">
        <v>17470</v>
      </c>
      <c r="Z954" t="s">
        <v>17471</v>
      </c>
      <c r="AA954" t="s">
        <v>74</v>
      </c>
      <c r="AB954" t="s">
        <v>17472</v>
      </c>
      <c r="AC954" t="s">
        <v>17473</v>
      </c>
      <c r="AD954" t="s">
        <v>17474</v>
      </c>
      <c r="AE954" t="s">
        <v>17475</v>
      </c>
      <c r="AF954" t="s">
        <v>74</v>
      </c>
      <c r="AG954">
        <v>82</v>
      </c>
      <c r="AH954">
        <v>32</v>
      </c>
      <c r="AI954">
        <v>33</v>
      </c>
      <c r="AJ954">
        <v>1</v>
      </c>
      <c r="AK954">
        <v>52</v>
      </c>
      <c r="AL954" t="s">
        <v>506</v>
      </c>
      <c r="AM954" t="s">
        <v>442</v>
      </c>
      <c r="AN954" t="s">
        <v>507</v>
      </c>
      <c r="AO954" t="s">
        <v>4703</v>
      </c>
      <c r="AP954" t="s">
        <v>8863</v>
      </c>
      <c r="AQ954" t="s">
        <v>74</v>
      </c>
      <c r="AR954" t="s">
        <v>4704</v>
      </c>
      <c r="AS954" t="s">
        <v>4705</v>
      </c>
      <c r="AT954" t="s">
        <v>17458</v>
      </c>
      <c r="AU954">
        <v>2013</v>
      </c>
      <c r="AV954">
        <v>62</v>
      </c>
      <c r="AW954" t="s">
        <v>74</v>
      </c>
      <c r="AX954" t="s">
        <v>74</v>
      </c>
      <c r="AY954" t="s">
        <v>74</v>
      </c>
      <c r="AZ954" t="s">
        <v>74</v>
      </c>
      <c r="BA954" t="s">
        <v>74</v>
      </c>
      <c r="BB954">
        <v>32</v>
      </c>
      <c r="BC954">
        <v>48</v>
      </c>
      <c r="BD954" t="s">
        <v>74</v>
      </c>
      <c r="BE954" t="s">
        <v>17476</v>
      </c>
      <c r="BF954" t="str">
        <f>HYPERLINK("http://dx.doi.org/10.1016/j.quascirev.2012.11.017","http://dx.doi.org/10.1016/j.quascirev.2012.11.017")</f>
        <v>http://dx.doi.org/10.1016/j.quascirev.2012.11.017</v>
      </c>
      <c r="BG954" t="s">
        <v>74</v>
      </c>
      <c r="BH954" t="s">
        <v>74</v>
      </c>
      <c r="BI954">
        <v>17</v>
      </c>
      <c r="BJ954" t="s">
        <v>650</v>
      </c>
      <c r="BK954" t="s">
        <v>102</v>
      </c>
      <c r="BL954" t="s">
        <v>651</v>
      </c>
      <c r="BM954" t="s">
        <v>17477</v>
      </c>
      <c r="BN954" t="s">
        <v>74</v>
      </c>
      <c r="BO954" t="s">
        <v>74</v>
      </c>
      <c r="BP954" t="s">
        <v>74</v>
      </c>
      <c r="BQ954" t="s">
        <v>74</v>
      </c>
      <c r="BR954" t="s">
        <v>105</v>
      </c>
      <c r="BS954" t="s">
        <v>17478</v>
      </c>
      <c r="BT954" t="str">
        <f>HYPERLINK("https%3A%2F%2Fwww.webofscience.com%2Fwos%2Fwoscc%2Ffull-record%2FWOS:000315013800003","View Full Record in Web of Science")</f>
        <v>View Full Record in Web of Science</v>
      </c>
    </row>
    <row r="955" spans="1:72" x14ac:dyDescent="0.15">
      <c r="A955" t="s">
        <v>72</v>
      </c>
      <c r="B955" t="s">
        <v>17479</v>
      </c>
      <c r="C955" t="s">
        <v>74</v>
      </c>
      <c r="D955" t="s">
        <v>74</v>
      </c>
      <c r="E955" t="s">
        <v>74</v>
      </c>
      <c r="F955" t="s">
        <v>17480</v>
      </c>
      <c r="G955" t="s">
        <v>74</v>
      </c>
      <c r="H955" t="s">
        <v>74</v>
      </c>
      <c r="I955" t="s">
        <v>17481</v>
      </c>
      <c r="J955" t="s">
        <v>4690</v>
      </c>
      <c r="K955" t="s">
        <v>74</v>
      </c>
      <c r="L955" t="s">
        <v>74</v>
      </c>
      <c r="M955" t="s">
        <v>78</v>
      </c>
      <c r="N955" t="s">
        <v>79</v>
      </c>
      <c r="O955" t="s">
        <v>74</v>
      </c>
      <c r="P955" t="s">
        <v>74</v>
      </c>
      <c r="Q955" t="s">
        <v>74</v>
      </c>
      <c r="R955" t="s">
        <v>74</v>
      </c>
      <c r="S955" t="s">
        <v>74</v>
      </c>
      <c r="T955" t="s">
        <v>17482</v>
      </c>
      <c r="U955" t="s">
        <v>17483</v>
      </c>
      <c r="V955" t="s">
        <v>17484</v>
      </c>
      <c r="W955" t="s">
        <v>17485</v>
      </c>
      <c r="X955" t="s">
        <v>17486</v>
      </c>
      <c r="Y955" t="s">
        <v>17487</v>
      </c>
      <c r="Z955" t="s">
        <v>17488</v>
      </c>
      <c r="AA955" t="s">
        <v>17489</v>
      </c>
      <c r="AB955" t="s">
        <v>17490</v>
      </c>
      <c r="AC955" t="s">
        <v>17491</v>
      </c>
      <c r="AD955" t="s">
        <v>17492</v>
      </c>
      <c r="AE955" t="s">
        <v>17493</v>
      </c>
      <c r="AF955" t="s">
        <v>74</v>
      </c>
      <c r="AG955">
        <v>139</v>
      </c>
      <c r="AH955">
        <v>133</v>
      </c>
      <c r="AI955">
        <v>150</v>
      </c>
      <c r="AJ955">
        <v>2</v>
      </c>
      <c r="AK955">
        <v>101</v>
      </c>
      <c r="AL955" t="s">
        <v>506</v>
      </c>
      <c r="AM955" t="s">
        <v>442</v>
      </c>
      <c r="AN955" t="s">
        <v>507</v>
      </c>
      <c r="AO955" t="s">
        <v>4703</v>
      </c>
      <c r="AP955" t="s">
        <v>74</v>
      </c>
      <c r="AQ955" t="s">
        <v>74</v>
      </c>
      <c r="AR955" t="s">
        <v>4704</v>
      </c>
      <c r="AS955" t="s">
        <v>4705</v>
      </c>
      <c r="AT955" t="s">
        <v>17458</v>
      </c>
      <c r="AU955">
        <v>2013</v>
      </c>
      <c r="AV955">
        <v>62</v>
      </c>
      <c r="AW955" t="s">
        <v>74</v>
      </c>
      <c r="AX955" t="s">
        <v>74</v>
      </c>
      <c r="AY955" t="s">
        <v>74</v>
      </c>
      <c r="AZ955" t="s">
        <v>74</v>
      </c>
      <c r="BA955" t="s">
        <v>74</v>
      </c>
      <c r="BB955">
        <v>114</v>
      </c>
      <c r="BC955">
        <v>141</v>
      </c>
      <c r="BD955" t="s">
        <v>74</v>
      </c>
      <c r="BE955" t="s">
        <v>17494</v>
      </c>
      <c r="BF955" t="str">
        <f>HYPERLINK("http://dx.doi.org/10.1016/j.quascirev.2012.10.034","http://dx.doi.org/10.1016/j.quascirev.2012.10.034")</f>
        <v>http://dx.doi.org/10.1016/j.quascirev.2012.10.034</v>
      </c>
      <c r="BG955" t="s">
        <v>74</v>
      </c>
      <c r="BH955" t="s">
        <v>74</v>
      </c>
      <c r="BI955">
        <v>28</v>
      </c>
      <c r="BJ955" t="s">
        <v>650</v>
      </c>
      <c r="BK955" t="s">
        <v>102</v>
      </c>
      <c r="BL955" t="s">
        <v>651</v>
      </c>
      <c r="BM955" t="s">
        <v>17477</v>
      </c>
      <c r="BN955" t="s">
        <v>74</v>
      </c>
      <c r="BO955" t="s">
        <v>74</v>
      </c>
      <c r="BP955" t="s">
        <v>74</v>
      </c>
      <c r="BQ955" t="s">
        <v>74</v>
      </c>
      <c r="BR955" t="s">
        <v>105</v>
      </c>
      <c r="BS955" t="s">
        <v>17495</v>
      </c>
      <c r="BT955" t="str">
        <f>HYPERLINK("https%3A%2F%2Fwww.webofscience.com%2Fwos%2Fwoscc%2Ffull-record%2FWOS:000315013800008","View Full Record in Web of Science")</f>
        <v>View Full Record in Web of Science</v>
      </c>
    </row>
    <row r="956" spans="1:72" x14ac:dyDescent="0.15">
      <c r="A956" t="s">
        <v>72</v>
      </c>
      <c r="B956" t="s">
        <v>2088</v>
      </c>
      <c r="C956" t="s">
        <v>74</v>
      </c>
      <c r="D956" t="s">
        <v>74</v>
      </c>
      <c r="E956" t="s">
        <v>74</v>
      </c>
      <c r="F956" t="s">
        <v>2088</v>
      </c>
      <c r="G956" t="s">
        <v>74</v>
      </c>
      <c r="H956" t="s">
        <v>74</v>
      </c>
      <c r="I956" t="s">
        <v>17496</v>
      </c>
      <c r="J956" t="s">
        <v>2090</v>
      </c>
      <c r="K956" t="s">
        <v>74</v>
      </c>
      <c r="L956" t="s">
        <v>74</v>
      </c>
      <c r="M956" t="s">
        <v>78</v>
      </c>
      <c r="N956" t="s">
        <v>254</v>
      </c>
      <c r="O956" t="s">
        <v>74</v>
      </c>
      <c r="P956" t="s">
        <v>74</v>
      </c>
      <c r="Q956" t="s">
        <v>74</v>
      </c>
      <c r="R956" t="s">
        <v>74</v>
      </c>
      <c r="S956" t="s">
        <v>74</v>
      </c>
      <c r="T956" t="s">
        <v>74</v>
      </c>
      <c r="U956" t="s">
        <v>74</v>
      </c>
      <c r="V956" t="s">
        <v>74</v>
      </c>
      <c r="W956" t="s">
        <v>74</v>
      </c>
      <c r="X956" t="s">
        <v>74</v>
      </c>
      <c r="Y956" t="s">
        <v>74</v>
      </c>
      <c r="Z956" t="s">
        <v>74</v>
      </c>
      <c r="AA956" t="s">
        <v>74</v>
      </c>
      <c r="AB956" t="s">
        <v>74</v>
      </c>
      <c r="AC956" t="s">
        <v>74</v>
      </c>
      <c r="AD956" t="s">
        <v>74</v>
      </c>
      <c r="AE956" t="s">
        <v>74</v>
      </c>
      <c r="AF956" t="s">
        <v>74</v>
      </c>
      <c r="AG956">
        <v>0</v>
      </c>
      <c r="AH956">
        <v>0</v>
      </c>
      <c r="AI956">
        <v>0</v>
      </c>
      <c r="AJ956">
        <v>0</v>
      </c>
      <c r="AK956">
        <v>4</v>
      </c>
      <c r="AL956" t="s">
        <v>2091</v>
      </c>
      <c r="AM956" t="s">
        <v>93</v>
      </c>
      <c r="AN956" t="s">
        <v>2092</v>
      </c>
      <c r="AO956" t="s">
        <v>2093</v>
      </c>
      <c r="AP956" t="s">
        <v>74</v>
      </c>
      <c r="AQ956" t="s">
        <v>74</v>
      </c>
      <c r="AR956" t="s">
        <v>2090</v>
      </c>
      <c r="AS956" t="s">
        <v>2094</v>
      </c>
      <c r="AT956" t="s">
        <v>17458</v>
      </c>
      <c r="AU956">
        <v>2013</v>
      </c>
      <c r="AV956">
        <v>339</v>
      </c>
      <c r="AW956">
        <v>6121</v>
      </c>
      <c r="AX956" t="s">
        <v>74</v>
      </c>
      <c r="AY956" t="s">
        <v>74</v>
      </c>
      <c r="AZ956" t="s">
        <v>74</v>
      </c>
      <c r="BA956" t="s">
        <v>74</v>
      </c>
      <c r="BB956">
        <v>744</v>
      </c>
      <c r="BC956">
        <v>744</v>
      </c>
      <c r="BD956" t="s">
        <v>74</v>
      </c>
      <c r="BE956" t="s">
        <v>74</v>
      </c>
      <c r="BF956" t="s">
        <v>74</v>
      </c>
      <c r="BG956" t="s">
        <v>74</v>
      </c>
      <c r="BH956" t="s">
        <v>74</v>
      </c>
      <c r="BI956">
        <v>1</v>
      </c>
      <c r="BJ956" t="s">
        <v>1880</v>
      </c>
      <c r="BK956" t="s">
        <v>102</v>
      </c>
      <c r="BL956" t="s">
        <v>1881</v>
      </c>
      <c r="BM956" t="s">
        <v>17497</v>
      </c>
      <c r="BN956" t="s">
        <v>74</v>
      </c>
      <c r="BO956" t="s">
        <v>74</v>
      </c>
      <c r="BP956" t="s">
        <v>74</v>
      </c>
      <c r="BQ956" t="s">
        <v>74</v>
      </c>
      <c r="BR956" t="s">
        <v>105</v>
      </c>
      <c r="BS956" t="s">
        <v>17498</v>
      </c>
      <c r="BT956" t="str">
        <f>HYPERLINK("https%3A%2F%2Fwww.webofscience.com%2Fwos%2Fwoscc%2Ffull-record%2FWOS:000314874400009","View Full Record in Web of Science")</f>
        <v>View Full Record in Web of Science</v>
      </c>
    </row>
    <row r="957" spans="1:72" x14ac:dyDescent="0.15">
      <c r="A957" t="s">
        <v>72</v>
      </c>
      <c r="B957" t="s">
        <v>17499</v>
      </c>
      <c r="C957" t="s">
        <v>74</v>
      </c>
      <c r="D957" t="s">
        <v>74</v>
      </c>
      <c r="E957" t="s">
        <v>74</v>
      </c>
      <c r="F957" t="s">
        <v>17500</v>
      </c>
      <c r="G957" t="s">
        <v>74</v>
      </c>
      <c r="H957" t="s">
        <v>74</v>
      </c>
      <c r="I957" t="s">
        <v>17501</v>
      </c>
      <c r="J957" t="s">
        <v>7323</v>
      </c>
      <c r="K957" t="s">
        <v>74</v>
      </c>
      <c r="L957" t="s">
        <v>74</v>
      </c>
      <c r="M957" t="s">
        <v>78</v>
      </c>
      <c r="N957" t="s">
        <v>79</v>
      </c>
      <c r="O957" t="s">
        <v>74</v>
      </c>
      <c r="P957" t="s">
        <v>74</v>
      </c>
      <c r="Q957" t="s">
        <v>74</v>
      </c>
      <c r="R957" t="s">
        <v>74</v>
      </c>
      <c r="S957" t="s">
        <v>74</v>
      </c>
      <c r="T957" t="s">
        <v>17502</v>
      </c>
      <c r="U957" t="s">
        <v>17503</v>
      </c>
      <c r="V957" t="s">
        <v>17504</v>
      </c>
      <c r="W957" t="s">
        <v>17505</v>
      </c>
      <c r="X957" t="s">
        <v>17506</v>
      </c>
      <c r="Y957" t="s">
        <v>17507</v>
      </c>
      <c r="Z957" t="s">
        <v>17508</v>
      </c>
      <c r="AA957" t="s">
        <v>17509</v>
      </c>
      <c r="AB957" t="s">
        <v>17510</v>
      </c>
      <c r="AC957" t="s">
        <v>17511</v>
      </c>
      <c r="AD957" t="s">
        <v>17512</v>
      </c>
      <c r="AE957" t="s">
        <v>17513</v>
      </c>
      <c r="AF957" t="s">
        <v>74</v>
      </c>
      <c r="AG957">
        <v>84</v>
      </c>
      <c r="AH957">
        <v>17</v>
      </c>
      <c r="AI957">
        <v>17</v>
      </c>
      <c r="AJ957">
        <v>2</v>
      </c>
      <c r="AK957">
        <v>51</v>
      </c>
      <c r="AL957" t="s">
        <v>154</v>
      </c>
      <c r="AM957" t="s">
        <v>155</v>
      </c>
      <c r="AN957" t="s">
        <v>156</v>
      </c>
      <c r="AO957" t="s">
        <v>7335</v>
      </c>
      <c r="AP957" t="s">
        <v>11556</v>
      </c>
      <c r="AQ957" t="s">
        <v>74</v>
      </c>
      <c r="AR957" t="s">
        <v>7323</v>
      </c>
      <c r="AS957" t="s">
        <v>7336</v>
      </c>
      <c r="AT957" t="s">
        <v>17458</v>
      </c>
      <c r="AU957">
        <v>2013</v>
      </c>
      <c r="AV957">
        <v>376</v>
      </c>
      <c r="AW957" t="s">
        <v>74</v>
      </c>
      <c r="AX957" t="s">
        <v>74</v>
      </c>
      <c r="AY957" t="s">
        <v>74</v>
      </c>
      <c r="AZ957" t="s">
        <v>74</v>
      </c>
      <c r="BA957" t="s">
        <v>74</v>
      </c>
      <c r="BB957">
        <v>45</v>
      </c>
      <c r="BC957">
        <v>53</v>
      </c>
      <c r="BD957" t="s">
        <v>74</v>
      </c>
      <c r="BE957" t="s">
        <v>17514</v>
      </c>
      <c r="BF957" t="str">
        <f>HYPERLINK("http://dx.doi.org/10.1016/j.aquaculture.2012.10.033","http://dx.doi.org/10.1016/j.aquaculture.2012.10.033")</f>
        <v>http://dx.doi.org/10.1016/j.aquaculture.2012.10.033</v>
      </c>
      <c r="BG957" t="s">
        <v>74</v>
      </c>
      <c r="BH957" t="s">
        <v>74</v>
      </c>
      <c r="BI957">
        <v>9</v>
      </c>
      <c r="BJ957" t="s">
        <v>487</v>
      </c>
      <c r="BK957" t="s">
        <v>102</v>
      </c>
      <c r="BL957" t="s">
        <v>487</v>
      </c>
      <c r="BM957" t="s">
        <v>17515</v>
      </c>
      <c r="BN957" t="s">
        <v>74</v>
      </c>
      <c r="BO957" t="s">
        <v>74</v>
      </c>
      <c r="BP957" t="s">
        <v>74</v>
      </c>
      <c r="BQ957" t="s">
        <v>74</v>
      </c>
      <c r="BR957" t="s">
        <v>105</v>
      </c>
      <c r="BS957" t="s">
        <v>17516</v>
      </c>
      <c r="BT957" t="str">
        <f>HYPERLINK("https%3A%2F%2Fwww.webofscience.com%2Fwos%2Fwoscc%2Ffull-record%2FWOS:000313569100007","View Full Record in Web of Science")</f>
        <v>View Full Record in Web of Science</v>
      </c>
    </row>
    <row r="958" spans="1:72" x14ac:dyDescent="0.15">
      <c r="A958" t="s">
        <v>72</v>
      </c>
      <c r="B958" t="s">
        <v>17517</v>
      </c>
      <c r="C958" t="s">
        <v>74</v>
      </c>
      <c r="D958" t="s">
        <v>74</v>
      </c>
      <c r="E958" t="s">
        <v>74</v>
      </c>
      <c r="F958" t="s">
        <v>17518</v>
      </c>
      <c r="G958" t="s">
        <v>74</v>
      </c>
      <c r="H958" t="s">
        <v>74</v>
      </c>
      <c r="I958" t="s">
        <v>17519</v>
      </c>
      <c r="J958" t="s">
        <v>7323</v>
      </c>
      <c r="K958" t="s">
        <v>74</v>
      </c>
      <c r="L958" t="s">
        <v>74</v>
      </c>
      <c r="M958" t="s">
        <v>78</v>
      </c>
      <c r="N958" t="s">
        <v>79</v>
      </c>
      <c r="O958" t="s">
        <v>74</v>
      </c>
      <c r="P958" t="s">
        <v>74</v>
      </c>
      <c r="Q958" t="s">
        <v>74</v>
      </c>
      <c r="R958" t="s">
        <v>74</v>
      </c>
      <c r="S958" t="s">
        <v>74</v>
      </c>
      <c r="T958" t="s">
        <v>17520</v>
      </c>
      <c r="U958" t="s">
        <v>17521</v>
      </c>
      <c r="V958" t="s">
        <v>17522</v>
      </c>
      <c r="W958" t="s">
        <v>17523</v>
      </c>
      <c r="X958" t="s">
        <v>17506</v>
      </c>
      <c r="Y958" t="s">
        <v>17524</v>
      </c>
      <c r="Z958" t="s">
        <v>17525</v>
      </c>
      <c r="AA958" t="s">
        <v>17509</v>
      </c>
      <c r="AB958" t="s">
        <v>17510</v>
      </c>
      <c r="AC958" t="s">
        <v>17511</v>
      </c>
      <c r="AD958" t="s">
        <v>17512</v>
      </c>
      <c r="AE958" t="s">
        <v>17526</v>
      </c>
      <c r="AF958" t="s">
        <v>74</v>
      </c>
      <c r="AG958">
        <v>85</v>
      </c>
      <c r="AH958">
        <v>19</v>
      </c>
      <c r="AI958">
        <v>21</v>
      </c>
      <c r="AJ958">
        <v>0</v>
      </c>
      <c r="AK958">
        <v>32</v>
      </c>
      <c r="AL958" t="s">
        <v>195</v>
      </c>
      <c r="AM958" t="s">
        <v>155</v>
      </c>
      <c r="AN958" t="s">
        <v>196</v>
      </c>
      <c r="AO958" t="s">
        <v>7335</v>
      </c>
      <c r="AP958" t="s">
        <v>11556</v>
      </c>
      <c r="AQ958" t="s">
        <v>74</v>
      </c>
      <c r="AR958" t="s">
        <v>7323</v>
      </c>
      <c r="AS958" t="s">
        <v>7336</v>
      </c>
      <c r="AT958" t="s">
        <v>17458</v>
      </c>
      <c r="AU958">
        <v>2013</v>
      </c>
      <c r="AV958">
        <v>376</v>
      </c>
      <c r="AW958" t="s">
        <v>74</v>
      </c>
      <c r="AX958" t="s">
        <v>74</v>
      </c>
      <c r="AY958" t="s">
        <v>74</v>
      </c>
      <c r="AZ958" t="s">
        <v>74</v>
      </c>
      <c r="BA958" t="s">
        <v>74</v>
      </c>
      <c r="BB958">
        <v>162</v>
      </c>
      <c r="BC958">
        <v>170</v>
      </c>
      <c r="BD958" t="s">
        <v>74</v>
      </c>
      <c r="BE958" t="s">
        <v>17527</v>
      </c>
      <c r="BF958" t="str">
        <f>HYPERLINK("http://dx.doi.org/10.1016/j.aquaculture.2012.11.025","http://dx.doi.org/10.1016/j.aquaculture.2012.11.025")</f>
        <v>http://dx.doi.org/10.1016/j.aquaculture.2012.11.025</v>
      </c>
      <c r="BG958" t="s">
        <v>74</v>
      </c>
      <c r="BH958" t="s">
        <v>74</v>
      </c>
      <c r="BI958">
        <v>9</v>
      </c>
      <c r="BJ958" t="s">
        <v>487</v>
      </c>
      <c r="BK958" t="s">
        <v>102</v>
      </c>
      <c r="BL958" t="s">
        <v>487</v>
      </c>
      <c r="BM958" t="s">
        <v>17515</v>
      </c>
      <c r="BN958" t="s">
        <v>74</v>
      </c>
      <c r="BO958" t="s">
        <v>74</v>
      </c>
      <c r="BP958" t="s">
        <v>74</v>
      </c>
      <c r="BQ958" t="s">
        <v>74</v>
      </c>
      <c r="BR958" t="s">
        <v>105</v>
      </c>
      <c r="BS958" t="s">
        <v>17528</v>
      </c>
      <c r="BT958" t="str">
        <f>HYPERLINK("https%3A%2F%2Fwww.webofscience.com%2Fwos%2Fwoscc%2Ffull-record%2FWOS:000313569100023","View Full Record in Web of Science")</f>
        <v>View Full Record in Web of Science</v>
      </c>
    </row>
    <row r="959" spans="1:72" x14ac:dyDescent="0.15">
      <c r="A959" t="s">
        <v>72</v>
      </c>
      <c r="B959" t="s">
        <v>17529</v>
      </c>
      <c r="C959" t="s">
        <v>74</v>
      </c>
      <c r="D959" t="s">
        <v>74</v>
      </c>
      <c r="E959" t="s">
        <v>74</v>
      </c>
      <c r="F959" t="s">
        <v>17530</v>
      </c>
      <c r="G959" t="s">
        <v>74</v>
      </c>
      <c r="H959" t="s">
        <v>74</v>
      </c>
      <c r="I959" t="s">
        <v>17531</v>
      </c>
      <c r="J959" t="s">
        <v>1366</v>
      </c>
      <c r="K959" t="s">
        <v>74</v>
      </c>
      <c r="L959" t="s">
        <v>74</v>
      </c>
      <c r="M959" t="s">
        <v>78</v>
      </c>
      <c r="N959" t="s">
        <v>79</v>
      </c>
      <c r="O959" t="s">
        <v>74</v>
      </c>
      <c r="P959" t="s">
        <v>74</v>
      </c>
      <c r="Q959" t="s">
        <v>74</v>
      </c>
      <c r="R959" t="s">
        <v>74</v>
      </c>
      <c r="S959" t="s">
        <v>74</v>
      </c>
      <c r="T959" t="s">
        <v>17532</v>
      </c>
      <c r="U959" t="s">
        <v>17533</v>
      </c>
      <c r="V959" t="s">
        <v>17534</v>
      </c>
      <c r="W959" t="s">
        <v>17535</v>
      </c>
      <c r="X959" t="s">
        <v>17536</v>
      </c>
      <c r="Y959" t="s">
        <v>17537</v>
      </c>
      <c r="Z959" t="s">
        <v>17538</v>
      </c>
      <c r="AA959" t="s">
        <v>17539</v>
      </c>
      <c r="AB959" t="s">
        <v>17540</v>
      </c>
      <c r="AC959" t="s">
        <v>17541</v>
      </c>
      <c r="AD959" t="s">
        <v>17542</v>
      </c>
      <c r="AE959" t="s">
        <v>17543</v>
      </c>
      <c r="AF959" t="s">
        <v>74</v>
      </c>
      <c r="AG959">
        <v>111</v>
      </c>
      <c r="AH959">
        <v>18</v>
      </c>
      <c r="AI959">
        <v>18</v>
      </c>
      <c r="AJ959">
        <v>0</v>
      </c>
      <c r="AK959">
        <v>38</v>
      </c>
      <c r="AL959" t="s">
        <v>154</v>
      </c>
      <c r="AM959" t="s">
        <v>155</v>
      </c>
      <c r="AN959" t="s">
        <v>156</v>
      </c>
      <c r="AO959" t="s">
        <v>1379</v>
      </c>
      <c r="AP959" t="s">
        <v>1380</v>
      </c>
      <c r="AQ959" t="s">
        <v>74</v>
      </c>
      <c r="AR959" t="s">
        <v>1381</v>
      </c>
      <c r="AS959" t="s">
        <v>1382</v>
      </c>
      <c r="AT959" t="s">
        <v>17458</v>
      </c>
      <c r="AU959">
        <v>2013</v>
      </c>
      <c r="AV959">
        <v>364</v>
      </c>
      <c r="AW959" t="s">
        <v>74</v>
      </c>
      <c r="AX959" t="s">
        <v>74</v>
      </c>
      <c r="AY959" t="s">
        <v>74</v>
      </c>
      <c r="AZ959" t="s">
        <v>74</v>
      </c>
      <c r="BA959" t="s">
        <v>74</v>
      </c>
      <c r="BB959">
        <v>12</v>
      </c>
      <c r="BC959">
        <v>23</v>
      </c>
      <c r="BD959" t="s">
        <v>74</v>
      </c>
      <c r="BE959" t="s">
        <v>17544</v>
      </c>
      <c r="BF959" t="str">
        <f>HYPERLINK("http://dx.doi.org/10.1016/j.epsl.2012.12.016","http://dx.doi.org/10.1016/j.epsl.2012.12.016")</f>
        <v>http://dx.doi.org/10.1016/j.epsl.2012.12.016</v>
      </c>
      <c r="BG959" t="s">
        <v>74</v>
      </c>
      <c r="BH959" t="s">
        <v>74</v>
      </c>
      <c r="BI959">
        <v>12</v>
      </c>
      <c r="BJ959" t="s">
        <v>766</v>
      </c>
      <c r="BK959" t="s">
        <v>102</v>
      </c>
      <c r="BL959" t="s">
        <v>766</v>
      </c>
      <c r="BM959" t="s">
        <v>17545</v>
      </c>
      <c r="BN959" t="s">
        <v>74</v>
      </c>
      <c r="BO959" t="s">
        <v>74</v>
      </c>
      <c r="BP959" t="s">
        <v>74</v>
      </c>
      <c r="BQ959" t="s">
        <v>74</v>
      </c>
      <c r="BR959" t="s">
        <v>105</v>
      </c>
      <c r="BS959" t="s">
        <v>17546</v>
      </c>
      <c r="BT959" t="str">
        <f>HYPERLINK("https%3A%2F%2Fwww.webofscience.com%2Fwos%2Fwoscc%2Ffull-record%2FWOS:000317168300002","View Full Record in Web of Science")</f>
        <v>View Full Record in Web of Science</v>
      </c>
    </row>
    <row r="960" spans="1:72" x14ac:dyDescent="0.15">
      <c r="A960" t="s">
        <v>72</v>
      </c>
      <c r="B960" t="s">
        <v>17547</v>
      </c>
      <c r="C960" t="s">
        <v>74</v>
      </c>
      <c r="D960" t="s">
        <v>74</v>
      </c>
      <c r="E960" t="s">
        <v>74</v>
      </c>
      <c r="F960" t="s">
        <v>17548</v>
      </c>
      <c r="G960" t="s">
        <v>74</v>
      </c>
      <c r="H960" t="s">
        <v>74</v>
      </c>
      <c r="I960" t="s">
        <v>17549</v>
      </c>
      <c r="J960" t="s">
        <v>4690</v>
      </c>
      <c r="K960" t="s">
        <v>74</v>
      </c>
      <c r="L960" t="s">
        <v>74</v>
      </c>
      <c r="M960" t="s">
        <v>78</v>
      </c>
      <c r="N960" t="s">
        <v>79</v>
      </c>
      <c r="O960" t="s">
        <v>74</v>
      </c>
      <c r="P960" t="s">
        <v>74</v>
      </c>
      <c r="Q960" t="s">
        <v>74</v>
      </c>
      <c r="R960" t="s">
        <v>74</v>
      </c>
      <c r="S960" t="s">
        <v>74</v>
      </c>
      <c r="T960" t="s">
        <v>17550</v>
      </c>
      <c r="U960" t="s">
        <v>17551</v>
      </c>
      <c r="V960" t="s">
        <v>17552</v>
      </c>
      <c r="W960" t="s">
        <v>17553</v>
      </c>
      <c r="X960" t="s">
        <v>17554</v>
      </c>
      <c r="Y960" t="s">
        <v>17555</v>
      </c>
      <c r="Z960" t="s">
        <v>17556</v>
      </c>
      <c r="AA960" t="s">
        <v>17557</v>
      </c>
      <c r="AB960" t="s">
        <v>17558</v>
      </c>
      <c r="AC960" t="s">
        <v>17559</v>
      </c>
      <c r="AD960" t="s">
        <v>17560</v>
      </c>
      <c r="AE960" t="s">
        <v>17561</v>
      </c>
      <c r="AF960" t="s">
        <v>74</v>
      </c>
      <c r="AG960">
        <v>107</v>
      </c>
      <c r="AH960">
        <v>63</v>
      </c>
      <c r="AI960">
        <v>68</v>
      </c>
      <c r="AJ960">
        <v>1</v>
      </c>
      <c r="AK960">
        <v>120</v>
      </c>
      <c r="AL960" t="s">
        <v>506</v>
      </c>
      <c r="AM960" t="s">
        <v>442</v>
      </c>
      <c r="AN960" t="s">
        <v>507</v>
      </c>
      <c r="AO960" t="s">
        <v>4703</v>
      </c>
      <c r="AP960" t="s">
        <v>74</v>
      </c>
      <c r="AQ960" t="s">
        <v>74</v>
      </c>
      <c r="AR960" t="s">
        <v>4704</v>
      </c>
      <c r="AS960" t="s">
        <v>4705</v>
      </c>
      <c r="AT960" t="s">
        <v>17458</v>
      </c>
      <c r="AU960">
        <v>2013</v>
      </c>
      <c r="AV960">
        <v>62</v>
      </c>
      <c r="AW960" t="s">
        <v>74</v>
      </c>
      <c r="AX960" t="s">
        <v>74</v>
      </c>
      <c r="AY960" t="s">
        <v>74</v>
      </c>
      <c r="AZ960" t="s">
        <v>74</v>
      </c>
      <c r="BA960" t="s">
        <v>74</v>
      </c>
      <c r="BB960">
        <v>77</v>
      </c>
      <c r="BC960">
        <v>96</v>
      </c>
      <c r="BD960" t="s">
        <v>74</v>
      </c>
      <c r="BE960" t="s">
        <v>17562</v>
      </c>
      <c r="BF960" t="str">
        <f>HYPERLINK("http://dx.doi.org/10.1016/j.quascirev.2012.11.011","http://dx.doi.org/10.1016/j.quascirev.2012.11.011")</f>
        <v>http://dx.doi.org/10.1016/j.quascirev.2012.11.011</v>
      </c>
      <c r="BG960" t="s">
        <v>74</v>
      </c>
      <c r="BH960" t="s">
        <v>74</v>
      </c>
      <c r="BI960">
        <v>20</v>
      </c>
      <c r="BJ960" t="s">
        <v>650</v>
      </c>
      <c r="BK960" t="s">
        <v>102</v>
      </c>
      <c r="BL960" t="s">
        <v>651</v>
      </c>
      <c r="BM960" t="s">
        <v>17477</v>
      </c>
      <c r="BN960" t="s">
        <v>74</v>
      </c>
      <c r="BO960" t="s">
        <v>1063</v>
      </c>
      <c r="BP960" t="s">
        <v>74</v>
      </c>
      <c r="BQ960" t="s">
        <v>74</v>
      </c>
      <c r="BR960" t="s">
        <v>105</v>
      </c>
      <c r="BS960" t="s">
        <v>17563</v>
      </c>
      <c r="BT960" t="str">
        <f>HYPERLINK("https%3A%2F%2Fwww.webofscience.com%2Fwos%2Fwoscc%2Ffull-record%2FWOS:000315013800006","View Full Record in Web of Science")</f>
        <v>View Full Record in Web of Science</v>
      </c>
    </row>
    <row r="961" spans="1:72" x14ac:dyDescent="0.15">
      <c r="A961" t="s">
        <v>72</v>
      </c>
      <c r="B961" t="s">
        <v>17564</v>
      </c>
      <c r="C961" t="s">
        <v>74</v>
      </c>
      <c r="D961" t="s">
        <v>74</v>
      </c>
      <c r="E961" t="s">
        <v>74</v>
      </c>
      <c r="F961" t="s">
        <v>17565</v>
      </c>
      <c r="G961" t="s">
        <v>74</v>
      </c>
      <c r="H961" t="s">
        <v>74</v>
      </c>
      <c r="I961" t="s">
        <v>17566</v>
      </c>
      <c r="J961" t="s">
        <v>14628</v>
      </c>
      <c r="K961" t="s">
        <v>74</v>
      </c>
      <c r="L961" t="s">
        <v>74</v>
      </c>
      <c r="M961" t="s">
        <v>78</v>
      </c>
      <c r="N961" t="s">
        <v>3042</v>
      </c>
      <c r="O961" t="s">
        <v>17567</v>
      </c>
      <c r="P961" t="s">
        <v>17568</v>
      </c>
      <c r="Q961" t="s">
        <v>17569</v>
      </c>
      <c r="R961" t="s">
        <v>74</v>
      </c>
      <c r="S961" t="s">
        <v>74</v>
      </c>
      <c r="T961" t="s">
        <v>17570</v>
      </c>
      <c r="U961" t="s">
        <v>17571</v>
      </c>
      <c r="V961" t="s">
        <v>17572</v>
      </c>
      <c r="W961" t="s">
        <v>17573</v>
      </c>
      <c r="X961" t="s">
        <v>17574</v>
      </c>
      <c r="Y961" t="s">
        <v>17575</v>
      </c>
      <c r="Z961" t="s">
        <v>17576</v>
      </c>
      <c r="AA961" t="s">
        <v>17577</v>
      </c>
      <c r="AB961" t="s">
        <v>17578</v>
      </c>
      <c r="AC961" t="s">
        <v>74</v>
      </c>
      <c r="AD961" t="s">
        <v>74</v>
      </c>
      <c r="AE961" t="s">
        <v>74</v>
      </c>
      <c r="AF961" t="s">
        <v>74</v>
      </c>
      <c r="AG961">
        <v>37</v>
      </c>
      <c r="AH961">
        <v>18</v>
      </c>
      <c r="AI961">
        <v>22</v>
      </c>
      <c r="AJ961">
        <v>3</v>
      </c>
      <c r="AK961">
        <v>82</v>
      </c>
      <c r="AL961" t="s">
        <v>14641</v>
      </c>
      <c r="AM961" t="s">
        <v>442</v>
      </c>
      <c r="AN961" t="s">
        <v>14642</v>
      </c>
      <c r="AO961" t="s">
        <v>14643</v>
      </c>
      <c r="AP961" t="s">
        <v>14644</v>
      </c>
      <c r="AQ961" t="s">
        <v>74</v>
      </c>
      <c r="AR961" t="s">
        <v>14645</v>
      </c>
      <c r="AS961" t="s">
        <v>14646</v>
      </c>
      <c r="AT961" t="s">
        <v>17458</v>
      </c>
      <c r="AU961">
        <v>2013</v>
      </c>
      <c r="AV961">
        <v>40</v>
      </c>
      <c r="AW961">
        <v>1</v>
      </c>
      <c r="AX961" t="s">
        <v>74</v>
      </c>
      <c r="AY961" t="s">
        <v>74</v>
      </c>
      <c r="AZ961" t="s">
        <v>935</v>
      </c>
      <c r="BA961" t="s">
        <v>74</v>
      </c>
      <c r="BB961">
        <v>102</v>
      </c>
      <c r="BC961">
        <v>109</v>
      </c>
      <c r="BD961" t="s">
        <v>74</v>
      </c>
      <c r="BE961" t="s">
        <v>17579</v>
      </c>
      <c r="BF961" t="str">
        <f>HYPERLINK("http://dx.doi.org/10.1016/j.bios.2012.06.039","http://dx.doi.org/10.1016/j.bios.2012.06.039")</f>
        <v>http://dx.doi.org/10.1016/j.bios.2012.06.039</v>
      </c>
      <c r="BG961" t="s">
        <v>74</v>
      </c>
      <c r="BH961" t="s">
        <v>74</v>
      </c>
      <c r="BI961">
        <v>8</v>
      </c>
      <c r="BJ961" t="s">
        <v>14648</v>
      </c>
      <c r="BK961" t="s">
        <v>2934</v>
      </c>
      <c r="BL961" t="s">
        <v>14649</v>
      </c>
      <c r="BM961" t="s">
        <v>17580</v>
      </c>
      <c r="BN961">
        <v>22796023</v>
      </c>
      <c r="BO961" t="s">
        <v>74</v>
      </c>
      <c r="BP961" t="s">
        <v>74</v>
      </c>
      <c r="BQ961" t="s">
        <v>74</v>
      </c>
      <c r="BR961" t="s">
        <v>105</v>
      </c>
      <c r="BS961" t="s">
        <v>17581</v>
      </c>
      <c r="BT961" t="str">
        <f>HYPERLINK("https%3A%2F%2Fwww.webofscience.com%2Fwos%2Fwoscc%2Ffull-record%2FWOS:000312825800017","View Full Record in Web of Science")</f>
        <v>View Full Record in Web of Science</v>
      </c>
    </row>
    <row r="962" spans="1:72" x14ac:dyDescent="0.15">
      <c r="A962" t="s">
        <v>72</v>
      </c>
      <c r="B962" t="s">
        <v>17582</v>
      </c>
      <c r="C962" t="s">
        <v>74</v>
      </c>
      <c r="D962" t="s">
        <v>74</v>
      </c>
      <c r="E962" t="s">
        <v>74</v>
      </c>
      <c r="F962" t="s">
        <v>17583</v>
      </c>
      <c r="G962" t="s">
        <v>74</v>
      </c>
      <c r="H962" t="s">
        <v>74</v>
      </c>
      <c r="I962" t="s">
        <v>17584</v>
      </c>
      <c r="J962" t="s">
        <v>5531</v>
      </c>
      <c r="K962" t="s">
        <v>74</v>
      </c>
      <c r="L962" t="s">
        <v>74</v>
      </c>
      <c r="M962" t="s">
        <v>78</v>
      </c>
      <c r="N962" t="s">
        <v>79</v>
      </c>
      <c r="O962" t="s">
        <v>74</v>
      </c>
      <c r="P962" t="s">
        <v>74</v>
      </c>
      <c r="Q962" t="s">
        <v>74</v>
      </c>
      <c r="R962" t="s">
        <v>74</v>
      </c>
      <c r="S962" t="s">
        <v>74</v>
      </c>
      <c r="T962" t="s">
        <v>74</v>
      </c>
      <c r="U962" t="s">
        <v>17585</v>
      </c>
      <c r="V962" t="s">
        <v>17586</v>
      </c>
      <c r="W962" t="s">
        <v>17587</v>
      </c>
      <c r="X962" t="s">
        <v>17588</v>
      </c>
      <c r="Y962" t="s">
        <v>17589</v>
      </c>
      <c r="Z962" t="s">
        <v>17590</v>
      </c>
      <c r="AA962" t="s">
        <v>74</v>
      </c>
      <c r="AB962" t="s">
        <v>17591</v>
      </c>
      <c r="AC962" t="s">
        <v>17592</v>
      </c>
      <c r="AD962" t="s">
        <v>17593</v>
      </c>
      <c r="AE962" t="s">
        <v>17594</v>
      </c>
      <c r="AF962" t="s">
        <v>74</v>
      </c>
      <c r="AG962">
        <v>22</v>
      </c>
      <c r="AH962">
        <v>59</v>
      </c>
      <c r="AI962">
        <v>69</v>
      </c>
      <c r="AJ962">
        <v>2</v>
      </c>
      <c r="AK962">
        <v>70</v>
      </c>
      <c r="AL962" t="s">
        <v>670</v>
      </c>
      <c r="AM962" t="s">
        <v>643</v>
      </c>
      <c r="AN962" t="s">
        <v>671</v>
      </c>
      <c r="AO962" t="s">
        <v>5543</v>
      </c>
      <c r="AP962" t="s">
        <v>5544</v>
      </c>
      <c r="AQ962" t="s">
        <v>74</v>
      </c>
      <c r="AR962" t="s">
        <v>5531</v>
      </c>
      <c r="AS962" t="s">
        <v>5545</v>
      </c>
      <c r="AT962" t="s">
        <v>17595</v>
      </c>
      <c r="AU962">
        <v>2013</v>
      </c>
      <c r="AV962">
        <v>494</v>
      </c>
      <c r="AW962">
        <v>7436</v>
      </c>
      <c r="AX962" t="s">
        <v>74</v>
      </c>
      <c r="AY962" t="s">
        <v>74</v>
      </c>
      <c r="AZ962" t="s">
        <v>74</v>
      </c>
      <c r="BA962" t="s">
        <v>74</v>
      </c>
      <c r="BB962">
        <v>222</v>
      </c>
      <c r="BC962">
        <v>225</v>
      </c>
      <c r="BD962" t="s">
        <v>74</v>
      </c>
      <c r="BE962" t="s">
        <v>17596</v>
      </c>
      <c r="BF962" t="str">
        <f>HYPERLINK("http://dx.doi.org/10.1038/nature11790","http://dx.doi.org/10.1038/nature11790")</f>
        <v>http://dx.doi.org/10.1038/nature11790</v>
      </c>
      <c r="BG962" t="s">
        <v>74</v>
      </c>
      <c r="BH962" t="s">
        <v>74</v>
      </c>
      <c r="BI962">
        <v>4</v>
      </c>
      <c r="BJ962" t="s">
        <v>1880</v>
      </c>
      <c r="BK962" t="s">
        <v>102</v>
      </c>
      <c r="BL962" t="s">
        <v>1881</v>
      </c>
      <c r="BM962" t="s">
        <v>17597</v>
      </c>
      <c r="BN962">
        <v>23407538</v>
      </c>
      <c r="BO962" t="s">
        <v>74</v>
      </c>
      <c r="BP962" t="s">
        <v>74</v>
      </c>
      <c r="BQ962" t="s">
        <v>74</v>
      </c>
      <c r="BR962" t="s">
        <v>105</v>
      </c>
      <c r="BS962" t="s">
        <v>17598</v>
      </c>
      <c r="BT962" t="str">
        <f>HYPERLINK("https%3A%2F%2Fwww.webofscience.com%2Fwos%2Fwoscc%2Ffull-record%2FWOS:000315137700036","View Full Record in Web of Science")</f>
        <v>View Full Record in Web of Science</v>
      </c>
    </row>
    <row r="963" spans="1:72" x14ac:dyDescent="0.15">
      <c r="A963" t="s">
        <v>72</v>
      </c>
      <c r="B963" t="s">
        <v>17599</v>
      </c>
      <c r="C963" t="s">
        <v>74</v>
      </c>
      <c r="D963" t="s">
        <v>74</v>
      </c>
      <c r="E963" t="s">
        <v>74</v>
      </c>
      <c r="F963" t="s">
        <v>17600</v>
      </c>
      <c r="G963" t="s">
        <v>74</v>
      </c>
      <c r="H963" t="s">
        <v>74</v>
      </c>
      <c r="I963" t="s">
        <v>17601</v>
      </c>
      <c r="J963" t="s">
        <v>2101</v>
      </c>
      <c r="K963" t="s">
        <v>74</v>
      </c>
      <c r="L963" t="s">
        <v>74</v>
      </c>
      <c r="M963" t="s">
        <v>78</v>
      </c>
      <c r="N963" t="s">
        <v>79</v>
      </c>
      <c r="O963" t="s">
        <v>74</v>
      </c>
      <c r="P963" t="s">
        <v>74</v>
      </c>
      <c r="Q963" t="s">
        <v>74</v>
      </c>
      <c r="R963" t="s">
        <v>74</v>
      </c>
      <c r="S963" t="s">
        <v>74</v>
      </c>
      <c r="T963" t="s">
        <v>17602</v>
      </c>
      <c r="U963" t="s">
        <v>17603</v>
      </c>
      <c r="V963" t="s">
        <v>17604</v>
      </c>
      <c r="W963" t="s">
        <v>17605</v>
      </c>
      <c r="X963" t="s">
        <v>17606</v>
      </c>
      <c r="Y963" t="s">
        <v>17607</v>
      </c>
      <c r="Z963" t="s">
        <v>17608</v>
      </c>
      <c r="AA963" t="s">
        <v>17609</v>
      </c>
      <c r="AB963" t="s">
        <v>17610</v>
      </c>
      <c r="AC963" t="s">
        <v>17611</v>
      </c>
      <c r="AD963" t="s">
        <v>17612</v>
      </c>
      <c r="AE963" t="s">
        <v>17613</v>
      </c>
      <c r="AF963" t="s">
        <v>74</v>
      </c>
      <c r="AG963">
        <v>58</v>
      </c>
      <c r="AH963">
        <v>39</v>
      </c>
      <c r="AI963">
        <v>39</v>
      </c>
      <c r="AJ963">
        <v>0</v>
      </c>
      <c r="AK963">
        <v>16</v>
      </c>
      <c r="AL963" t="s">
        <v>2112</v>
      </c>
      <c r="AM963" t="s">
        <v>2113</v>
      </c>
      <c r="AN963" t="s">
        <v>2176</v>
      </c>
      <c r="AO963" t="s">
        <v>2115</v>
      </c>
      <c r="AP963" t="s">
        <v>2116</v>
      </c>
      <c r="AQ963" t="s">
        <v>74</v>
      </c>
      <c r="AR963" t="s">
        <v>2101</v>
      </c>
      <c r="AS963" t="s">
        <v>2117</v>
      </c>
      <c r="AT963" t="s">
        <v>17595</v>
      </c>
      <c r="AU963">
        <v>2013</v>
      </c>
      <c r="AV963">
        <v>3613</v>
      </c>
      <c r="AW963">
        <v>6</v>
      </c>
      <c r="AX963" t="s">
        <v>74</v>
      </c>
      <c r="AY963" t="s">
        <v>74</v>
      </c>
      <c r="AZ963" t="s">
        <v>74</v>
      </c>
      <c r="BA963" t="s">
        <v>74</v>
      </c>
      <c r="BB963">
        <v>557</v>
      </c>
      <c r="BC963">
        <v>572</v>
      </c>
      <c r="BD963" t="s">
        <v>74</v>
      </c>
      <c r="BE963" t="s">
        <v>17614</v>
      </c>
      <c r="BF963" t="str">
        <f>HYPERLINK("http://dx.doi.org/10.11646/zootaxa.3613.6.3","http://dx.doi.org/10.11646/zootaxa.3613.6.3")</f>
        <v>http://dx.doi.org/10.11646/zootaxa.3613.6.3</v>
      </c>
      <c r="BG963" t="s">
        <v>74</v>
      </c>
      <c r="BH963" t="s">
        <v>74</v>
      </c>
      <c r="BI963">
        <v>16</v>
      </c>
      <c r="BJ963" t="s">
        <v>2120</v>
      </c>
      <c r="BK963" t="s">
        <v>102</v>
      </c>
      <c r="BL963" t="s">
        <v>2120</v>
      </c>
      <c r="BM963" t="s">
        <v>17615</v>
      </c>
      <c r="BN963">
        <v>24698838</v>
      </c>
      <c r="BO963" t="s">
        <v>74</v>
      </c>
      <c r="BP963" t="s">
        <v>74</v>
      </c>
      <c r="BQ963" t="s">
        <v>74</v>
      </c>
      <c r="BR963" t="s">
        <v>105</v>
      </c>
      <c r="BS963" t="s">
        <v>17616</v>
      </c>
      <c r="BT963" t="str">
        <f>HYPERLINK("https%3A%2F%2Fwww.webofscience.com%2Fwos%2Fwoscc%2Ffull-record%2FWOS:000314930900003","View Full Record in Web of Science")</f>
        <v>View Full Record in Web of Science</v>
      </c>
    </row>
    <row r="964" spans="1:72" x14ac:dyDescent="0.15">
      <c r="A964" t="s">
        <v>72</v>
      </c>
      <c r="B964" t="s">
        <v>17617</v>
      </c>
      <c r="C964" t="s">
        <v>74</v>
      </c>
      <c r="D964" t="s">
        <v>74</v>
      </c>
      <c r="E964" t="s">
        <v>74</v>
      </c>
      <c r="F964" t="s">
        <v>17618</v>
      </c>
      <c r="G964" t="s">
        <v>74</v>
      </c>
      <c r="H964" t="s">
        <v>74</v>
      </c>
      <c r="I964" t="s">
        <v>17619</v>
      </c>
      <c r="J964" t="s">
        <v>2343</v>
      </c>
      <c r="K964" t="s">
        <v>74</v>
      </c>
      <c r="L964" t="s">
        <v>74</v>
      </c>
      <c r="M964" t="s">
        <v>78</v>
      </c>
      <c r="N964" t="s">
        <v>79</v>
      </c>
      <c r="O964" t="s">
        <v>74</v>
      </c>
      <c r="P964" t="s">
        <v>74</v>
      </c>
      <c r="Q964" t="s">
        <v>74</v>
      </c>
      <c r="R964" t="s">
        <v>74</v>
      </c>
      <c r="S964" t="s">
        <v>74</v>
      </c>
      <c r="T964" t="s">
        <v>74</v>
      </c>
      <c r="U964" t="s">
        <v>17620</v>
      </c>
      <c r="V964" t="s">
        <v>17621</v>
      </c>
      <c r="W964" t="s">
        <v>17622</v>
      </c>
      <c r="X964" t="s">
        <v>17623</v>
      </c>
      <c r="Y964" t="s">
        <v>17624</v>
      </c>
      <c r="Z964" t="s">
        <v>17625</v>
      </c>
      <c r="AA964" t="s">
        <v>17626</v>
      </c>
      <c r="AB964" t="s">
        <v>17627</v>
      </c>
      <c r="AC964" t="s">
        <v>17628</v>
      </c>
      <c r="AD964" t="s">
        <v>17629</v>
      </c>
      <c r="AE964" t="s">
        <v>17630</v>
      </c>
      <c r="AF964" t="s">
        <v>74</v>
      </c>
      <c r="AG964">
        <v>47</v>
      </c>
      <c r="AH964">
        <v>13</v>
      </c>
      <c r="AI964">
        <v>16</v>
      </c>
      <c r="AJ964">
        <v>0</v>
      </c>
      <c r="AK964">
        <v>72</v>
      </c>
      <c r="AL964" t="s">
        <v>2355</v>
      </c>
      <c r="AM964" t="s">
        <v>2356</v>
      </c>
      <c r="AN964" t="s">
        <v>2357</v>
      </c>
      <c r="AO964" t="s">
        <v>2358</v>
      </c>
      <c r="AP964" t="s">
        <v>74</v>
      </c>
      <c r="AQ964" t="s">
        <v>74</v>
      </c>
      <c r="AR964" t="s">
        <v>2343</v>
      </c>
      <c r="AS964" t="s">
        <v>2359</v>
      </c>
      <c r="AT964" t="s">
        <v>17631</v>
      </c>
      <c r="AU964">
        <v>2013</v>
      </c>
      <c r="AV964">
        <v>8</v>
      </c>
      <c r="AW964">
        <v>2</v>
      </c>
      <c r="AX964" t="s">
        <v>74</v>
      </c>
      <c r="AY964" t="s">
        <v>74</v>
      </c>
      <c r="AZ964" t="s">
        <v>74</v>
      </c>
      <c r="BA964" t="s">
        <v>74</v>
      </c>
      <c r="BB964" t="s">
        <v>74</v>
      </c>
      <c r="BC964" t="s">
        <v>74</v>
      </c>
      <c r="BD964" t="s">
        <v>17632</v>
      </c>
      <c r="BE964" t="s">
        <v>17633</v>
      </c>
      <c r="BF964" t="str">
        <f>HYPERLINK("http://dx.doi.org/10.1371/journal.pone.0056504","http://dx.doi.org/10.1371/journal.pone.0056504")</f>
        <v>http://dx.doi.org/10.1371/journal.pone.0056504</v>
      </c>
      <c r="BG964" t="s">
        <v>74</v>
      </c>
      <c r="BH964" t="s">
        <v>74</v>
      </c>
      <c r="BI964">
        <v>9</v>
      </c>
      <c r="BJ964" t="s">
        <v>1880</v>
      </c>
      <c r="BK964" t="s">
        <v>102</v>
      </c>
      <c r="BL964" t="s">
        <v>1881</v>
      </c>
      <c r="BM964" t="s">
        <v>17634</v>
      </c>
      <c r="BN964">
        <v>23418580</v>
      </c>
      <c r="BO964" t="s">
        <v>5130</v>
      </c>
      <c r="BP964" t="s">
        <v>74</v>
      </c>
      <c r="BQ964" t="s">
        <v>74</v>
      </c>
      <c r="BR964" t="s">
        <v>105</v>
      </c>
      <c r="BS964" t="s">
        <v>17635</v>
      </c>
      <c r="BT964" t="str">
        <f>HYPERLINK("https%3A%2F%2Fwww.webofscience.com%2Fwos%2Fwoscc%2Ffull-record%2FWOS:000315970300173","View Full Record in Web of Science")</f>
        <v>View Full Record in Web of Science</v>
      </c>
    </row>
    <row r="965" spans="1:72" x14ac:dyDescent="0.15">
      <c r="A965" t="s">
        <v>72</v>
      </c>
      <c r="B965" t="s">
        <v>17636</v>
      </c>
      <c r="C965" t="s">
        <v>74</v>
      </c>
      <c r="D965" t="s">
        <v>74</v>
      </c>
      <c r="E965" t="s">
        <v>74</v>
      </c>
      <c r="F965" t="s">
        <v>17637</v>
      </c>
      <c r="G965" t="s">
        <v>74</v>
      </c>
      <c r="H965" t="s">
        <v>74</v>
      </c>
      <c r="I965" t="s">
        <v>17638</v>
      </c>
      <c r="J965" t="s">
        <v>17639</v>
      </c>
      <c r="K965" t="s">
        <v>74</v>
      </c>
      <c r="L965" t="s">
        <v>74</v>
      </c>
      <c r="M965" t="s">
        <v>78</v>
      </c>
      <c r="N965" t="s">
        <v>79</v>
      </c>
      <c r="O965" t="s">
        <v>74</v>
      </c>
      <c r="P965" t="s">
        <v>74</v>
      </c>
      <c r="Q965" t="s">
        <v>74</v>
      </c>
      <c r="R965" t="s">
        <v>74</v>
      </c>
      <c r="S965" t="s">
        <v>74</v>
      </c>
      <c r="T965" t="s">
        <v>17640</v>
      </c>
      <c r="U965" t="s">
        <v>17641</v>
      </c>
      <c r="V965" t="s">
        <v>17642</v>
      </c>
      <c r="W965" t="s">
        <v>17643</v>
      </c>
      <c r="X965" t="s">
        <v>17644</v>
      </c>
      <c r="Y965" t="s">
        <v>17645</v>
      </c>
      <c r="Z965" t="s">
        <v>17646</v>
      </c>
      <c r="AA965" t="s">
        <v>17647</v>
      </c>
      <c r="AB965" t="s">
        <v>17648</v>
      </c>
      <c r="AC965" t="s">
        <v>17649</v>
      </c>
      <c r="AD965" t="s">
        <v>17650</v>
      </c>
      <c r="AE965" t="s">
        <v>17651</v>
      </c>
      <c r="AF965" t="s">
        <v>74</v>
      </c>
      <c r="AG965">
        <v>64</v>
      </c>
      <c r="AH965">
        <v>26</v>
      </c>
      <c r="AI965">
        <v>26</v>
      </c>
      <c r="AJ965">
        <v>0</v>
      </c>
      <c r="AK965">
        <v>38</v>
      </c>
      <c r="AL965" t="s">
        <v>7649</v>
      </c>
      <c r="AM965" t="s">
        <v>643</v>
      </c>
      <c r="AN965" t="s">
        <v>7650</v>
      </c>
      <c r="AO965" t="s">
        <v>17652</v>
      </c>
      <c r="AP965" t="s">
        <v>74</v>
      </c>
      <c r="AQ965" t="s">
        <v>74</v>
      </c>
      <c r="AR965" t="s">
        <v>17653</v>
      </c>
      <c r="AS965" t="s">
        <v>17654</v>
      </c>
      <c r="AT965" t="s">
        <v>17631</v>
      </c>
      <c r="AU965">
        <v>2013</v>
      </c>
      <c r="AV965">
        <v>13</v>
      </c>
      <c r="AW965" t="s">
        <v>74</v>
      </c>
      <c r="AX965" t="s">
        <v>74</v>
      </c>
      <c r="AY965" t="s">
        <v>74</v>
      </c>
      <c r="AZ965" t="s">
        <v>74</v>
      </c>
      <c r="BA965" t="s">
        <v>74</v>
      </c>
      <c r="BB965" t="s">
        <v>74</v>
      </c>
      <c r="BC965" t="s">
        <v>74</v>
      </c>
      <c r="BD965">
        <v>39</v>
      </c>
      <c r="BE965" t="s">
        <v>17655</v>
      </c>
      <c r="BF965" t="str">
        <f>HYPERLINK("http://dx.doi.org/10.1186/1471-2148-13-39","http://dx.doi.org/10.1186/1471-2148-13-39")</f>
        <v>http://dx.doi.org/10.1186/1471-2148-13-39</v>
      </c>
      <c r="BG965" t="s">
        <v>74</v>
      </c>
      <c r="BH965" t="s">
        <v>74</v>
      </c>
      <c r="BI965">
        <v>15</v>
      </c>
      <c r="BJ965" t="s">
        <v>17656</v>
      </c>
      <c r="BK965" t="s">
        <v>102</v>
      </c>
      <c r="BL965" t="s">
        <v>17656</v>
      </c>
      <c r="BM965" t="s">
        <v>17657</v>
      </c>
      <c r="BN965">
        <v>23402662</v>
      </c>
      <c r="BO965" t="s">
        <v>5130</v>
      </c>
      <c r="BP965" t="s">
        <v>74</v>
      </c>
      <c r="BQ965" t="s">
        <v>74</v>
      </c>
      <c r="BR965" t="s">
        <v>105</v>
      </c>
      <c r="BS965" t="s">
        <v>17658</v>
      </c>
      <c r="BT965" t="str">
        <f>HYPERLINK("https%3A%2F%2Fwww.webofscience.com%2Fwos%2Fwoscc%2Ffull-record%2FWOS:000315821900001","View Full Record in Web of Science")</f>
        <v>View Full Record in Web of Science</v>
      </c>
    </row>
    <row r="966" spans="1:72" x14ac:dyDescent="0.15">
      <c r="A966" t="s">
        <v>72</v>
      </c>
      <c r="B966" t="s">
        <v>17659</v>
      </c>
      <c r="C966" t="s">
        <v>74</v>
      </c>
      <c r="D966" t="s">
        <v>74</v>
      </c>
      <c r="E966" t="s">
        <v>74</v>
      </c>
      <c r="F966" t="s">
        <v>17660</v>
      </c>
      <c r="G966" t="s">
        <v>74</v>
      </c>
      <c r="H966" t="s">
        <v>74</v>
      </c>
      <c r="I966" t="s">
        <v>17661</v>
      </c>
      <c r="J966" t="s">
        <v>8581</v>
      </c>
      <c r="K966" t="s">
        <v>74</v>
      </c>
      <c r="L966" t="s">
        <v>74</v>
      </c>
      <c r="M966" t="s">
        <v>78</v>
      </c>
      <c r="N966" t="s">
        <v>79</v>
      </c>
      <c r="O966" t="s">
        <v>74</v>
      </c>
      <c r="P966" t="s">
        <v>74</v>
      </c>
      <c r="Q966" t="s">
        <v>74</v>
      </c>
      <c r="R966" t="s">
        <v>74</v>
      </c>
      <c r="S966" t="s">
        <v>74</v>
      </c>
      <c r="T966" t="s">
        <v>17662</v>
      </c>
      <c r="U966" t="s">
        <v>17663</v>
      </c>
      <c r="V966" t="s">
        <v>17664</v>
      </c>
      <c r="W966" t="s">
        <v>17665</v>
      </c>
      <c r="X966" t="s">
        <v>17666</v>
      </c>
      <c r="Y966" t="s">
        <v>17667</v>
      </c>
      <c r="Z966" t="s">
        <v>17668</v>
      </c>
      <c r="AA966" t="s">
        <v>17669</v>
      </c>
      <c r="AB966" t="s">
        <v>17670</v>
      </c>
      <c r="AC966" t="s">
        <v>17671</v>
      </c>
      <c r="AD966" t="s">
        <v>17671</v>
      </c>
      <c r="AE966" t="s">
        <v>17672</v>
      </c>
      <c r="AF966" t="s">
        <v>74</v>
      </c>
      <c r="AG966">
        <v>36</v>
      </c>
      <c r="AH966">
        <v>3</v>
      </c>
      <c r="AI966">
        <v>3</v>
      </c>
      <c r="AJ966">
        <v>0</v>
      </c>
      <c r="AK966">
        <v>11</v>
      </c>
      <c r="AL966" t="s">
        <v>154</v>
      </c>
      <c r="AM966" t="s">
        <v>155</v>
      </c>
      <c r="AN966" t="s">
        <v>156</v>
      </c>
      <c r="AO966" t="s">
        <v>8594</v>
      </c>
      <c r="AP966" t="s">
        <v>74</v>
      </c>
      <c r="AQ966" t="s">
        <v>74</v>
      </c>
      <c r="AR966" t="s">
        <v>8581</v>
      </c>
      <c r="AS966" t="s">
        <v>8596</v>
      </c>
      <c r="AT966" t="s">
        <v>17673</v>
      </c>
      <c r="AU966">
        <v>2013</v>
      </c>
      <c r="AV966">
        <v>585</v>
      </c>
      <c r="AW966" t="s">
        <v>74</v>
      </c>
      <c r="AX966" t="s">
        <v>74</v>
      </c>
      <c r="AY966" t="s">
        <v>74</v>
      </c>
      <c r="AZ966" t="s">
        <v>935</v>
      </c>
      <c r="BA966" t="s">
        <v>74</v>
      </c>
      <c r="BB966">
        <v>13</v>
      </c>
      <c r="BC966">
        <v>25</v>
      </c>
      <c r="BD966" t="s">
        <v>74</v>
      </c>
      <c r="BE966" t="s">
        <v>17674</v>
      </c>
      <c r="BF966" t="str">
        <f>HYPERLINK("http://dx.doi.org/10.1016/j.tecto.2012.06.034","http://dx.doi.org/10.1016/j.tecto.2012.06.034")</f>
        <v>http://dx.doi.org/10.1016/j.tecto.2012.06.034</v>
      </c>
      <c r="BG966" t="s">
        <v>74</v>
      </c>
      <c r="BH966" t="s">
        <v>74</v>
      </c>
      <c r="BI966">
        <v>13</v>
      </c>
      <c r="BJ966" t="s">
        <v>766</v>
      </c>
      <c r="BK966" t="s">
        <v>102</v>
      </c>
      <c r="BL966" t="s">
        <v>766</v>
      </c>
      <c r="BM966" t="s">
        <v>17675</v>
      </c>
      <c r="BN966" t="s">
        <v>74</v>
      </c>
      <c r="BO966" t="s">
        <v>74</v>
      </c>
      <c r="BP966" t="s">
        <v>74</v>
      </c>
      <c r="BQ966" t="s">
        <v>74</v>
      </c>
      <c r="BR966" t="s">
        <v>105</v>
      </c>
      <c r="BS966" t="s">
        <v>17676</v>
      </c>
      <c r="BT966" t="str">
        <f>HYPERLINK("https%3A%2F%2Fwww.webofscience.com%2Fwos%2Fwoscc%2Ffull-record%2FWOS:000315238800003","View Full Record in Web of Science")</f>
        <v>View Full Record in Web of Science</v>
      </c>
    </row>
    <row r="967" spans="1:72" x14ac:dyDescent="0.15">
      <c r="A967" t="s">
        <v>72</v>
      </c>
      <c r="B967" t="s">
        <v>17677</v>
      </c>
      <c r="C967" t="s">
        <v>74</v>
      </c>
      <c r="D967" t="s">
        <v>74</v>
      </c>
      <c r="E967" t="s">
        <v>74</v>
      </c>
      <c r="F967" t="s">
        <v>17678</v>
      </c>
      <c r="G967" t="s">
        <v>74</v>
      </c>
      <c r="H967" t="s">
        <v>74</v>
      </c>
      <c r="I967" t="s">
        <v>17679</v>
      </c>
      <c r="J967" t="s">
        <v>8581</v>
      </c>
      <c r="K967" t="s">
        <v>74</v>
      </c>
      <c r="L967" t="s">
        <v>74</v>
      </c>
      <c r="M967" t="s">
        <v>78</v>
      </c>
      <c r="N967" t="s">
        <v>79</v>
      </c>
      <c r="O967" t="s">
        <v>74</v>
      </c>
      <c r="P967" t="s">
        <v>74</v>
      </c>
      <c r="Q967" t="s">
        <v>74</v>
      </c>
      <c r="R967" t="s">
        <v>74</v>
      </c>
      <c r="S967" t="s">
        <v>74</v>
      </c>
      <c r="T967" t="s">
        <v>17680</v>
      </c>
      <c r="U967" t="s">
        <v>17681</v>
      </c>
      <c r="V967" t="s">
        <v>17682</v>
      </c>
      <c r="W967" t="s">
        <v>17683</v>
      </c>
      <c r="X967" t="s">
        <v>17684</v>
      </c>
      <c r="Y967" t="s">
        <v>17685</v>
      </c>
      <c r="Z967" t="s">
        <v>17686</v>
      </c>
      <c r="AA967" t="s">
        <v>17687</v>
      </c>
      <c r="AB967" t="s">
        <v>17688</v>
      </c>
      <c r="AC967" t="s">
        <v>17689</v>
      </c>
      <c r="AD967" t="s">
        <v>17690</v>
      </c>
      <c r="AE967" t="s">
        <v>17691</v>
      </c>
      <c r="AF967" t="s">
        <v>74</v>
      </c>
      <c r="AG967">
        <v>40</v>
      </c>
      <c r="AH967">
        <v>5</v>
      </c>
      <c r="AI967">
        <v>5</v>
      </c>
      <c r="AJ967">
        <v>0</v>
      </c>
      <c r="AK967">
        <v>6</v>
      </c>
      <c r="AL967" t="s">
        <v>195</v>
      </c>
      <c r="AM967" t="s">
        <v>155</v>
      </c>
      <c r="AN967" t="s">
        <v>196</v>
      </c>
      <c r="AO967" t="s">
        <v>8594</v>
      </c>
      <c r="AP967" t="s">
        <v>8595</v>
      </c>
      <c r="AQ967" t="s">
        <v>74</v>
      </c>
      <c r="AR967" t="s">
        <v>8581</v>
      </c>
      <c r="AS967" t="s">
        <v>8596</v>
      </c>
      <c r="AT967" t="s">
        <v>17673</v>
      </c>
      <c r="AU967">
        <v>2013</v>
      </c>
      <c r="AV967">
        <v>585</v>
      </c>
      <c r="AW967" t="s">
        <v>74</v>
      </c>
      <c r="AX967" t="s">
        <v>74</v>
      </c>
      <c r="AY967" t="s">
        <v>74</v>
      </c>
      <c r="AZ967" t="s">
        <v>935</v>
      </c>
      <c r="BA967" t="s">
        <v>74</v>
      </c>
      <c r="BB967">
        <v>26</v>
      </c>
      <c r="BC967">
        <v>33</v>
      </c>
      <c r="BD967" t="s">
        <v>74</v>
      </c>
      <c r="BE967" t="s">
        <v>17692</v>
      </c>
      <c r="BF967" t="str">
        <f>HYPERLINK("http://dx.doi.org/10.1016/j.tecto.2012.06.038","http://dx.doi.org/10.1016/j.tecto.2012.06.038")</f>
        <v>http://dx.doi.org/10.1016/j.tecto.2012.06.038</v>
      </c>
      <c r="BG967" t="s">
        <v>74</v>
      </c>
      <c r="BH967" t="s">
        <v>74</v>
      </c>
      <c r="BI967">
        <v>8</v>
      </c>
      <c r="BJ967" t="s">
        <v>766</v>
      </c>
      <c r="BK967" t="s">
        <v>102</v>
      </c>
      <c r="BL967" t="s">
        <v>766</v>
      </c>
      <c r="BM967" t="s">
        <v>17675</v>
      </c>
      <c r="BN967" t="s">
        <v>74</v>
      </c>
      <c r="BO967" t="s">
        <v>74</v>
      </c>
      <c r="BP967" t="s">
        <v>74</v>
      </c>
      <c r="BQ967" t="s">
        <v>74</v>
      </c>
      <c r="BR967" t="s">
        <v>105</v>
      </c>
      <c r="BS967" t="s">
        <v>17693</v>
      </c>
      <c r="BT967" t="str">
        <f>HYPERLINK("https%3A%2F%2Fwww.webofscience.com%2Fwos%2Fwoscc%2Ffull-record%2FWOS:000315238800004","View Full Record in Web of Science")</f>
        <v>View Full Record in Web of Science</v>
      </c>
    </row>
    <row r="968" spans="1:72" x14ac:dyDescent="0.15">
      <c r="A968" t="s">
        <v>72</v>
      </c>
      <c r="B968" t="s">
        <v>17694</v>
      </c>
      <c r="C968" t="s">
        <v>74</v>
      </c>
      <c r="D968" t="s">
        <v>74</v>
      </c>
      <c r="E968" t="s">
        <v>74</v>
      </c>
      <c r="F968" t="s">
        <v>17695</v>
      </c>
      <c r="G968" t="s">
        <v>74</v>
      </c>
      <c r="H968" t="s">
        <v>74</v>
      </c>
      <c r="I968" t="s">
        <v>17696</v>
      </c>
      <c r="J968" t="s">
        <v>8581</v>
      </c>
      <c r="K968" t="s">
        <v>74</v>
      </c>
      <c r="L968" t="s">
        <v>74</v>
      </c>
      <c r="M968" t="s">
        <v>78</v>
      </c>
      <c r="N968" t="s">
        <v>79</v>
      </c>
      <c r="O968" t="s">
        <v>74</v>
      </c>
      <c r="P968" t="s">
        <v>74</v>
      </c>
      <c r="Q968" t="s">
        <v>74</v>
      </c>
      <c r="R968" t="s">
        <v>74</v>
      </c>
      <c r="S968" t="s">
        <v>74</v>
      </c>
      <c r="T968" t="s">
        <v>17697</v>
      </c>
      <c r="U968" t="s">
        <v>17698</v>
      </c>
      <c r="V968" t="s">
        <v>17699</v>
      </c>
      <c r="W968" t="s">
        <v>17700</v>
      </c>
      <c r="X968" t="s">
        <v>17701</v>
      </c>
      <c r="Y968" t="s">
        <v>17702</v>
      </c>
      <c r="Z968" t="s">
        <v>17703</v>
      </c>
      <c r="AA968" t="s">
        <v>17704</v>
      </c>
      <c r="AB968" t="s">
        <v>17705</v>
      </c>
      <c r="AC968" t="s">
        <v>17706</v>
      </c>
      <c r="AD968" t="s">
        <v>17707</v>
      </c>
      <c r="AE968" t="s">
        <v>17708</v>
      </c>
      <c r="AF968" t="s">
        <v>74</v>
      </c>
      <c r="AG968">
        <v>57</v>
      </c>
      <c r="AH968">
        <v>12</v>
      </c>
      <c r="AI968">
        <v>13</v>
      </c>
      <c r="AJ968">
        <v>0</v>
      </c>
      <c r="AK968">
        <v>15</v>
      </c>
      <c r="AL968" t="s">
        <v>154</v>
      </c>
      <c r="AM968" t="s">
        <v>155</v>
      </c>
      <c r="AN968" t="s">
        <v>156</v>
      </c>
      <c r="AO968" t="s">
        <v>8594</v>
      </c>
      <c r="AP968" t="s">
        <v>8595</v>
      </c>
      <c r="AQ968" t="s">
        <v>74</v>
      </c>
      <c r="AR968" t="s">
        <v>8581</v>
      </c>
      <c r="AS968" t="s">
        <v>8596</v>
      </c>
      <c r="AT968" t="s">
        <v>17673</v>
      </c>
      <c r="AU968">
        <v>2013</v>
      </c>
      <c r="AV968">
        <v>585</v>
      </c>
      <c r="AW968" t="s">
        <v>74</v>
      </c>
      <c r="AX968" t="s">
        <v>74</v>
      </c>
      <c r="AY968" t="s">
        <v>74</v>
      </c>
      <c r="AZ968" t="s">
        <v>935</v>
      </c>
      <c r="BA968" t="s">
        <v>74</v>
      </c>
      <c r="BB968">
        <v>77</v>
      </c>
      <c r="BC968">
        <v>89</v>
      </c>
      <c r="BD968" t="s">
        <v>74</v>
      </c>
      <c r="BE968" t="s">
        <v>17709</v>
      </c>
      <c r="BF968" t="str">
        <f>HYPERLINK("http://dx.doi.org/10.1016/j.tecto.2012.09.029","http://dx.doi.org/10.1016/j.tecto.2012.09.029")</f>
        <v>http://dx.doi.org/10.1016/j.tecto.2012.09.029</v>
      </c>
      <c r="BG968" t="s">
        <v>74</v>
      </c>
      <c r="BH968" t="s">
        <v>74</v>
      </c>
      <c r="BI968">
        <v>13</v>
      </c>
      <c r="BJ968" t="s">
        <v>766</v>
      </c>
      <c r="BK968" t="s">
        <v>102</v>
      </c>
      <c r="BL968" t="s">
        <v>766</v>
      </c>
      <c r="BM968" t="s">
        <v>17675</v>
      </c>
      <c r="BN968" t="s">
        <v>74</v>
      </c>
      <c r="BO968" t="s">
        <v>74</v>
      </c>
      <c r="BP968" t="s">
        <v>74</v>
      </c>
      <c r="BQ968" t="s">
        <v>74</v>
      </c>
      <c r="BR968" t="s">
        <v>105</v>
      </c>
      <c r="BS968" t="s">
        <v>17710</v>
      </c>
      <c r="BT968" t="str">
        <f>HYPERLINK("https%3A%2F%2Fwww.webofscience.com%2Fwos%2Fwoscc%2Ffull-record%2FWOS:000315238800008","View Full Record in Web of Science")</f>
        <v>View Full Record in Web of Science</v>
      </c>
    </row>
    <row r="969" spans="1:72" x14ac:dyDescent="0.15">
      <c r="A969" t="s">
        <v>72</v>
      </c>
      <c r="B969" t="s">
        <v>17711</v>
      </c>
      <c r="C969" t="s">
        <v>74</v>
      </c>
      <c r="D969" t="s">
        <v>74</v>
      </c>
      <c r="E969" t="s">
        <v>74</v>
      </c>
      <c r="F969" t="s">
        <v>17712</v>
      </c>
      <c r="G969" t="s">
        <v>74</v>
      </c>
      <c r="H969" t="s">
        <v>74</v>
      </c>
      <c r="I969" t="s">
        <v>17713</v>
      </c>
      <c r="J969" t="s">
        <v>8581</v>
      </c>
      <c r="K969" t="s">
        <v>74</v>
      </c>
      <c r="L969" t="s">
        <v>74</v>
      </c>
      <c r="M969" t="s">
        <v>78</v>
      </c>
      <c r="N969" t="s">
        <v>79</v>
      </c>
      <c r="O969" t="s">
        <v>74</v>
      </c>
      <c r="P969" t="s">
        <v>74</v>
      </c>
      <c r="Q969" t="s">
        <v>74</v>
      </c>
      <c r="R969" t="s">
        <v>74</v>
      </c>
      <c r="S969" t="s">
        <v>74</v>
      </c>
      <c r="T969" t="s">
        <v>17714</v>
      </c>
      <c r="U969" t="s">
        <v>17715</v>
      </c>
      <c r="V969" t="s">
        <v>17716</v>
      </c>
      <c r="W969" t="s">
        <v>17717</v>
      </c>
      <c r="X969" t="s">
        <v>17718</v>
      </c>
      <c r="Y969" t="s">
        <v>17719</v>
      </c>
      <c r="Z969" t="s">
        <v>17720</v>
      </c>
      <c r="AA969" t="s">
        <v>17721</v>
      </c>
      <c r="AB969" t="s">
        <v>17722</v>
      </c>
      <c r="AC969" t="s">
        <v>17723</v>
      </c>
      <c r="AD969" t="s">
        <v>17724</v>
      </c>
      <c r="AE969" t="s">
        <v>17725</v>
      </c>
      <c r="AF969" t="s">
        <v>74</v>
      </c>
      <c r="AG969">
        <v>51</v>
      </c>
      <c r="AH969">
        <v>37</v>
      </c>
      <c r="AI969">
        <v>38</v>
      </c>
      <c r="AJ969">
        <v>1</v>
      </c>
      <c r="AK969">
        <v>37</v>
      </c>
      <c r="AL969" t="s">
        <v>195</v>
      </c>
      <c r="AM969" t="s">
        <v>155</v>
      </c>
      <c r="AN969" t="s">
        <v>196</v>
      </c>
      <c r="AO969" t="s">
        <v>8594</v>
      </c>
      <c r="AP969" t="s">
        <v>8595</v>
      </c>
      <c r="AQ969" t="s">
        <v>74</v>
      </c>
      <c r="AR969" t="s">
        <v>8581</v>
      </c>
      <c r="AS969" t="s">
        <v>8596</v>
      </c>
      <c r="AT969" t="s">
        <v>17673</v>
      </c>
      <c r="AU969">
        <v>2013</v>
      </c>
      <c r="AV969">
        <v>585</v>
      </c>
      <c r="AW969" t="s">
        <v>74</v>
      </c>
      <c r="AX969" t="s">
        <v>74</v>
      </c>
      <c r="AY969" t="s">
        <v>74</v>
      </c>
      <c r="AZ969" t="s">
        <v>935</v>
      </c>
      <c r="BA969" t="s">
        <v>74</v>
      </c>
      <c r="BB969">
        <v>102</v>
      </c>
      <c r="BC969">
        <v>112</v>
      </c>
      <c r="BD969" t="s">
        <v>74</v>
      </c>
      <c r="BE969" t="s">
        <v>17726</v>
      </c>
      <c r="BF969" t="str">
        <f>HYPERLINK("http://dx.doi.org/10.1016/j.tecto.2012.09.016","http://dx.doi.org/10.1016/j.tecto.2012.09.016")</f>
        <v>http://dx.doi.org/10.1016/j.tecto.2012.09.016</v>
      </c>
      <c r="BG969" t="s">
        <v>74</v>
      </c>
      <c r="BH969" t="s">
        <v>74</v>
      </c>
      <c r="BI969">
        <v>11</v>
      </c>
      <c r="BJ969" t="s">
        <v>766</v>
      </c>
      <c r="BK969" t="s">
        <v>102</v>
      </c>
      <c r="BL969" t="s">
        <v>766</v>
      </c>
      <c r="BM969" t="s">
        <v>17675</v>
      </c>
      <c r="BN969" t="s">
        <v>74</v>
      </c>
      <c r="BO969" t="s">
        <v>74</v>
      </c>
      <c r="BP969" t="s">
        <v>74</v>
      </c>
      <c r="BQ969" t="s">
        <v>74</v>
      </c>
      <c r="BR969" t="s">
        <v>105</v>
      </c>
      <c r="BS969" t="s">
        <v>17727</v>
      </c>
      <c r="BT969" t="str">
        <f>HYPERLINK("https%3A%2F%2Fwww.webofscience.com%2Fwos%2Fwoscc%2Ffull-record%2FWOS:000315238800010","View Full Record in Web of Science")</f>
        <v>View Full Record in Web of Science</v>
      </c>
    </row>
    <row r="970" spans="1:72" x14ac:dyDescent="0.15">
      <c r="A970" t="s">
        <v>72</v>
      </c>
      <c r="B970" t="s">
        <v>17728</v>
      </c>
      <c r="C970" t="s">
        <v>74</v>
      </c>
      <c r="D970" t="s">
        <v>74</v>
      </c>
      <c r="E970" t="s">
        <v>74</v>
      </c>
      <c r="F970" t="s">
        <v>17729</v>
      </c>
      <c r="G970" t="s">
        <v>74</v>
      </c>
      <c r="H970" t="s">
        <v>74</v>
      </c>
      <c r="I970" t="s">
        <v>17730</v>
      </c>
      <c r="J970" t="s">
        <v>8581</v>
      </c>
      <c r="K970" t="s">
        <v>74</v>
      </c>
      <c r="L970" t="s">
        <v>74</v>
      </c>
      <c r="M970" t="s">
        <v>78</v>
      </c>
      <c r="N970" t="s">
        <v>79</v>
      </c>
      <c r="O970" t="s">
        <v>74</v>
      </c>
      <c r="P970" t="s">
        <v>74</v>
      </c>
      <c r="Q970" t="s">
        <v>74</v>
      </c>
      <c r="R970" t="s">
        <v>74</v>
      </c>
      <c r="S970" t="s">
        <v>74</v>
      </c>
      <c r="T970" t="s">
        <v>17731</v>
      </c>
      <c r="U970" t="s">
        <v>17732</v>
      </c>
      <c r="V970" t="s">
        <v>17733</v>
      </c>
      <c r="W970" t="s">
        <v>17734</v>
      </c>
      <c r="X970" t="s">
        <v>17735</v>
      </c>
      <c r="Y970" t="s">
        <v>17736</v>
      </c>
      <c r="Z970" t="s">
        <v>17737</v>
      </c>
      <c r="AA970" t="s">
        <v>74</v>
      </c>
      <c r="AB970" t="s">
        <v>17738</v>
      </c>
      <c r="AC970" t="s">
        <v>17739</v>
      </c>
      <c r="AD970" t="s">
        <v>17739</v>
      </c>
      <c r="AE970" t="s">
        <v>17740</v>
      </c>
      <c r="AF970" t="s">
        <v>74</v>
      </c>
      <c r="AG970">
        <v>41</v>
      </c>
      <c r="AH970">
        <v>29</v>
      </c>
      <c r="AI970">
        <v>34</v>
      </c>
      <c r="AJ970">
        <v>0</v>
      </c>
      <c r="AK970">
        <v>19</v>
      </c>
      <c r="AL970" t="s">
        <v>154</v>
      </c>
      <c r="AM970" t="s">
        <v>155</v>
      </c>
      <c r="AN970" t="s">
        <v>156</v>
      </c>
      <c r="AO970" t="s">
        <v>8594</v>
      </c>
      <c r="AP970" t="s">
        <v>8595</v>
      </c>
      <c r="AQ970" t="s">
        <v>74</v>
      </c>
      <c r="AR970" t="s">
        <v>8581</v>
      </c>
      <c r="AS970" t="s">
        <v>8596</v>
      </c>
      <c r="AT970" t="s">
        <v>17673</v>
      </c>
      <c r="AU970">
        <v>2013</v>
      </c>
      <c r="AV970">
        <v>585</v>
      </c>
      <c r="AW970" t="s">
        <v>74</v>
      </c>
      <c r="AX970" t="s">
        <v>74</v>
      </c>
      <c r="AY970" t="s">
        <v>74</v>
      </c>
      <c r="AZ970" t="s">
        <v>935</v>
      </c>
      <c r="BA970" t="s">
        <v>74</v>
      </c>
      <c r="BB970">
        <v>113</v>
      </c>
      <c r="BC970">
        <v>123</v>
      </c>
      <c r="BD970" t="s">
        <v>74</v>
      </c>
      <c r="BE970" t="s">
        <v>17741</v>
      </c>
      <c r="BF970" t="str">
        <f>HYPERLINK("http://dx.doi.org/10.1016/j.tecto.2012.06.036","http://dx.doi.org/10.1016/j.tecto.2012.06.036")</f>
        <v>http://dx.doi.org/10.1016/j.tecto.2012.06.036</v>
      </c>
      <c r="BG970" t="s">
        <v>74</v>
      </c>
      <c r="BH970" t="s">
        <v>74</v>
      </c>
      <c r="BI970">
        <v>11</v>
      </c>
      <c r="BJ970" t="s">
        <v>766</v>
      </c>
      <c r="BK970" t="s">
        <v>102</v>
      </c>
      <c r="BL970" t="s">
        <v>766</v>
      </c>
      <c r="BM970" t="s">
        <v>17675</v>
      </c>
      <c r="BN970" t="s">
        <v>74</v>
      </c>
      <c r="BO970" t="s">
        <v>426</v>
      </c>
      <c r="BP970" t="s">
        <v>74</v>
      </c>
      <c r="BQ970" t="s">
        <v>74</v>
      </c>
      <c r="BR970" t="s">
        <v>105</v>
      </c>
      <c r="BS970" t="s">
        <v>17742</v>
      </c>
      <c r="BT970" t="str">
        <f>HYPERLINK("https%3A%2F%2Fwww.webofscience.com%2Fwos%2Fwoscc%2Ffull-record%2FWOS:000315238800011","View Full Record in Web of Science")</f>
        <v>View Full Record in Web of Science</v>
      </c>
    </row>
    <row r="971" spans="1:72" x14ac:dyDescent="0.15">
      <c r="A971" t="s">
        <v>72</v>
      </c>
      <c r="B971" t="s">
        <v>17743</v>
      </c>
      <c r="C971" t="s">
        <v>74</v>
      </c>
      <c r="D971" t="s">
        <v>74</v>
      </c>
      <c r="E971" t="s">
        <v>74</v>
      </c>
      <c r="F971" t="s">
        <v>17744</v>
      </c>
      <c r="G971" t="s">
        <v>74</v>
      </c>
      <c r="H971" t="s">
        <v>74</v>
      </c>
      <c r="I971" t="s">
        <v>17745</v>
      </c>
      <c r="J971" t="s">
        <v>8581</v>
      </c>
      <c r="K971" t="s">
        <v>74</v>
      </c>
      <c r="L971" t="s">
        <v>74</v>
      </c>
      <c r="M971" t="s">
        <v>78</v>
      </c>
      <c r="N971" t="s">
        <v>1459</v>
      </c>
      <c r="O971" t="s">
        <v>74</v>
      </c>
      <c r="P971" t="s">
        <v>74</v>
      </c>
      <c r="Q971" t="s">
        <v>74</v>
      </c>
      <c r="R971" t="s">
        <v>74</v>
      </c>
      <c r="S971" t="s">
        <v>74</v>
      </c>
      <c r="T971" t="s">
        <v>17746</v>
      </c>
      <c r="U971" t="s">
        <v>17747</v>
      </c>
      <c r="V971" t="s">
        <v>17748</v>
      </c>
      <c r="W971" t="s">
        <v>17749</v>
      </c>
      <c r="X971" t="s">
        <v>17750</v>
      </c>
      <c r="Y971" t="s">
        <v>17751</v>
      </c>
      <c r="Z971" t="s">
        <v>17752</v>
      </c>
      <c r="AA971" t="s">
        <v>74</v>
      </c>
      <c r="AB971" t="s">
        <v>74</v>
      </c>
      <c r="AC971" t="s">
        <v>17753</v>
      </c>
      <c r="AD971" t="s">
        <v>17754</v>
      </c>
      <c r="AE971" t="s">
        <v>17755</v>
      </c>
      <c r="AF971" t="s">
        <v>74</v>
      </c>
      <c r="AG971">
        <v>51</v>
      </c>
      <c r="AH971">
        <v>23</v>
      </c>
      <c r="AI971">
        <v>28</v>
      </c>
      <c r="AJ971">
        <v>0</v>
      </c>
      <c r="AK971">
        <v>36</v>
      </c>
      <c r="AL971" t="s">
        <v>195</v>
      </c>
      <c r="AM971" t="s">
        <v>155</v>
      </c>
      <c r="AN971" t="s">
        <v>196</v>
      </c>
      <c r="AO971" t="s">
        <v>8594</v>
      </c>
      <c r="AP971" t="s">
        <v>8595</v>
      </c>
      <c r="AQ971" t="s">
        <v>74</v>
      </c>
      <c r="AR971" t="s">
        <v>8581</v>
      </c>
      <c r="AS971" t="s">
        <v>8596</v>
      </c>
      <c r="AT971" t="s">
        <v>17673</v>
      </c>
      <c r="AU971">
        <v>2013</v>
      </c>
      <c r="AV971">
        <v>585</v>
      </c>
      <c r="AW971" t="s">
        <v>74</v>
      </c>
      <c r="AX971" t="s">
        <v>74</v>
      </c>
      <c r="AY971" t="s">
        <v>74</v>
      </c>
      <c r="AZ971" t="s">
        <v>935</v>
      </c>
      <c r="BA971" t="s">
        <v>74</v>
      </c>
      <c r="BB971">
        <v>124</v>
      </c>
      <c r="BC971">
        <v>136</v>
      </c>
      <c r="BD971" t="s">
        <v>74</v>
      </c>
      <c r="BE971" t="s">
        <v>17756</v>
      </c>
      <c r="BF971" t="str">
        <f>HYPERLINK("http://dx.doi.org/10.1016/j.tecto.2012.06.035","http://dx.doi.org/10.1016/j.tecto.2012.06.035")</f>
        <v>http://dx.doi.org/10.1016/j.tecto.2012.06.035</v>
      </c>
      <c r="BG971" t="s">
        <v>74</v>
      </c>
      <c r="BH971" t="s">
        <v>74</v>
      </c>
      <c r="BI971">
        <v>13</v>
      </c>
      <c r="BJ971" t="s">
        <v>766</v>
      </c>
      <c r="BK971" t="s">
        <v>102</v>
      </c>
      <c r="BL971" t="s">
        <v>766</v>
      </c>
      <c r="BM971" t="s">
        <v>17675</v>
      </c>
      <c r="BN971" t="s">
        <v>74</v>
      </c>
      <c r="BO971" t="s">
        <v>74</v>
      </c>
      <c r="BP971" t="s">
        <v>74</v>
      </c>
      <c r="BQ971" t="s">
        <v>74</v>
      </c>
      <c r="BR971" t="s">
        <v>105</v>
      </c>
      <c r="BS971" t="s">
        <v>17757</v>
      </c>
      <c r="BT971" t="str">
        <f>HYPERLINK("https%3A%2F%2Fwww.webofscience.com%2Fwos%2Fwoscc%2Ffull-record%2FWOS:000315238800012","View Full Record in Web of Science")</f>
        <v>View Full Record in Web of Science</v>
      </c>
    </row>
    <row r="972" spans="1:72" x14ac:dyDescent="0.15">
      <c r="A972" t="s">
        <v>72</v>
      </c>
      <c r="B972" t="s">
        <v>17758</v>
      </c>
      <c r="C972" t="s">
        <v>74</v>
      </c>
      <c r="D972" t="s">
        <v>74</v>
      </c>
      <c r="E972" t="s">
        <v>74</v>
      </c>
      <c r="F972" t="s">
        <v>17759</v>
      </c>
      <c r="G972" t="s">
        <v>74</v>
      </c>
      <c r="H972" t="s">
        <v>74</v>
      </c>
      <c r="I972" t="s">
        <v>17760</v>
      </c>
      <c r="J972" t="s">
        <v>8581</v>
      </c>
      <c r="K972" t="s">
        <v>74</v>
      </c>
      <c r="L972" t="s">
        <v>74</v>
      </c>
      <c r="M972" t="s">
        <v>78</v>
      </c>
      <c r="N972" t="s">
        <v>79</v>
      </c>
      <c r="O972" t="s">
        <v>74</v>
      </c>
      <c r="P972" t="s">
        <v>74</v>
      </c>
      <c r="Q972" t="s">
        <v>74</v>
      </c>
      <c r="R972" t="s">
        <v>74</v>
      </c>
      <c r="S972" t="s">
        <v>74</v>
      </c>
      <c r="T972" t="s">
        <v>17761</v>
      </c>
      <c r="U972" t="s">
        <v>17762</v>
      </c>
      <c r="V972" t="s">
        <v>17763</v>
      </c>
      <c r="W972" t="s">
        <v>17764</v>
      </c>
      <c r="X972" t="s">
        <v>17765</v>
      </c>
      <c r="Y972" t="s">
        <v>17766</v>
      </c>
      <c r="Z972" t="s">
        <v>17767</v>
      </c>
      <c r="AA972" t="s">
        <v>74</v>
      </c>
      <c r="AB972" t="s">
        <v>17768</v>
      </c>
      <c r="AC972" t="s">
        <v>17769</v>
      </c>
      <c r="AD972" t="s">
        <v>5737</v>
      </c>
      <c r="AE972" t="s">
        <v>17770</v>
      </c>
      <c r="AF972" t="s">
        <v>74</v>
      </c>
      <c r="AG972">
        <v>49</v>
      </c>
      <c r="AH972">
        <v>37</v>
      </c>
      <c r="AI972">
        <v>38</v>
      </c>
      <c r="AJ972">
        <v>0</v>
      </c>
      <c r="AK972">
        <v>14</v>
      </c>
      <c r="AL972" t="s">
        <v>154</v>
      </c>
      <c r="AM972" t="s">
        <v>155</v>
      </c>
      <c r="AN972" t="s">
        <v>156</v>
      </c>
      <c r="AO972" t="s">
        <v>8594</v>
      </c>
      <c r="AP972" t="s">
        <v>8595</v>
      </c>
      <c r="AQ972" t="s">
        <v>74</v>
      </c>
      <c r="AR972" t="s">
        <v>8581</v>
      </c>
      <c r="AS972" t="s">
        <v>8596</v>
      </c>
      <c r="AT972" t="s">
        <v>17673</v>
      </c>
      <c r="AU972">
        <v>2013</v>
      </c>
      <c r="AV972">
        <v>585</v>
      </c>
      <c r="AW972" t="s">
        <v>74</v>
      </c>
      <c r="AX972" t="s">
        <v>74</v>
      </c>
      <c r="AY972" t="s">
        <v>74</v>
      </c>
      <c r="AZ972" t="s">
        <v>935</v>
      </c>
      <c r="BA972" t="s">
        <v>74</v>
      </c>
      <c r="BB972">
        <v>161</v>
      </c>
      <c r="BC972">
        <v>171</v>
      </c>
      <c r="BD972" t="s">
        <v>74</v>
      </c>
      <c r="BE972" t="s">
        <v>17771</v>
      </c>
      <c r="BF972" t="str">
        <f>HYPERLINK("http://dx.doi.org/10.1016/j.tecto.2012.10.011","http://dx.doi.org/10.1016/j.tecto.2012.10.011")</f>
        <v>http://dx.doi.org/10.1016/j.tecto.2012.10.011</v>
      </c>
      <c r="BG972" t="s">
        <v>74</v>
      </c>
      <c r="BH972" t="s">
        <v>74</v>
      </c>
      <c r="BI972">
        <v>11</v>
      </c>
      <c r="BJ972" t="s">
        <v>766</v>
      </c>
      <c r="BK972" t="s">
        <v>102</v>
      </c>
      <c r="BL972" t="s">
        <v>766</v>
      </c>
      <c r="BM972" t="s">
        <v>17675</v>
      </c>
      <c r="BN972" t="s">
        <v>74</v>
      </c>
      <c r="BO972" t="s">
        <v>74</v>
      </c>
      <c r="BP972" t="s">
        <v>74</v>
      </c>
      <c r="BQ972" t="s">
        <v>74</v>
      </c>
      <c r="BR972" t="s">
        <v>105</v>
      </c>
      <c r="BS972" t="s">
        <v>17772</v>
      </c>
      <c r="BT972" t="str">
        <f>HYPERLINK("https%3A%2F%2Fwww.webofscience.com%2Fwos%2Fwoscc%2Ffull-record%2FWOS:000315238800014","View Full Record in Web of Science")</f>
        <v>View Full Record in Web of Science</v>
      </c>
    </row>
    <row r="973" spans="1:72" x14ac:dyDescent="0.15">
      <c r="A973" t="s">
        <v>72</v>
      </c>
      <c r="B973" t="s">
        <v>17773</v>
      </c>
      <c r="C973" t="s">
        <v>74</v>
      </c>
      <c r="D973" t="s">
        <v>74</v>
      </c>
      <c r="E973" t="s">
        <v>74</v>
      </c>
      <c r="F973" t="s">
        <v>17774</v>
      </c>
      <c r="G973" t="s">
        <v>74</v>
      </c>
      <c r="H973" t="s">
        <v>74</v>
      </c>
      <c r="I973" t="s">
        <v>17775</v>
      </c>
      <c r="J973" t="s">
        <v>8581</v>
      </c>
      <c r="K973" t="s">
        <v>74</v>
      </c>
      <c r="L973" t="s">
        <v>74</v>
      </c>
      <c r="M973" t="s">
        <v>78</v>
      </c>
      <c r="N973" t="s">
        <v>79</v>
      </c>
      <c r="O973" t="s">
        <v>74</v>
      </c>
      <c r="P973" t="s">
        <v>74</v>
      </c>
      <c r="Q973" t="s">
        <v>74</v>
      </c>
      <c r="R973" t="s">
        <v>74</v>
      </c>
      <c r="S973" t="s">
        <v>74</v>
      </c>
      <c r="T973" t="s">
        <v>17776</v>
      </c>
      <c r="U973" t="s">
        <v>17777</v>
      </c>
      <c r="V973" t="s">
        <v>17778</v>
      </c>
      <c r="W973" t="s">
        <v>17779</v>
      </c>
      <c r="X973" t="s">
        <v>17780</v>
      </c>
      <c r="Y973" t="s">
        <v>17781</v>
      </c>
      <c r="Z973" t="s">
        <v>17782</v>
      </c>
      <c r="AA973" t="s">
        <v>74</v>
      </c>
      <c r="AB973" t="s">
        <v>17783</v>
      </c>
      <c r="AC973" t="s">
        <v>17784</v>
      </c>
      <c r="AD973" t="s">
        <v>17785</v>
      </c>
      <c r="AE973" t="s">
        <v>17786</v>
      </c>
      <c r="AF973" t="s">
        <v>74</v>
      </c>
      <c r="AG973">
        <v>51</v>
      </c>
      <c r="AH973">
        <v>7</v>
      </c>
      <c r="AI973">
        <v>7</v>
      </c>
      <c r="AJ973">
        <v>0</v>
      </c>
      <c r="AK973">
        <v>22</v>
      </c>
      <c r="AL973" t="s">
        <v>195</v>
      </c>
      <c r="AM973" t="s">
        <v>155</v>
      </c>
      <c r="AN973" t="s">
        <v>196</v>
      </c>
      <c r="AO973" t="s">
        <v>8594</v>
      </c>
      <c r="AP973" t="s">
        <v>8595</v>
      </c>
      <c r="AQ973" t="s">
        <v>74</v>
      </c>
      <c r="AR973" t="s">
        <v>8581</v>
      </c>
      <c r="AS973" t="s">
        <v>8596</v>
      </c>
      <c r="AT973" t="s">
        <v>17673</v>
      </c>
      <c r="AU973">
        <v>2013</v>
      </c>
      <c r="AV973">
        <v>585</v>
      </c>
      <c r="AW973" t="s">
        <v>74</v>
      </c>
      <c r="AX973" t="s">
        <v>74</v>
      </c>
      <c r="AY973" t="s">
        <v>74</v>
      </c>
      <c r="AZ973" t="s">
        <v>935</v>
      </c>
      <c r="BA973" t="s">
        <v>74</v>
      </c>
      <c r="BB973">
        <v>185</v>
      </c>
      <c r="BC973">
        <v>195</v>
      </c>
      <c r="BD973" t="s">
        <v>74</v>
      </c>
      <c r="BE973" t="s">
        <v>17787</v>
      </c>
      <c r="BF973" t="str">
        <f>HYPERLINK("http://dx.doi.org/10.1016/j.tecto.2012.09.009","http://dx.doi.org/10.1016/j.tecto.2012.09.009")</f>
        <v>http://dx.doi.org/10.1016/j.tecto.2012.09.009</v>
      </c>
      <c r="BG973" t="s">
        <v>74</v>
      </c>
      <c r="BH973" t="s">
        <v>74</v>
      </c>
      <c r="BI973">
        <v>11</v>
      </c>
      <c r="BJ973" t="s">
        <v>766</v>
      </c>
      <c r="BK973" t="s">
        <v>102</v>
      </c>
      <c r="BL973" t="s">
        <v>766</v>
      </c>
      <c r="BM973" t="s">
        <v>17675</v>
      </c>
      <c r="BN973" t="s">
        <v>74</v>
      </c>
      <c r="BO973" t="s">
        <v>74</v>
      </c>
      <c r="BP973" t="s">
        <v>74</v>
      </c>
      <c r="BQ973" t="s">
        <v>74</v>
      </c>
      <c r="BR973" t="s">
        <v>105</v>
      </c>
      <c r="BS973" t="s">
        <v>17788</v>
      </c>
      <c r="BT973" t="str">
        <f>HYPERLINK("https%3A%2F%2Fwww.webofscience.com%2Fwos%2Fwoscc%2Ffull-record%2FWOS:000315238800016","View Full Record in Web of Science")</f>
        <v>View Full Record in Web of Science</v>
      </c>
    </row>
    <row r="974" spans="1:72" x14ac:dyDescent="0.15">
      <c r="A974" t="s">
        <v>72</v>
      </c>
      <c r="B974" t="s">
        <v>17789</v>
      </c>
      <c r="C974" t="s">
        <v>74</v>
      </c>
      <c r="D974" t="s">
        <v>74</v>
      </c>
      <c r="E974" t="s">
        <v>74</v>
      </c>
      <c r="F974" t="s">
        <v>17790</v>
      </c>
      <c r="G974" t="s">
        <v>74</v>
      </c>
      <c r="H974" t="s">
        <v>74</v>
      </c>
      <c r="I974" t="s">
        <v>17791</v>
      </c>
      <c r="J974" t="s">
        <v>8581</v>
      </c>
      <c r="K974" t="s">
        <v>74</v>
      </c>
      <c r="L974" t="s">
        <v>74</v>
      </c>
      <c r="M974" t="s">
        <v>78</v>
      </c>
      <c r="N974" t="s">
        <v>991</v>
      </c>
      <c r="O974" t="s">
        <v>74</v>
      </c>
      <c r="P974" t="s">
        <v>74</v>
      </c>
      <c r="Q974" t="s">
        <v>74</v>
      </c>
      <c r="R974" t="s">
        <v>74</v>
      </c>
      <c r="S974" t="s">
        <v>74</v>
      </c>
      <c r="T974" t="s">
        <v>74</v>
      </c>
      <c r="U974" t="s">
        <v>74</v>
      </c>
      <c r="V974" t="s">
        <v>74</v>
      </c>
      <c r="W974" t="s">
        <v>17792</v>
      </c>
      <c r="X974" t="s">
        <v>17793</v>
      </c>
      <c r="Y974" t="s">
        <v>17794</v>
      </c>
      <c r="Z974" t="s">
        <v>17795</v>
      </c>
      <c r="AA974" t="s">
        <v>74</v>
      </c>
      <c r="AB974" t="s">
        <v>17796</v>
      </c>
      <c r="AC974" t="s">
        <v>17797</v>
      </c>
      <c r="AD974" t="s">
        <v>1304</v>
      </c>
      <c r="AE974" t="s">
        <v>74</v>
      </c>
      <c r="AF974" t="s">
        <v>74</v>
      </c>
      <c r="AG974">
        <v>9</v>
      </c>
      <c r="AH974">
        <v>1</v>
      </c>
      <c r="AI974">
        <v>1</v>
      </c>
      <c r="AJ974">
        <v>0</v>
      </c>
      <c r="AK974">
        <v>1</v>
      </c>
      <c r="AL974" t="s">
        <v>154</v>
      </c>
      <c r="AM974" t="s">
        <v>155</v>
      </c>
      <c r="AN974" t="s">
        <v>156</v>
      </c>
      <c r="AO974" t="s">
        <v>8594</v>
      </c>
      <c r="AP974" t="s">
        <v>8595</v>
      </c>
      <c r="AQ974" t="s">
        <v>74</v>
      </c>
      <c r="AR974" t="s">
        <v>8581</v>
      </c>
      <c r="AS974" t="s">
        <v>8596</v>
      </c>
      <c r="AT974" t="s">
        <v>17673</v>
      </c>
      <c r="AU974">
        <v>2013</v>
      </c>
      <c r="AV974">
        <v>585</v>
      </c>
      <c r="AW974" t="s">
        <v>74</v>
      </c>
      <c r="AX974" t="s">
        <v>74</v>
      </c>
      <c r="AY974" t="s">
        <v>74</v>
      </c>
      <c r="AZ974" t="s">
        <v>935</v>
      </c>
      <c r="BA974" t="s">
        <v>74</v>
      </c>
      <c r="BB974">
        <v>1</v>
      </c>
      <c r="BC974">
        <v>2</v>
      </c>
      <c r="BD974" t="s">
        <v>74</v>
      </c>
      <c r="BE974" t="s">
        <v>17798</v>
      </c>
      <c r="BF974" t="str">
        <f>HYPERLINK("http://dx.doi.org/10.1016/j.tecto.2012.11.002","http://dx.doi.org/10.1016/j.tecto.2012.11.002")</f>
        <v>http://dx.doi.org/10.1016/j.tecto.2012.11.002</v>
      </c>
      <c r="BG974" t="s">
        <v>74</v>
      </c>
      <c r="BH974" t="s">
        <v>74</v>
      </c>
      <c r="BI974">
        <v>2</v>
      </c>
      <c r="BJ974" t="s">
        <v>766</v>
      </c>
      <c r="BK974" t="s">
        <v>102</v>
      </c>
      <c r="BL974" t="s">
        <v>766</v>
      </c>
      <c r="BM974" t="s">
        <v>17675</v>
      </c>
      <c r="BN974" t="s">
        <v>74</v>
      </c>
      <c r="BO974" t="s">
        <v>74</v>
      </c>
      <c r="BP974" t="s">
        <v>74</v>
      </c>
      <c r="BQ974" t="s">
        <v>74</v>
      </c>
      <c r="BR974" t="s">
        <v>105</v>
      </c>
      <c r="BS974" t="s">
        <v>17799</v>
      </c>
      <c r="BT974" t="str">
        <f>HYPERLINK("https%3A%2F%2Fwww.webofscience.com%2Fwos%2Fwoscc%2Ffull-record%2FWOS:000315238800001","View Full Record in Web of Science")</f>
        <v>View Full Record in Web of Science</v>
      </c>
    </row>
    <row r="975" spans="1:72" x14ac:dyDescent="0.15">
      <c r="A975" t="s">
        <v>72</v>
      </c>
      <c r="B975" t="s">
        <v>17800</v>
      </c>
      <c r="C975" t="s">
        <v>74</v>
      </c>
      <c r="D975" t="s">
        <v>74</v>
      </c>
      <c r="E975" t="s">
        <v>74</v>
      </c>
      <c r="F975" t="s">
        <v>17801</v>
      </c>
      <c r="G975" t="s">
        <v>74</v>
      </c>
      <c r="H975" t="s">
        <v>17802</v>
      </c>
      <c r="I975" t="s">
        <v>17803</v>
      </c>
      <c r="J975" t="s">
        <v>8581</v>
      </c>
      <c r="K975" t="s">
        <v>74</v>
      </c>
      <c r="L975" t="s">
        <v>74</v>
      </c>
      <c r="M975" t="s">
        <v>78</v>
      </c>
      <c r="N975" t="s">
        <v>79</v>
      </c>
      <c r="O975" t="s">
        <v>74</v>
      </c>
      <c r="P975" t="s">
        <v>74</v>
      </c>
      <c r="Q975" t="s">
        <v>74</v>
      </c>
      <c r="R975" t="s">
        <v>74</v>
      </c>
      <c r="S975" t="s">
        <v>74</v>
      </c>
      <c r="T975" t="s">
        <v>17804</v>
      </c>
      <c r="U975" t="s">
        <v>17805</v>
      </c>
      <c r="V975" t="s">
        <v>17806</v>
      </c>
      <c r="W975" t="s">
        <v>17807</v>
      </c>
      <c r="X975" t="s">
        <v>17808</v>
      </c>
      <c r="Y975" t="s">
        <v>17809</v>
      </c>
      <c r="Z975" t="s">
        <v>17810</v>
      </c>
      <c r="AA975" t="s">
        <v>17811</v>
      </c>
      <c r="AB975" t="s">
        <v>17812</v>
      </c>
      <c r="AC975" t="s">
        <v>17813</v>
      </c>
      <c r="AD975" t="s">
        <v>17814</v>
      </c>
      <c r="AE975" t="s">
        <v>74</v>
      </c>
      <c r="AF975" t="s">
        <v>74</v>
      </c>
      <c r="AG975">
        <v>80</v>
      </c>
      <c r="AH975">
        <v>15</v>
      </c>
      <c r="AI975">
        <v>19</v>
      </c>
      <c r="AJ975">
        <v>0</v>
      </c>
      <c r="AK975">
        <v>26</v>
      </c>
      <c r="AL975" t="s">
        <v>195</v>
      </c>
      <c r="AM975" t="s">
        <v>155</v>
      </c>
      <c r="AN975" t="s">
        <v>196</v>
      </c>
      <c r="AO975" t="s">
        <v>8594</v>
      </c>
      <c r="AP975" t="s">
        <v>8595</v>
      </c>
      <c r="AQ975" t="s">
        <v>74</v>
      </c>
      <c r="AR975" t="s">
        <v>8581</v>
      </c>
      <c r="AS975" t="s">
        <v>8596</v>
      </c>
      <c r="AT975" t="s">
        <v>17673</v>
      </c>
      <c r="AU975">
        <v>2013</v>
      </c>
      <c r="AV975">
        <v>585</v>
      </c>
      <c r="AW975" t="s">
        <v>74</v>
      </c>
      <c r="AX975" t="s">
        <v>74</v>
      </c>
      <c r="AY975" t="s">
        <v>74</v>
      </c>
      <c r="AZ975" t="s">
        <v>935</v>
      </c>
      <c r="BA975" t="s">
        <v>74</v>
      </c>
      <c r="BB975">
        <v>3</v>
      </c>
      <c r="BC975">
        <v>12</v>
      </c>
      <c r="BD975" t="s">
        <v>74</v>
      </c>
      <c r="BE975" t="s">
        <v>17815</v>
      </c>
      <c r="BF975" t="str">
        <f>HYPERLINK("http://dx.doi.org/10.1016/j.tecto.2012.02.017","http://dx.doi.org/10.1016/j.tecto.2012.02.017")</f>
        <v>http://dx.doi.org/10.1016/j.tecto.2012.02.017</v>
      </c>
      <c r="BG975" t="s">
        <v>74</v>
      </c>
      <c r="BH975" t="s">
        <v>74</v>
      </c>
      <c r="BI975">
        <v>10</v>
      </c>
      <c r="BJ975" t="s">
        <v>766</v>
      </c>
      <c r="BK975" t="s">
        <v>102</v>
      </c>
      <c r="BL975" t="s">
        <v>766</v>
      </c>
      <c r="BM975" t="s">
        <v>17675</v>
      </c>
      <c r="BN975" t="s">
        <v>74</v>
      </c>
      <c r="BO975" t="s">
        <v>426</v>
      </c>
      <c r="BP975" t="s">
        <v>74</v>
      </c>
      <c r="BQ975" t="s">
        <v>74</v>
      </c>
      <c r="BR975" t="s">
        <v>105</v>
      </c>
      <c r="BS975" t="s">
        <v>17816</v>
      </c>
      <c r="BT975" t="str">
        <f>HYPERLINK("https%3A%2F%2Fwww.webofscience.com%2Fwos%2Fwoscc%2Ffull-record%2FWOS:000315238800002","View Full Record in Web of Science")</f>
        <v>View Full Record in Web of Science</v>
      </c>
    </row>
    <row r="976" spans="1:72" x14ac:dyDescent="0.15">
      <c r="A976" t="s">
        <v>72</v>
      </c>
      <c r="B976" t="s">
        <v>17817</v>
      </c>
      <c r="C976" t="s">
        <v>74</v>
      </c>
      <c r="D976" t="s">
        <v>74</v>
      </c>
      <c r="E976" t="s">
        <v>74</v>
      </c>
      <c r="F976" t="s">
        <v>17818</v>
      </c>
      <c r="G976" t="s">
        <v>74</v>
      </c>
      <c r="H976" t="s">
        <v>74</v>
      </c>
      <c r="I976" t="s">
        <v>17819</v>
      </c>
      <c r="J976" t="s">
        <v>8581</v>
      </c>
      <c r="K976" t="s">
        <v>74</v>
      </c>
      <c r="L976" t="s">
        <v>74</v>
      </c>
      <c r="M976" t="s">
        <v>78</v>
      </c>
      <c r="N976" t="s">
        <v>79</v>
      </c>
      <c r="O976" t="s">
        <v>74</v>
      </c>
      <c r="P976" t="s">
        <v>74</v>
      </c>
      <c r="Q976" t="s">
        <v>74</v>
      </c>
      <c r="R976" t="s">
        <v>74</v>
      </c>
      <c r="S976" t="s">
        <v>74</v>
      </c>
      <c r="T976" t="s">
        <v>17820</v>
      </c>
      <c r="U976" t="s">
        <v>17821</v>
      </c>
      <c r="V976" t="s">
        <v>17822</v>
      </c>
      <c r="W976" t="s">
        <v>17823</v>
      </c>
      <c r="X976" t="s">
        <v>17824</v>
      </c>
      <c r="Y976" t="s">
        <v>17825</v>
      </c>
      <c r="Z976" t="s">
        <v>17826</v>
      </c>
      <c r="AA976" t="s">
        <v>17827</v>
      </c>
      <c r="AB976" t="s">
        <v>17828</v>
      </c>
      <c r="AC976" t="s">
        <v>17829</v>
      </c>
      <c r="AD976" t="s">
        <v>17830</v>
      </c>
      <c r="AE976" t="s">
        <v>17831</v>
      </c>
      <c r="AF976" t="s">
        <v>74</v>
      </c>
      <c r="AG976">
        <v>84</v>
      </c>
      <c r="AH976">
        <v>10</v>
      </c>
      <c r="AI976">
        <v>11</v>
      </c>
      <c r="AJ976">
        <v>1</v>
      </c>
      <c r="AK976">
        <v>15</v>
      </c>
      <c r="AL976" t="s">
        <v>154</v>
      </c>
      <c r="AM976" t="s">
        <v>155</v>
      </c>
      <c r="AN976" t="s">
        <v>156</v>
      </c>
      <c r="AO976" t="s">
        <v>8594</v>
      </c>
      <c r="AP976" t="s">
        <v>8595</v>
      </c>
      <c r="AQ976" t="s">
        <v>74</v>
      </c>
      <c r="AR976" t="s">
        <v>8581</v>
      </c>
      <c r="AS976" t="s">
        <v>8596</v>
      </c>
      <c r="AT976" t="s">
        <v>17673</v>
      </c>
      <c r="AU976">
        <v>2013</v>
      </c>
      <c r="AV976">
        <v>585</v>
      </c>
      <c r="AW976" t="s">
        <v>74</v>
      </c>
      <c r="AX976" t="s">
        <v>74</v>
      </c>
      <c r="AY976" t="s">
        <v>74</v>
      </c>
      <c r="AZ976" t="s">
        <v>935</v>
      </c>
      <c r="BA976" t="s">
        <v>74</v>
      </c>
      <c r="BB976">
        <v>48</v>
      </c>
      <c r="BC976">
        <v>67</v>
      </c>
      <c r="BD976" t="s">
        <v>74</v>
      </c>
      <c r="BE976" t="s">
        <v>17832</v>
      </c>
      <c r="BF976" t="str">
        <f>HYPERLINK("http://dx.doi.org/10.1016/j.tecto.2012.07.011","http://dx.doi.org/10.1016/j.tecto.2012.07.011")</f>
        <v>http://dx.doi.org/10.1016/j.tecto.2012.07.011</v>
      </c>
      <c r="BG976" t="s">
        <v>74</v>
      </c>
      <c r="BH976" t="s">
        <v>74</v>
      </c>
      <c r="BI976">
        <v>20</v>
      </c>
      <c r="BJ976" t="s">
        <v>766</v>
      </c>
      <c r="BK976" t="s">
        <v>102</v>
      </c>
      <c r="BL976" t="s">
        <v>766</v>
      </c>
      <c r="BM976" t="s">
        <v>17675</v>
      </c>
      <c r="BN976" t="s">
        <v>74</v>
      </c>
      <c r="BO976" t="s">
        <v>74</v>
      </c>
      <c r="BP976" t="s">
        <v>74</v>
      </c>
      <c r="BQ976" t="s">
        <v>74</v>
      </c>
      <c r="BR976" t="s">
        <v>105</v>
      </c>
      <c r="BS976" t="s">
        <v>17833</v>
      </c>
      <c r="BT976" t="str">
        <f>HYPERLINK("https%3A%2F%2Fwww.webofscience.com%2Fwos%2Fwoscc%2Ffull-record%2FWOS:000315238800006","View Full Record in Web of Science")</f>
        <v>View Full Record in Web of Science</v>
      </c>
    </row>
    <row r="977" spans="1:72" x14ac:dyDescent="0.15">
      <c r="A977" t="s">
        <v>72</v>
      </c>
      <c r="B977" t="s">
        <v>17834</v>
      </c>
      <c r="C977" t="s">
        <v>74</v>
      </c>
      <c r="D977" t="s">
        <v>74</v>
      </c>
      <c r="E977" t="s">
        <v>74</v>
      </c>
      <c r="F977" t="s">
        <v>17835</v>
      </c>
      <c r="G977" t="s">
        <v>74</v>
      </c>
      <c r="H977" t="s">
        <v>74</v>
      </c>
      <c r="I977" t="s">
        <v>17836</v>
      </c>
      <c r="J977" t="s">
        <v>8581</v>
      </c>
      <c r="K977" t="s">
        <v>74</v>
      </c>
      <c r="L977" t="s">
        <v>74</v>
      </c>
      <c r="M977" t="s">
        <v>78</v>
      </c>
      <c r="N977" t="s">
        <v>79</v>
      </c>
      <c r="O977" t="s">
        <v>74</v>
      </c>
      <c r="P977" t="s">
        <v>74</v>
      </c>
      <c r="Q977" t="s">
        <v>74</v>
      </c>
      <c r="R977" t="s">
        <v>74</v>
      </c>
      <c r="S977" t="s">
        <v>74</v>
      </c>
      <c r="T977" t="s">
        <v>17837</v>
      </c>
      <c r="U977" t="s">
        <v>17838</v>
      </c>
      <c r="V977" t="s">
        <v>17839</v>
      </c>
      <c r="W977" t="s">
        <v>17840</v>
      </c>
      <c r="X977" t="s">
        <v>17841</v>
      </c>
      <c r="Y977" t="s">
        <v>17842</v>
      </c>
      <c r="Z977" t="s">
        <v>17843</v>
      </c>
      <c r="AA977" t="s">
        <v>17844</v>
      </c>
      <c r="AB977" t="s">
        <v>17845</v>
      </c>
      <c r="AC977" t="s">
        <v>17846</v>
      </c>
      <c r="AD977" t="s">
        <v>17847</v>
      </c>
      <c r="AE977" t="s">
        <v>17848</v>
      </c>
      <c r="AF977" t="s">
        <v>74</v>
      </c>
      <c r="AG977">
        <v>27</v>
      </c>
      <c r="AH977">
        <v>4</v>
      </c>
      <c r="AI977">
        <v>4</v>
      </c>
      <c r="AJ977">
        <v>0</v>
      </c>
      <c r="AK977">
        <v>11</v>
      </c>
      <c r="AL977" t="s">
        <v>154</v>
      </c>
      <c r="AM977" t="s">
        <v>155</v>
      </c>
      <c r="AN977" t="s">
        <v>156</v>
      </c>
      <c r="AO977" t="s">
        <v>8594</v>
      </c>
      <c r="AP977" t="s">
        <v>8595</v>
      </c>
      <c r="AQ977" t="s">
        <v>74</v>
      </c>
      <c r="AR977" t="s">
        <v>8581</v>
      </c>
      <c r="AS977" t="s">
        <v>8596</v>
      </c>
      <c r="AT977" t="s">
        <v>17673</v>
      </c>
      <c r="AU977">
        <v>2013</v>
      </c>
      <c r="AV977">
        <v>585</v>
      </c>
      <c r="AW977" t="s">
        <v>74</v>
      </c>
      <c r="AX977" t="s">
        <v>74</v>
      </c>
      <c r="AY977" t="s">
        <v>74</v>
      </c>
      <c r="AZ977" t="s">
        <v>935</v>
      </c>
      <c r="BA977" t="s">
        <v>74</v>
      </c>
      <c r="BB977">
        <v>68</v>
      </c>
      <c r="BC977">
        <v>76</v>
      </c>
      <c r="BD977" t="s">
        <v>74</v>
      </c>
      <c r="BE977" t="s">
        <v>17849</v>
      </c>
      <c r="BF977" t="str">
        <f>HYPERLINK("http://dx.doi.org/10.1016/j.tecto.2012.09.008","http://dx.doi.org/10.1016/j.tecto.2012.09.008")</f>
        <v>http://dx.doi.org/10.1016/j.tecto.2012.09.008</v>
      </c>
      <c r="BG977" t="s">
        <v>74</v>
      </c>
      <c r="BH977" t="s">
        <v>74</v>
      </c>
      <c r="BI977">
        <v>9</v>
      </c>
      <c r="BJ977" t="s">
        <v>766</v>
      </c>
      <c r="BK977" t="s">
        <v>102</v>
      </c>
      <c r="BL977" t="s">
        <v>766</v>
      </c>
      <c r="BM977" t="s">
        <v>17675</v>
      </c>
      <c r="BN977" t="s">
        <v>74</v>
      </c>
      <c r="BO977" t="s">
        <v>2011</v>
      </c>
      <c r="BP977" t="s">
        <v>74</v>
      </c>
      <c r="BQ977" t="s">
        <v>74</v>
      </c>
      <c r="BR977" t="s">
        <v>105</v>
      </c>
      <c r="BS977" t="s">
        <v>17850</v>
      </c>
      <c r="BT977" t="str">
        <f>HYPERLINK("https%3A%2F%2Fwww.webofscience.com%2Fwos%2Fwoscc%2Ffull-record%2FWOS:000315238800007","View Full Record in Web of Science")</f>
        <v>View Full Record in Web of Science</v>
      </c>
    </row>
    <row r="978" spans="1:72" x14ac:dyDescent="0.15">
      <c r="A978" t="s">
        <v>72</v>
      </c>
      <c r="B978" t="s">
        <v>17851</v>
      </c>
      <c r="C978" t="s">
        <v>74</v>
      </c>
      <c r="D978" t="s">
        <v>74</v>
      </c>
      <c r="E978" t="s">
        <v>74</v>
      </c>
      <c r="F978" t="s">
        <v>17852</v>
      </c>
      <c r="G978" t="s">
        <v>74</v>
      </c>
      <c r="H978" t="s">
        <v>74</v>
      </c>
      <c r="I978" t="s">
        <v>17853</v>
      </c>
      <c r="J978" t="s">
        <v>8581</v>
      </c>
      <c r="K978" t="s">
        <v>74</v>
      </c>
      <c r="L978" t="s">
        <v>74</v>
      </c>
      <c r="M978" t="s">
        <v>78</v>
      </c>
      <c r="N978" t="s">
        <v>79</v>
      </c>
      <c r="O978" t="s">
        <v>74</v>
      </c>
      <c r="P978" t="s">
        <v>74</v>
      </c>
      <c r="Q978" t="s">
        <v>74</v>
      </c>
      <c r="R978" t="s">
        <v>74</v>
      </c>
      <c r="S978" t="s">
        <v>74</v>
      </c>
      <c r="T978" t="s">
        <v>17854</v>
      </c>
      <c r="U978" t="s">
        <v>17855</v>
      </c>
      <c r="V978" t="s">
        <v>17856</v>
      </c>
      <c r="W978" t="s">
        <v>17857</v>
      </c>
      <c r="X978" t="s">
        <v>17858</v>
      </c>
      <c r="Y978" t="s">
        <v>17859</v>
      </c>
      <c r="Z978" t="s">
        <v>17860</v>
      </c>
      <c r="AA978" t="s">
        <v>74</v>
      </c>
      <c r="AB978" t="s">
        <v>17861</v>
      </c>
      <c r="AC978" t="s">
        <v>17797</v>
      </c>
      <c r="AD978" t="s">
        <v>1304</v>
      </c>
      <c r="AE978" t="s">
        <v>74</v>
      </c>
      <c r="AF978" t="s">
        <v>74</v>
      </c>
      <c r="AG978">
        <v>61</v>
      </c>
      <c r="AH978">
        <v>10</v>
      </c>
      <c r="AI978">
        <v>12</v>
      </c>
      <c r="AJ978">
        <v>0</v>
      </c>
      <c r="AK978">
        <v>17</v>
      </c>
      <c r="AL978" t="s">
        <v>154</v>
      </c>
      <c r="AM978" t="s">
        <v>155</v>
      </c>
      <c r="AN978" t="s">
        <v>156</v>
      </c>
      <c r="AO978" t="s">
        <v>8594</v>
      </c>
      <c r="AP978" t="s">
        <v>8595</v>
      </c>
      <c r="AQ978" t="s">
        <v>74</v>
      </c>
      <c r="AR978" t="s">
        <v>8581</v>
      </c>
      <c r="AS978" t="s">
        <v>8596</v>
      </c>
      <c r="AT978" t="s">
        <v>17673</v>
      </c>
      <c r="AU978">
        <v>2013</v>
      </c>
      <c r="AV978">
        <v>585</v>
      </c>
      <c r="AW978" t="s">
        <v>74</v>
      </c>
      <c r="AX978" t="s">
        <v>74</v>
      </c>
      <c r="AY978" t="s">
        <v>74</v>
      </c>
      <c r="AZ978" t="s">
        <v>935</v>
      </c>
      <c r="BA978" t="s">
        <v>74</v>
      </c>
      <c r="BB978">
        <v>90</v>
      </c>
      <c r="BC978">
        <v>101</v>
      </c>
      <c r="BD978" t="s">
        <v>74</v>
      </c>
      <c r="BE978" t="s">
        <v>17862</v>
      </c>
      <c r="BF978" t="str">
        <f>HYPERLINK("http://dx.doi.org/10.1016/j.tecto.2012.06.039","http://dx.doi.org/10.1016/j.tecto.2012.06.039")</f>
        <v>http://dx.doi.org/10.1016/j.tecto.2012.06.039</v>
      </c>
      <c r="BG978" t="s">
        <v>74</v>
      </c>
      <c r="BH978" t="s">
        <v>74</v>
      </c>
      <c r="BI978">
        <v>12</v>
      </c>
      <c r="BJ978" t="s">
        <v>766</v>
      </c>
      <c r="BK978" t="s">
        <v>102</v>
      </c>
      <c r="BL978" t="s">
        <v>766</v>
      </c>
      <c r="BM978" t="s">
        <v>17675</v>
      </c>
      <c r="BN978" t="s">
        <v>74</v>
      </c>
      <c r="BO978" t="s">
        <v>74</v>
      </c>
      <c r="BP978" t="s">
        <v>74</v>
      </c>
      <c r="BQ978" t="s">
        <v>74</v>
      </c>
      <c r="BR978" t="s">
        <v>105</v>
      </c>
      <c r="BS978" t="s">
        <v>17863</v>
      </c>
      <c r="BT978" t="str">
        <f>HYPERLINK("https%3A%2F%2Fwww.webofscience.com%2Fwos%2Fwoscc%2Ffull-record%2FWOS:000315238800009","View Full Record in Web of Science")</f>
        <v>View Full Record in Web of Science</v>
      </c>
    </row>
    <row r="979" spans="1:72" x14ac:dyDescent="0.15">
      <c r="A979" t="s">
        <v>72</v>
      </c>
      <c r="B979" t="s">
        <v>17864</v>
      </c>
      <c r="C979" t="s">
        <v>74</v>
      </c>
      <c r="D979" t="s">
        <v>74</v>
      </c>
      <c r="E979" t="s">
        <v>74</v>
      </c>
      <c r="F979" t="s">
        <v>17865</v>
      </c>
      <c r="G979" t="s">
        <v>74</v>
      </c>
      <c r="H979" t="s">
        <v>74</v>
      </c>
      <c r="I979" t="s">
        <v>17866</v>
      </c>
      <c r="J979" t="s">
        <v>8581</v>
      </c>
      <c r="K979" t="s">
        <v>74</v>
      </c>
      <c r="L979" t="s">
        <v>74</v>
      </c>
      <c r="M979" t="s">
        <v>78</v>
      </c>
      <c r="N979" t="s">
        <v>79</v>
      </c>
      <c r="O979" t="s">
        <v>74</v>
      </c>
      <c r="P979" t="s">
        <v>74</v>
      </c>
      <c r="Q979" t="s">
        <v>74</v>
      </c>
      <c r="R979" t="s">
        <v>74</v>
      </c>
      <c r="S979" t="s">
        <v>74</v>
      </c>
      <c r="T979" t="s">
        <v>17867</v>
      </c>
      <c r="U979" t="s">
        <v>17868</v>
      </c>
      <c r="V979" t="s">
        <v>17869</v>
      </c>
      <c r="W979" t="s">
        <v>17870</v>
      </c>
      <c r="X979" t="s">
        <v>17871</v>
      </c>
      <c r="Y979" t="s">
        <v>17872</v>
      </c>
      <c r="Z979" t="s">
        <v>17873</v>
      </c>
      <c r="AA979" t="s">
        <v>17874</v>
      </c>
      <c r="AB979" t="s">
        <v>17875</v>
      </c>
      <c r="AC979" t="s">
        <v>17876</v>
      </c>
      <c r="AD979" t="s">
        <v>17877</v>
      </c>
      <c r="AE979" t="s">
        <v>17878</v>
      </c>
      <c r="AF979" t="s">
        <v>74</v>
      </c>
      <c r="AG979">
        <v>116</v>
      </c>
      <c r="AH979">
        <v>60</v>
      </c>
      <c r="AI979">
        <v>64</v>
      </c>
      <c r="AJ979">
        <v>0</v>
      </c>
      <c r="AK979">
        <v>19</v>
      </c>
      <c r="AL979" t="s">
        <v>195</v>
      </c>
      <c r="AM979" t="s">
        <v>155</v>
      </c>
      <c r="AN979" t="s">
        <v>196</v>
      </c>
      <c r="AO979" t="s">
        <v>8594</v>
      </c>
      <c r="AP979" t="s">
        <v>8595</v>
      </c>
      <c r="AQ979" t="s">
        <v>74</v>
      </c>
      <c r="AR979" t="s">
        <v>8581</v>
      </c>
      <c r="AS979" t="s">
        <v>8596</v>
      </c>
      <c r="AT979" t="s">
        <v>17673</v>
      </c>
      <c r="AU979">
        <v>2013</v>
      </c>
      <c r="AV979">
        <v>585</v>
      </c>
      <c r="AW979" t="s">
        <v>74</v>
      </c>
      <c r="AX979" t="s">
        <v>74</v>
      </c>
      <c r="AY979" t="s">
        <v>74</v>
      </c>
      <c r="AZ979" t="s">
        <v>935</v>
      </c>
      <c r="BA979" t="s">
        <v>74</v>
      </c>
      <c r="BB979">
        <v>137</v>
      </c>
      <c r="BC979">
        <v>160</v>
      </c>
      <c r="BD979" t="s">
        <v>74</v>
      </c>
      <c r="BE979" t="s">
        <v>17879</v>
      </c>
      <c r="BF979" t="str">
        <f>HYPERLINK("http://dx.doi.org/10.1016/j.tecto.2012.09.010","http://dx.doi.org/10.1016/j.tecto.2012.09.010")</f>
        <v>http://dx.doi.org/10.1016/j.tecto.2012.09.010</v>
      </c>
      <c r="BG979" t="s">
        <v>74</v>
      </c>
      <c r="BH979" t="s">
        <v>74</v>
      </c>
      <c r="BI979">
        <v>24</v>
      </c>
      <c r="BJ979" t="s">
        <v>766</v>
      </c>
      <c r="BK979" t="s">
        <v>102</v>
      </c>
      <c r="BL979" t="s">
        <v>766</v>
      </c>
      <c r="BM979" t="s">
        <v>17675</v>
      </c>
      <c r="BN979" t="s">
        <v>74</v>
      </c>
      <c r="BO979" t="s">
        <v>1014</v>
      </c>
      <c r="BP979" t="s">
        <v>74</v>
      </c>
      <c r="BQ979" t="s">
        <v>74</v>
      </c>
      <c r="BR979" t="s">
        <v>105</v>
      </c>
      <c r="BS979" t="s">
        <v>17880</v>
      </c>
      <c r="BT979" t="str">
        <f>HYPERLINK("https%3A%2F%2Fwww.webofscience.com%2Fwos%2Fwoscc%2Ffull-record%2FWOS:000315238800013","View Full Record in Web of Science")</f>
        <v>View Full Record in Web of Science</v>
      </c>
    </row>
    <row r="980" spans="1:72" x14ac:dyDescent="0.15">
      <c r="A980" t="s">
        <v>72</v>
      </c>
      <c r="B980" t="s">
        <v>17881</v>
      </c>
      <c r="C980" t="s">
        <v>74</v>
      </c>
      <c r="D980" t="s">
        <v>74</v>
      </c>
      <c r="E980" t="s">
        <v>74</v>
      </c>
      <c r="F980" t="s">
        <v>17882</v>
      </c>
      <c r="G980" t="s">
        <v>74</v>
      </c>
      <c r="H980" t="s">
        <v>17802</v>
      </c>
      <c r="I980" t="s">
        <v>17883</v>
      </c>
      <c r="J980" t="s">
        <v>8581</v>
      </c>
      <c r="K980" t="s">
        <v>74</v>
      </c>
      <c r="L980" t="s">
        <v>74</v>
      </c>
      <c r="M980" t="s">
        <v>78</v>
      </c>
      <c r="N980" t="s">
        <v>79</v>
      </c>
      <c r="O980" t="s">
        <v>74</v>
      </c>
      <c r="P980" t="s">
        <v>74</v>
      </c>
      <c r="Q980" t="s">
        <v>74</v>
      </c>
      <c r="R980" t="s">
        <v>74</v>
      </c>
      <c r="S980" t="s">
        <v>74</v>
      </c>
      <c r="T980" t="s">
        <v>17884</v>
      </c>
      <c r="U980" t="s">
        <v>17885</v>
      </c>
      <c r="V980" t="s">
        <v>17886</v>
      </c>
      <c r="W980" t="s">
        <v>17887</v>
      </c>
      <c r="X980" t="s">
        <v>17888</v>
      </c>
      <c r="Y980" t="s">
        <v>17889</v>
      </c>
      <c r="Z980" t="s">
        <v>17890</v>
      </c>
      <c r="AA980" t="s">
        <v>74</v>
      </c>
      <c r="AB980" t="s">
        <v>17891</v>
      </c>
      <c r="AC980" t="s">
        <v>17892</v>
      </c>
      <c r="AD980" t="s">
        <v>17893</v>
      </c>
      <c r="AE980" t="s">
        <v>17894</v>
      </c>
      <c r="AF980" t="s">
        <v>74</v>
      </c>
      <c r="AG980">
        <v>103</v>
      </c>
      <c r="AH980">
        <v>24</v>
      </c>
      <c r="AI980">
        <v>27</v>
      </c>
      <c r="AJ980">
        <v>0</v>
      </c>
      <c r="AK980">
        <v>28</v>
      </c>
      <c r="AL980" t="s">
        <v>195</v>
      </c>
      <c r="AM980" t="s">
        <v>155</v>
      </c>
      <c r="AN980" t="s">
        <v>196</v>
      </c>
      <c r="AO980" t="s">
        <v>8594</v>
      </c>
      <c r="AP980" t="s">
        <v>8595</v>
      </c>
      <c r="AQ980" t="s">
        <v>74</v>
      </c>
      <c r="AR980" t="s">
        <v>8581</v>
      </c>
      <c r="AS980" t="s">
        <v>8596</v>
      </c>
      <c r="AT980" t="s">
        <v>17673</v>
      </c>
      <c r="AU980">
        <v>2013</v>
      </c>
      <c r="AV980">
        <v>585</v>
      </c>
      <c r="AW980" t="s">
        <v>74</v>
      </c>
      <c r="AX980" t="s">
        <v>74</v>
      </c>
      <c r="AY980" t="s">
        <v>74</v>
      </c>
      <c r="AZ980" t="s">
        <v>935</v>
      </c>
      <c r="BA980" t="s">
        <v>74</v>
      </c>
      <c r="BB980">
        <v>172</v>
      </c>
      <c r="BC980">
        <v>184</v>
      </c>
      <c r="BD980" t="s">
        <v>74</v>
      </c>
      <c r="BE980" t="s">
        <v>17895</v>
      </c>
      <c r="BF980" t="str">
        <f>HYPERLINK("http://dx.doi.org/10.1016/j.tecto.2012.06.043","http://dx.doi.org/10.1016/j.tecto.2012.06.043")</f>
        <v>http://dx.doi.org/10.1016/j.tecto.2012.06.043</v>
      </c>
      <c r="BG980" t="s">
        <v>74</v>
      </c>
      <c r="BH980" t="s">
        <v>74</v>
      </c>
      <c r="BI980">
        <v>13</v>
      </c>
      <c r="BJ980" t="s">
        <v>766</v>
      </c>
      <c r="BK980" t="s">
        <v>102</v>
      </c>
      <c r="BL980" t="s">
        <v>766</v>
      </c>
      <c r="BM980" t="s">
        <v>17675</v>
      </c>
      <c r="BN980" t="s">
        <v>74</v>
      </c>
      <c r="BO980" t="s">
        <v>74</v>
      </c>
      <c r="BP980" t="s">
        <v>74</v>
      </c>
      <c r="BQ980" t="s">
        <v>74</v>
      </c>
      <c r="BR980" t="s">
        <v>105</v>
      </c>
      <c r="BS980" t="s">
        <v>17896</v>
      </c>
      <c r="BT980" t="str">
        <f>HYPERLINK("https%3A%2F%2Fwww.webofscience.com%2Fwos%2Fwoscc%2Ffull-record%2FWOS:000315238800015","View Full Record in Web of Science")</f>
        <v>View Full Record in Web of Science</v>
      </c>
    </row>
    <row r="981" spans="1:72" x14ac:dyDescent="0.15">
      <c r="A981" t="s">
        <v>72</v>
      </c>
      <c r="B981" t="s">
        <v>17897</v>
      </c>
      <c r="C981" t="s">
        <v>74</v>
      </c>
      <c r="D981" t="s">
        <v>74</v>
      </c>
      <c r="E981" t="s">
        <v>74</v>
      </c>
      <c r="F981" t="s">
        <v>17898</v>
      </c>
      <c r="G981" t="s">
        <v>74</v>
      </c>
      <c r="H981" t="s">
        <v>74</v>
      </c>
      <c r="I981" t="s">
        <v>17899</v>
      </c>
      <c r="J981" t="s">
        <v>8581</v>
      </c>
      <c r="K981" t="s">
        <v>74</v>
      </c>
      <c r="L981" t="s">
        <v>74</v>
      </c>
      <c r="M981" t="s">
        <v>78</v>
      </c>
      <c r="N981" t="s">
        <v>79</v>
      </c>
      <c r="O981" t="s">
        <v>74</v>
      </c>
      <c r="P981" t="s">
        <v>74</v>
      </c>
      <c r="Q981" t="s">
        <v>74</v>
      </c>
      <c r="R981" t="s">
        <v>74</v>
      </c>
      <c r="S981" t="s">
        <v>74</v>
      </c>
      <c r="T981" t="s">
        <v>17900</v>
      </c>
      <c r="U981" t="s">
        <v>17901</v>
      </c>
      <c r="V981" t="s">
        <v>17902</v>
      </c>
      <c r="W981" t="s">
        <v>17903</v>
      </c>
      <c r="X981" t="s">
        <v>17904</v>
      </c>
      <c r="Y981" t="s">
        <v>17872</v>
      </c>
      <c r="Z981" t="s">
        <v>17873</v>
      </c>
      <c r="AA981" t="s">
        <v>17905</v>
      </c>
      <c r="AB981" t="s">
        <v>17906</v>
      </c>
      <c r="AC981" t="s">
        <v>17907</v>
      </c>
      <c r="AD981" t="s">
        <v>17908</v>
      </c>
      <c r="AE981" t="s">
        <v>17909</v>
      </c>
      <c r="AF981" t="s">
        <v>74</v>
      </c>
      <c r="AG981">
        <v>95</v>
      </c>
      <c r="AH981">
        <v>39</v>
      </c>
      <c r="AI981">
        <v>44</v>
      </c>
      <c r="AJ981">
        <v>0</v>
      </c>
      <c r="AK981">
        <v>28</v>
      </c>
      <c r="AL981" t="s">
        <v>154</v>
      </c>
      <c r="AM981" t="s">
        <v>155</v>
      </c>
      <c r="AN981" t="s">
        <v>156</v>
      </c>
      <c r="AO981" t="s">
        <v>8594</v>
      </c>
      <c r="AP981" t="s">
        <v>8595</v>
      </c>
      <c r="AQ981" t="s">
        <v>74</v>
      </c>
      <c r="AR981" t="s">
        <v>8581</v>
      </c>
      <c r="AS981" t="s">
        <v>8596</v>
      </c>
      <c r="AT981" t="s">
        <v>17673</v>
      </c>
      <c r="AU981">
        <v>2013</v>
      </c>
      <c r="AV981">
        <v>585</v>
      </c>
      <c r="AW981" t="s">
        <v>74</v>
      </c>
      <c r="AX981" t="s">
        <v>74</v>
      </c>
      <c r="AY981" t="s">
        <v>74</v>
      </c>
      <c r="AZ981" t="s">
        <v>935</v>
      </c>
      <c r="BA981" t="s">
        <v>74</v>
      </c>
      <c r="BB981">
        <v>196</v>
      </c>
      <c r="BC981">
        <v>206</v>
      </c>
      <c r="BD981" t="s">
        <v>74</v>
      </c>
      <c r="BE981" t="s">
        <v>17910</v>
      </c>
      <c r="BF981" t="str">
        <f>HYPERLINK("http://dx.doi.org/10.1016/j.tecto.2012.06.041","http://dx.doi.org/10.1016/j.tecto.2012.06.041")</f>
        <v>http://dx.doi.org/10.1016/j.tecto.2012.06.041</v>
      </c>
      <c r="BG981" t="s">
        <v>74</v>
      </c>
      <c r="BH981" t="s">
        <v>74</v>
      </c>
      <c r="BI981">
        <v>11</v>
      </c>
      <c r="BJ981" t="s">
        <v>766</v>
      </c>
      <c r="BK981" t="s">
        <v>102</v>
      </c>
      <c r="BL981" t="s">
        <v>766</v>
      </c>
      <c r="BM981" t="s">
        <v>17675</v>
      </c>
      <c r="BN981" t="s">
        <v>74</v>
      </c>
      <c r="BO981" t="s">
        <v>74</v>
      </c>
      <c r="BP981" t="s">
        <v>74</v>
      </c>
      <c r="BQ981" t="s">
        <v>74</v>
      </c>
      <c r="BR981" t="s">
        <v>105</v>
      </c>
      <c r="BS981" t="s">
        <v>17911</v>
      </c>
      <c r="BT981" t="str">
        <f>HYPERLINK("https%3A%2F%2Fwww.webofscience.com%2Fwos%2Fwoscc%2Ffull-record%2FWOS:000315238800017","View Full Record in Web of Science")</f>
        <v>View Full Record in Web of Science</v>
      </c>
    </row>
    <row r="982" spans="1:72" x14ac:dyDescent="0.15">
      <c r="A982" t="s">
        <v>72</v>
      </c>
      <c r="B982" t="s">
        <v>17912</v>
      </c>
      <c r="C982" t="s">
        <v>74</v>
      </c>
      <c r="D982" t="s">
        <v>74</v>
      </c>
      <c r="E982" t="s">
        <v>74</v>
      </c>
      <c r="F982" t="s">
        <v>17913</v>
      </c>
      <c r="G982" t="s">
        <v>74</v>
      </c>
      <c r="H982" t="s">
        <v>74</v>
      </c>
      <c r="I982" t="s">
        <v>17914</v>
      </c>
      <c r="J982" t="s">
        <v>5531</v>
      </c>
      <c r="K982" t="s">
        <v>74</v>
      </c>
      <c r="L982" t="s">
        <v>74</v>
      </c>
      <c r="M982" t="s">
        <v>78</v>
      </c>
      <c r="N982" t="s">
        <v>79</v>
      </c>
      <c r="O982" t="s">
        <v>74</v>
      </c>
      <c r="P982" t="s">
        <v>74</v>
      </c>
      <c r="Q982" t="s">
        <v>74</v>
      </c>
      <c r="R982" t="s">
        <v>74</v>
      </c>
      <c r="S982" t="s">
        <v>74</v>
      </c>
      <c r="T982" t="s">
        <v>74</v>
      </c>
      <c r="U982" t="s">
        <v>17915</v>
      </c>
      <c r="V982" t="s">
        <v>17916</v>
      </c>
      <c r="W982" t="s">
        <v>17917</v>
      </c>
      <c r="X982" t="s">
        <v>17918</v>
      </c>
      <c r="Y982" t="s">
        <v>17919</v>
      </c>
      <c r="Z982" t="s">
        <v>17920</v>
      </c>
      <c r="AA982" t="s">
        <v>17921</v>
      </c>
      <c r="AB982" t="s">
        <v>17922</v>
      </c>
      <c r="AC982" t="s">
        <v>17923</v>
      </c>
      <c r="AD982" t="s">
        <v>17924</v>
      </c>
      <c r="AE982" t="s">
        <v>17925</v>
      </c>
      <c r="AF982" t="s">
        <v>74</v>
      </c>
      <c r="AG982">
        <v>30</v>
      </c>
      <c r="AH982">
        <v>163</v>
      </c>
      <c r="AI982">
        <v>195</v>
      </c>
      <c r="AJ982">
        <v>1</v>
      </c>
      <c r="AK982">
        <v>243</v>
      </c>
      <c r="AL982" t="s">
        <v>670</v>
      </c>
      <c r="AM982" t="s">
        <v>643</v>
      </c>
      <c r="AN982" t="s">
        <v>671</v>
      </c>
      <c r="AO982" t="s">
        <v>5543</v>
      </c>
      <c r="AP982" t="s">
        <v>5544</v>
      </c>
      <c r="AQ982" t="s">
        <v>74</v>
      </c>
      <c r="AR982" t="s">
        <v>5531</v>
      </c>
      <c r="AS982" t="s">
        <v>5545</v>
      </c>
      <c r="AT982" t="s">
        <v>17926</v>
      </c>
      <c r="AU982">
        <v>2013</v>
      </c>
      <c r="AV982">
        <v>494</v>
      </c>
      <c r="AW982">
        <v>7435</v>
      </c>
      <c r="AX982" t="s">
        <v>74</v>
      </c>
      <c r="AY982" t="s">
        <v>74</v>
      </c>
      <c r="AZ982" t="s">
        <v>74</v>
      </c>
      <c r="BA982" t="s">
        <v>74</v>
      </c>
      <c r="BB982">
        <v>81</v>
      </c>
      <c r="BC982">
        <v>85</v>
      </c>
      <c r="BD982" t="s">
        <v>74</v>
      </c>
      <c r="BE982" t="s">
        <v>17927</v>
      </c>
      <c r="BF982" t="str">
        <f>HYPERLINK("http://dx.doi.org/10.1038/nature11822","http://dx.doi.org/10.1038/nature11822")</f>
        <v>http://dx.doi.org/10.1038/nature11822</v>
      </c>
      <c r="BG982" t="s">
        <v>74</v>
      </c>
      <c r="BH982" t="s">
        <v>74</v>
      </c>
      <c r="BI982">
        <v>5</v>
      </c>
      <c r="BJ982" t="s">
        <v>1880</v>
      </c>
      <c r="BK982" t="s">
        <v>102</v>
      </c>
      <c r="BL982" t="s">
        <v>1881</v>
      </c>
      <c r="BM982" t="s">
        <v>17928</v>
      </c>
      <c r="BN982">
        <v>23389542</v>
      </c>
      <c r="BO982" t="s">
        <v>74</v>
      </c>
      <c r="BP982" t="s">
        <v>74</v>
      </c>
      <c r="BQ982" t="s">
        <v>74</v>
      </c>
      <c r="BR982" t="s">
        <v>105</v>
      </c>
      <c r="BS982" t="s">
        <v>17929</v>
      </c>
      <c r="BT982" t="str">
        <f>HYPERLINK("https%3A%2F%2Fwww.webofscience.com%2Fwos%2Fwoscc%2Ffull-record%2FWOS:000314741200038","View Full Record in Web of Science")</f>
        <v>View Full Record in Web of Science</v>
      </c>
    </row>
    <row r="983" spans="1:72" x14ac:dyDescent="0.15">
      <c r="A983" t="s">
        <v>72</v>
      </c>
      <c r="B983" t="s">
        <v>17930</v>
      </c>
      <c r="C983" t="s">
        <v>74</v>
      </c>
      <c r="D983" t="s">
        <v>74</v>
      </c>
      <c r="E983" t="s">
        <v>74</v>
      </c>
      <c r="F983" t="s">
        <v>17931</v>
      </c>
      <c r="G983" t="s">
        <v>74</v>
      </c>
      <c r="H983" t="s">
        <v>74</v>
      </c>
      <c r="I983" t="s">
        <v>17932</v>
      </c>
      <c r="J983" t="s">
        <v>2343</v>
      </c>
      <c r="K983" t="s">
        <v>74</v>
      </c>
      <c r="L983" t="s">
        <v>74</v>
      </c>
      <c r="M983" t="s">
        <v>78</v>
      </c>
      <c r="N983" t="s">
        <v>79</v>
      </c>
      <c r="O983" t="s">
        <v>74</v>
      </c>
      <c r="P983" t="s">
        <v>74</v>
      </c>
      <c r="Q983" t="s">
        <v>74</v>
      </c>
      <c r="R983" t="s">
        <v>74</v>
      </c>
      <c r="S983" t="s">
        <v>74</v>
      </c>
      <c r="T983" t="s">
        <v>74</v>
      </c>
      <c r="U983" t="s">
        <v>17933</v>
      </c>
      <c r="V983" t="s">
        <v>17934</v>
      </c>
      <c r="W983" t="s">
        <v>17935</v>
      </c>
      <c r="X983" t="s">
        <v>17936</v>
      </c>
      <c r="Y983" t="s">
        <v>17937</v>
      </c>
      <c r="Z983" t="s">
        <v>17938</v>
      </c>
      <c r="AA983" t="s">
        <v>17939</v>
      </c>
      <c r="AB983" t="s">
        <v>17940</v>
      </c>
      <c r="AC983" t="s">
        <v>17941</v>
      </c>
      <c r="AD983" t="s">
        <v>17942</v>
      </c>
      <c r="AE983" t="s">
        <v>17943</v>
      </c>
      <c r="AF983" t="s">
        <v>74</v>
      </c>
      <c r="AG983">
        <v>48</v>
      </c>
      <c r="AH983">
        <v>32</v>
      </c>
      <c r="AI983">
        <v>37</v>
      </c>
      <c r="AJ983">
        <v>2</v>
      </c>
      <c r="AK983">
        <v>86</v>
      </c>
      <c r="AL983" t="s">
        <v>2355</v>
      </c>
      <c r="AM983" t="s">
        <v>2356</v>
      </c>
      <c r="AN983" t="s">
        <v>2357</v>
      </c>
      <c r="AO983" t="s">
        <v>2358</v>
      </c>
      <c r="AP983" t="s">
        <v>74</v>
      </c>
      <c r="AQ983" t="s">
        <v>74</v>
      </c>
      <c r="AR983" t="s">
        <v>2343</v>
      </c>
      <c r="AS983" t="s">
        <v>2359</v>
      </c>
      <c r="AT983" t="s">
        <v>17944</v>
      </c>
      <c r="AU983">
        <v>2013</v>
      </c>
      <c r="AV983">
        <v>8</v>
      </c>
      <c r="AW983">
        <v>2</v>
      </c>
      <c r="AX983" t="s">
        <v>74</v>
      </c>
      <c r="AY983" t="s">
        <v>74</v>
      </c>
      <c r="AZ983" t="s">
        <v>74</v>
      </c>
      <c r="BA983" t="s">
        <v>74</v>
      </c>
      <c r="BB983" t="s">
        <v>74</v>
      </c>
      <c r="BC983" t="s">
        <v>74</v>
      </c>
      <c r="BD983" t="s">
        <v>17945</v>
      </c>
      <c r="BE983" t="s">
        <v>17946</v>
      </c>
      <c r="BF983" t="str">
        <f>HYPERLINK("http://dx.doi.org/10.1371/journal.pone.0055093","http://dx.doi.org/10.1371/journal.pone.0055093")</f>
        <v>http://dx.doi.org/10.1371/journal.pone.0055093</v>
      </c>
      <c r="BG983" t="s">
        <v>74</v>
      </c>
      <c r="BH983" t="s">
        <v>74</v>
      </c>
      <c r="BI983">
        <v>9</v>
      </c>
      <c r="BJ983" t="s">
        <v>1880</v>
      </c>
      <c r="BK983" t="s">
        <v>102</v>
      </c>
      <c r="BL983" t="s">
        <v>1881</v>
      </c>
      <c r="BM983" t="s">
        <v>17947</v>
      </c>
      <c r="BN983">
        <v>23405116</v>
      </c>
      <c r="BO983" t="s">
        <v>2817</v>
      </c>
      <c r="BP983" t="s">
        <v>74</v>
      </c>
      <c r="BQ983" t="s">
        <v>74</v>
      </c>
      <c r="BR983" t="s">
        <v>105</v>
      </c>
      <c r="BS983" t="s">
        <v>17948</v>
      </c>
      <c r="BT983" t="str">
        <f>HYPERLINK("https%3A%2F%2Fwww.webofscience.com%2Fwos%2Fwoscc%2Ffull-record%2FWOS:000315153400060","View Full Record in Web of Science")</f>
        <v>View Full Record in Web of Science</v>
      </c>
    </row>
    <row r="984" spans="1:72" x14ac:dyDescent="0.15">
      <c r="A984" t="s">
        <v>72</v>
      </c>
      <c r="B984" t="s">
        <v>17949</v>
      </c>
      <c r="C984" t="s">
        <v>74</v>
      </c>
      <c r="D984" t="s">
        <v>74</v>
      </c>
      <c r="E984" t="s">
        <v>74</v>
      </c>
      <c r="F984" t="s">
        <v>17950</v>
      </c>
      <c r="G984" t="s">
        <v>74</v>
      </c>
      <c r="H984" t="s">
        <v>74</v>
      </c>
      <c r="I984" t="s">
        <v>17951</v>
      </c>
      <c r="J984" t="s">
        <v>2253</v>
      </c>
      <c r="K984" t="s">
        <v>74</v>
      </c>
      <c r="L984" t="s">
        <v>74</v>
      </c>
      <c r="M984" t="s">
        <v>78</v>
      </c>
      <c r="N984" t="s">
        <v>79</v>
      </c>
      <c r="O984" t="s">
        <v>74</v>
      </c>
      <c r="P984" t="s">
        <v>74</v>
      </c>
      <c r="Q984" t="s">
        <v>74</v>
      </c>
      <c r="R984" t="s">
        <v>74</v>
      </c>
      <c r="S984" t="s">
        <v>74</v>
      </c>
      <c r="T984" t="s">
        <v>17952</v>
      </c>
      <c r="U984" t="s">
        <v>17953</v>
      </c>
      <c r="V984" t="s">
        <v>17954</v>
      </c>
      <c r="W984" t="s">
        <v>17955</v>
      </c>
      <c r="X984" t="s">
        <v>17956</v>
      </c>
      <c r="Y984" t="s">
        <v>17957</v>
      </c>
      <c r="Z984" t="s">
        <v>17958</v>
      </c>
      <c r="AA984" t="s">
        <v>17959</v>
      </c>
      <c r="AB984" t="s">
        <v>17960</v>
      </c>
      <c r="AC984" t="s">
        <v>17961</v>
      </c>
      <c r="AD984" t="s">
        <v>17962</v>
      </c>
      <c r="AE984" t="s">
        <v>17963</v>
      </c>
      <c r="AF984" t="s">
        <v>74</v>
      </c>
      <c r="AG984">
        <v>49</v>
      </c>
      <c r="AH984">
        <v>170</v>
      </c>
      <c r="AI984">
        <v>186</v>
      </c>
      <c r="AJ984">
        <v>2</v>
      </c>
      <c r="AK984">
        <v>87</v>
      </c>
      <c r="AL984" t="s">
        <v>2266</v>
      </c>
      <c r="AM984" t="s">
        <v>93</v>
      </c>
      <c r="AN984" t="s">
        <v>2267</v>
      </c>
      <c r="AO984" t="s">
        <v>2268</v>
      </c>
      <c r="AP984" t="s">
        <v>74</v>
      </c>
      <c r="AQ984" t="s">
        <v>74</v>
      </c>
      <c r="AR984" t="s">
        <v>2269</v>
      </c>
      <c r="AS984" t="s">
        <v>2270</v>
      </c>
      <c r="AT984" t="s">
        <v>17964</v>
      </c>
      <c r="AU984">
        <v>2013</v>
      </c>
      <c r="AV984">
        <v>110</v>
      </c>
      <c r="AW984">
        <v>6</v>
      </c>
      <c r="AX984" t="s">
        <v>74</v>
      </c>
      <c r="AY984" t="s">
        <v>74</v>
      </c>
      <c r="AZ984" t="s">
        <v>74</v>
      </c>
      <c r="BA984" t="s">
        <v>74</v>
      </c>
      <c r="BB984">
        <v>2199</v>
      </c>
      <c r="BC984">
        <v>2204</v>
      </c>
      <c r="BD984" t="s">
        <v>74</v>
      </c>
      <c r="BE984" t="s">
        <v>17965</v>
      </c>
      <c r="BF984" t="str">
        <f>HYPERLINK("http://dx.doi.org/10.1073/pnas.1216244110","http://dx.doi.org/10.1073/pnas.1216244110")</f>
        <v>http://dx.doi.org/10.1073/pnas.1216244110</v>
      </c>
      <c r="BG984" t="s">
        <v>74</v>
      </c>
      <c r="BH984" t="s">
        <v>74</v>
      </c>
      <c r="BI984">
        <v>6</v>
      </c>
      <c r="BJ984" t="s">
        <v>1880</v>
      </c>
      <c r="BK984" t="s">
        <v>102</v>
      </c>
      <c r="BL984" t="s">
        <v>1881</v>
      </c>
      <c r="BM984" t="s">
        <v>17966</v>
      </c>
      <c r="BN984">
        <v>23341596</v>
      </c>
      <c r="BO984" t="s">
        <v>1589</v>
      </c>
      <c r="BP984" t="s">
        <v>74</v>
      </c>
      <c r="BQ984" t="s">
        <v>74</v>
      </c>
      <c r="BR984" t="s">
        <v>105</v>
      </c>
      <c r="BS984" t="s">
        <v>17967</v>
      </c>
      <c r="BT984" t="str">
        <f>HYPERLINK("https%3A%2F%2Fwww.webofscience.com%2Fwos%2Fwoscc%2Ffull-record%2FWOS:000315209800053","View Full Record in Web of Science")</f>
        <v>View Full Record in Web of Science</v>
      </c>
    </row>
    <row r="985" spans="1:72" x14ac:dyDescent="0.15">
      <c r="A985" t="s">
        <v>72</v>
      </c>
      <c r="B985" t="s">
        <v>17968</v>
      </c>
      <c r="C985" t="s">
        <v>74</v>
      </c>
      <c r="D985" t="s">
        <v>74</v>
      </c>
      <c r="E985" t="s">
        <v>74</v>
      </c>
      <c r="F985" t="s">
        <v>17969</v>
      </c>
      <c r="G985" t="s">
        <v>74</v>
      </c>
      <c r="H985" t="s">
        <v>74</v>
      </c>
      <c r="I985" t="s">
        <v>17970</v>
      </c>
      <c r="J985" t="s">
        <v>11827</v>
      </c>
      <c r="K985" t="s">
        <v>74</v>
      </c>
      <c r="L985" t="s">
        <v>74</v>
      </c>
      <c r="M985" t="s">
        <v>78</v>
      </c>
      <c r="N985" t="s">
        <v>79</v>
      </c>
      <c r="O985" t="s">
        <v>74</v>
      </c>
      <c r="P985" t="s">
        <v>74</v>
      </c>
      <c r="Q985" t="s">
        <v>74</v>
      </c>
      <c r="R985" t="s">
        <v>74</v>
      </c>
      <c r="S985" t="s">
        <v>74</v>
      </c>
      <c r="T985" t="s">
        <v>17971</v>
      </c>
      <c r="U985" t="s">
        <v>17972</v>
      </c>
      <c r="V985" t="s">
        <v>17973</v>
      </c>
      <c r="W985" t="s">
        <v>17974</v>
      </c>
      <c r="X985" t="s">
        <v>17975</v>
      </c>
      <c r="Y985" t="s">
        <v>17976</v>
      </c>
      <c r="Z985" t="s">
        <v>17977</v>
      </c>
      <c r="AA985" t="s">
        <v>17978</v>
      </c>
      <c r="AB985" t="s">
        <v>17979</v>
      </c>
      <c r="AC985" t="s">
        <v>74</v>
      </c>
      <c r="AD985" t="s">
        <v>74</v>
      </c>
      <c r="AE985" t="s">
        <v>74</v>
      </c>
      <c r="AF985" t="s">
        <v>74</v>
      </c>
      <c r="AG985">
        <v>13</v>
      </c>
      <c r="AH985">
        <v>22</v>
      </c>
      <c r="AI985">
        <v>28</v>
      </c>
      <c r="AJ985">
        <v>0</v>
      </c>
      <c r="AK985">
        <v>24</v>
      </c>
      <c r="AL985" t="s">
        <v>1515</v>
      </c>
      <c r="AM985" t="s">
        <v>442</v>
      </c>
      <c r="AN985" t="s">
        <v>1516</v>
      </c>
      <c r="AO985" t="s">
        <v>11838</v>
      </c>
      <c r="AP985" t="s">
        <v>74</v>
      </c>
      <c r="AQ985" t="s">
        <v>74</v>
      </c>
      <c r="AR985" t="s">
        <v>11840</v>
      </c>
      <c r="AS985" t="s">
        <v>11841</v>
      </c>
      <c r="AT985" t="s">
        <v>17980</v>
      </c>
      <c r="AU985">
        <v>2013</v>
      </c>
      <c r="AV985">
        <v>129</v>
      </c>
      <c r="AW985" t="s">
        <v>74</v>
      </c>
      <c r="AX985" t="s">
        <v>74</v>
      </c>
      <c r="AY985" t="s">
        <v>74</v>
      </c>
      <c r="AZ985" t="s">
        <v>74</v>
      </c>
      <c r="BA985" t="s">
        <v>74</v>
      </c>
      <c r="BB985">
        <v>329</v>
      </c>
      <c r="BC985">
        <v>334</v>
      </c>
      <c r="BD985" t="s">
        <v>74</v>
      </c>
      <c r="BE985" t="s">
        <v>17981</v>
      </c>
      <c r="BF985" t="str">
        <f>HYPERLINK("http://dx.doi.org/10.1016/j.biortech.2012.11.082","http://dx.doi.org/10.1016/j.biortech.2012.11.082")</f>
        <v>http://dx.doi.org/10.1016/j.biortech.2012.11.082</v>
      </c>
      <c r="BG985" t="s">
        <v>74</v>
      </c>
      <c r="BH985" t="s">
        <v>74</v>
      </c>
      <c r="BI985">
        <v>6</v>
      </c>
      <c r="BJ985" t="s">
        <v>11843</v>
      </c>
      <c r="BK985" t="s">
        <v>102</v>
      </c>
      <c r="BL985" t="s">
        <v>11844</v>
      </c>
      <c r="BM985" t="s">
        <v>17982</v>
      </c>
      <c r="BN985">
        <v>23262008</v>
      </c>
      <c r="BO985" t="s">
        <v>74</v>
      </c>
      <c r="BP985" t="s">
        <v>74</v>
      </c>
      <c r="BQ985" t="s">
        <v>74</v>
      </c>
      <c r="BR985" t="s">
        <v>105</v>
      </c>
      <c r="BS985" t="s">
        <v>17983</v>
      </c>
      <c r="BT985" t="str">
        <f>HYPERLINK("https%3A%2F%2Fwww.webofscience.com%2Fwos%2Fwoscc%2Ffull-record%2FWOS:000324566000046","View Full Record in Web of Science")</f>
        <v>View Full Record in Web of Science</v>
      </c>
    </row>
    <row r="986" spans="1:72" x14ac:dyDescent="0.15">
      <c r="A986" t="s">
        <v>72</v>
      </c>
      <c r="B986" t="s">
        <v>17984</v>
      </c>
      <c r="C986" t="s">
        <v>74</v>
      </c>
      <c r="D986" t="s">
        <v>74</v>
      </c>
      <c r="E986" t="s">
        <v>74</v>
      </c>
      <c r="F986" t="s">
        <v>17985</v>
      </c>
      <c r="G986" t="s">
        <v>74</v>
      </c>
      <c r="H986" t="s">
        <v>74</v>
      </c>
      <c r="I986" t="s">
        <v>17986</v>
      </c>
      <c r="J986" t="s">
        <v>6154</v>
      </c>
      <c r="K986" t="s">
        <v>74</v>
      </c>
      <c r="L986" t="s">
        <v>74</v>
      </c>
      <c r="M986" t="s">
        <v>78</v>
      </c>
      <c r="N986" t="s">
        <v>79</v>
      </c>
      <c r="O986" t="s">
        <v>74</v>
      </c>
      <c r="P986" t="s">
        <v>74</v>
      </c>
      <c r="Q986" t="s">
        <v>74</v>
      </c>
      <c r="R986" t="s">
        <v>74</v>
      </c>
      <c r="S986" t="s">
        <v>74</v>
      </c>
      <c r="T986" t="s">
        <v>74</v>
      </c>
      <c r="U986" t="s">
        <v>17987</v>
      </c>
      <c r="V986" t="s">
        <v>17988</v>
      </c>
      <c r="W986" t="s">
        <v>17989</v>
      </c>
      <c r="X986" t="s">
        <v>17990</v>
      </c>
      <c r="Y986" t="s">
        <v>17991</v>
      </c>
      <c r="Z986" t="s">
        <v>74</v>
      </c>
      <c r="AA986" t="s">
        <v>17992</v>
      </c>
      <c r="AB986" t="s">
        <v>17993</v>
      </c>
      <c r="AC986" t="s">
        <v>17994</v>
      </c>
      <c r="AD986" t="s">
        <v>4623</v>
      </c>
      <c r="AE986" t="s">
        <v>17995</v>
      </c>
      <c r="AF986" t="s">
        <v>74</v>
      </c>
      <c r="AG986">
        <v>46</v>
      </c>
      <c r="AH986">
        <v>10</v>
      </c>
      <c r="AI986">
        <v>11</v>
      </c>
      <c r="AJ986">
        <v>2</v>
      </c>
      <c r="AK986">
        <v>18</v>
      </c>
      <c r="AL986" t="s">
        <v>279</v>
      </c>
      <c r="AM986" t="s">
        <v>280</v>
      </c>
      <c r="AN986" t="s">
        <v>281</v>
      </c>
      <c r="AO986" t="s">
        <v>6166</v>
      </c>
      <c r="AP986" t="s">
        <v>74</v>
      </c>
      <c r="AQ986" t="s">
        <v>74</v>
      </c>
      <c r="AR986" t="s">
        <v>6154</v>
      </c>
      <c r="AS986" t="s">
        <v>6167</v>
      </c>
      <c r="AT986" t="s">
        <v>17980</v>
      </c>
      <c r="AU986">
        <v>2013</v>
      </c>
      <c r="AV986">
        <v>9</v>
      </c>
      <c r="AW986">
        <v>1</v>
      </c>
      <c r="AX986" t="s">
        <v>74</v>
      </c>
      <c r="AY986" t="s">
        <v>74</v>
      </c>
      <c r="AZ986" t="s">
        <v>74</v>
      </c>
      <c r="BA986" t="s">
        <v>74</v>
      </c>
      <c r="BB986">
        <v>54</v>
      </c>
      <c r="BC986">
        <v>62</v>
      </c>
      <c r="BD986" t="s">
        <v>74</v>
      </c>
      <c r="BE986" t="s">
        <v>17996</v>
      </c>
      <c r="BF986" t="str">
        <f>HYPERLINK("http://dx.doi.org/10.1130/GES00840.1","http://dx.doi.org/10.1130/GES00840.1")</f>
        <v>http://dx.doi.org/10.1130/GES00840.1</v>
      </c>
      <c r="BG986" t="s">
        <v>74</v>
      </c>
      <c r="BH986" t="s">
        <v>74</v>
      </c>
      <c r="BI986">
        <v>9</v>
      </c>
      <c r="BJ986" t="s">
        <v>1426</v>
      </c>
      <c r="BK986" t="s">
        <v>102</v>
      </c>
      <c r="BL986" t="s">
        <v>219</v>
      </c>
      <c r="BM986" t="s">
        <v>17997</v>
      </c>
      <c r="BN986" t="s">
        <v>74</v>
      </c>
      <c r="BO986" t="s">
        <v>1589</v>
      </c>
      <c r="BP986" t="s">
        <v>74</v>
      </c>
      <c r="BQ986" t="s">
        <v>74</v>
      </c>
      <c r="BR986" t="s">
        <v>105</v>
      </c>
      <c r="BS986" t="s">
        <v>17998</v>
      </c>
      <c r="BT986" t="str">
        <f>HYPERLINK("https%3A%2F%2Fwww.webofscience.com%2Fwos%2Fwoscc%2Ffull-record%2FWOS:000320699900004","View Full Record in Web of Science")</f>
        <v>View Full Record in Web of Science</v>
      </c>
    </row>
    <row r="987" spans="1:72" x14ac:dyDescent="0.15">
      <c r="A987" t="s">
        <v>72</v>
      </c>
      <c r="B987" t="s">
        <v>17999</v>
      </c>
      <c r="C987" t="s">
        <v>74</v>
      </c>
      <c r="D987" t="s">
        <v>74</v>
      </c>
      <c r="E987" t="s">
        <v>74</v>
      </c>
      <c r="F987" t="s">
        <v>18000</v>
      </c>
      <c r="G987" t="s">
        <v>74</v>
      </c>
      <c r="H987" t="s">
        <v>74</v>
      </c>
      <c r="I987" t="s">
        <v>18001</v>
      </c>
      <c r="J987" t="s">
        <v>6154</v>
      </c>
      <c r="K987" t="s">
        <v>74</v>
      </c>
      <c r="L987" t="s">
        <v>74</v>
      </c>
      <c r="M987" t="s">
        <v>78</v>
      </c>
      <c r="N987" t="s">
        <v>79</v>
      </c>
      <c r="O987" t="s">
        <v>74</v>
      </c>
      <c r="P987" t="s">
        <v>74</v>
      </c>
      <c r="Q987" t="s">
        <v>74</v>
      </c>
      <c r="R987" t="s">
        <v>74</v>
      </c>
      <c r="S987" t="s">
        <v>74</v>
      </c>
      <c r="T987" t="s">
        <v>74</v>
      </c>
      <c r="U987" t="s">
        <v>18002</v>
      </c>
      <c r="V987" t="s">
        <v>18003</v>
      </c>
      <c r="W987" t="s">
        <v>18004</v>
      </c>
      <c r="X987" t="s">
        <v>18005</v>
      </c>
      <c r="Y987" t="s">
        <v>18006</v>
      </c>
      <c r="Z987" t="s">
        <v>18007</v>
      </c>
      <c r="AA987" t="s">
        <v>74</v>
      </c>
      <c r="AB987" t="s">
        <v>18008</v>
      </c>
      <c r="AC987" t="s">
        <v>18009</v>
      </c>
      <c r="AD987" t="s">
        <v>18010</v>
      </c>
      <c r="AE987" t="s">
        <v>18011</v>
      </c>
      <c r="AF987" t="s">
        <v>74</v>
      </c>
      <c r="AG987">
        <v>40</v>
      </c>
      <c r="AH987">
        <v>4</v>
      </c>
      <c r="AI987">
        <v>4</v>
      </c>
      <c r="AJ987">
        <v>0</v>
      </c>
      <c r="AK987">
        <v>7</v>
      </c>
      <c r="AL987" t="s">
        <v>279</v>
      </c>
      <c r="AM987" t="s">
        <v>280</v>
      </c>
      <c r="AN987" t="s">
        <v>281</v>
      </c>
      <c r="AO987" t="s">
        <v>6166</v>
      </c>
      <c r="AP987" t="s">
        <v>74</v>
      </c>
      <c r="AQ987" t="s">
        <v>74</v>
      </c>
      <c r="AR987" t="s">
        <v>6154</v>
      </c>
      <c r="AS987" t="s">
        <v>6167</v>
      </c>
      <c r="AT987" t="s">
        <v>17980</v>
      </c>
      <c r="AU987">
        <v>2013</v>
      </c>
      <c r="AV987">
        <v>9</v>
      </c>
      <c r="AW987">
        <v>1</v>
      </c>
      <c r="AX987" t="s">
        <v>74</v>
      </c>
      <c r="AY987" t="s">
        <v>74</v>
      </c>
      <c r="AZ987" t="s">
        <v>74</v>
      </c>
      <c r="BA987" t="s">
        <v>74</v>
      </c>
      <c r="BB987">
        <v>63</v>
      </c>
      <c r="BC987">
        <v>73</v>
      </c>
      <c r="BD987" t="s">
        <v>74</v>
      </c>
      <c r="BE987" t="s">
        <v>18012</v>
      </c>
      <c r="BF987" t="str">
        <f>HYPERLINK("http://dx.doi.org/10.1130/GES00774.1","http://dx.doi.org/10.1130/GES00774.1")</f>
        <v>http://dx.doi.org/10.1130/GES00774.1</v>
      </c>
      <c r="BG987" t="s">
        <v>74</v>
      </c>
      <c r="BH987" t="s">
        <v>74</v>
      </c>
      <c r="BI987">
        <v>11</v>
      </c>
      <c r="BJ987" t="s">
        <v>1426</v>
      </c>
      <c r="BK987" t="s">
        <v>102</v>
      </c>
      <c r="BL987" t="s">
        <v>219</v>
      </c>
      <c r="BM987" t="s">
        <v>17997</v>
      </c>
      <c r="BN987" t="s">
        <v>74</v>
      </c>
      <c r="BO987" t="s">
        <v>104</v>
      </c>
      <c r="BP987" t="s">
        <v>74</v>
      </c>
      <c r="BQ987" t="s">
        <v>74</v>
      </c>
      <c r="BR987" t="s">
        <v>105</v>
      </c>
      <c r="BS987" t="s">
        <v>18013</v>
      </c>
      <c r="BT987" t="str">
        <f>HYPERLINK("https%3A%2F%2Fwww.webofscience.com%2Fwos%2Fwoscc%2Ffull-record%2FWOS:000320699900005","View Full Record in Web of Science")</f>
        <v>View Full Record in Web of Science</v>
      </c>
    </row>
    <row r="988" spans="1:72" x14ac:dyDescent="0.15">
      <c r="A988" t="s">
        <v>72</v>
      </c>
      <c r="B988" t="s">
        <v>18014</v>
      </c>
      <c r="C988" t="s">
        <v>74</v>
      </c>
      <c r="D988" t="s">
        <v>74</v>
      </c>
      <c r="E988" t="s">
        <v>74</v>
      </c>
      <c r="F988" t="s">
        <v>18015</v>
      </c>
      <c r="G988" t="s">
        <v>74</v>
      </c>
      <c r="H988" t="s">
        <v>74</v>
      </c>
      <c r="I988" t="s">
        <v>18016</v>
      </c>
      <c r="J988" t="s">
        <v>18017</v>
      </c>
      <c r="K988" t="s">
        <v>74</v>
      </c>
      <c r="L988" t="s">
        <v>74</v>
      </c>
      <c r="M988" t="s">
        <v>12716</v>
      </c>
      <c r="N988" t="s">
        <v>254</v>
      </c>
      <c r="O988" t="s">
        <v>74</v>
      </c>
      <c r="P988" t="s">
        <v>74</v>
      </c>
      <c r="Q988" t="s">
        <v>74</v>
      </c>
      <c r="R988" t="s">
        <v>74</v>
      </c>
      <c r="S988" t="s">
        <v>74</v>
      </c>
      <c r="T988" t="s">
        <v>74</v>
      </c>
      <c r="U988" t="s">
        <v>18018</v>
      </c>
      <c r="V988" t="s">
        <v>74</v>
      </c>
      <c r="W988" t="s">
        <v>74</v>
      </c>
      <c r="X988" t="s">
        <v>74</v>
      </c>
      <c r="Y988" t="s">
        <v>74</v>
      </c>
      <c r="Z988" t="s">
        <v>74</v>
      </c>
      <c r="AA988" t="s">
        <v>74</v>
      </c>
      <c r="AB988" t="s">
        <v>74</v>
      </c>
      <c r="AC988" t="s">
        <v>74</v>
      </c>
      <c r="AD988" t="s">
        <v>74</v>
      </c>
      <c r="AE988" t="s">
        <v>74</v>
      </c>
      <c r="AF988" t="s">
        <v>74</v>
      </c>
      <c r="AG988">
        <v>2</v>
      </c>
      <c r="AH988">
        <v>0</v>
      </c>
      <c r="AI988">
        <v>0</v>
      </c>
      <c r="AJ988">
        <v>0</v>
      </c>
      <c r="AK988">
        <v>1</v>
      </c>
      <c r="AL988" t="s">
        <v>18019</v>
      </c>
      <c r="AM988" t="s">
        <v>12718</v>
      </c>
      <c r="AN988" t="s">
        <v>18020</v>
      </c>
      <c r="AO988" t="s">
        <v>18021</v>
      </c>
      <c r="AP988" t="s">
        <v>74</v>
      </c>
      <c r="AQ988" t="s">
        <v>74</v>
      </c>
      <c r="AR988" t="s">
        <v>18017</v>
      </c>
      <c r="AS988" t="s">
        <v>18022</v>
      </c>
      <c r="AT988" t="s">
        <v>17980</v>
      </c>
      <c r="AU988">
        <v>2013</v>
      </c>
      <c r="AV988" t="s">
        <v>74</v>
      </c>
      <c r="AW988">
        <v>340</v>
      </c>
      <c r="AX988" t="s">
        <v>74</v>
      </c>
      <c r="AY988" t="s">
        <v>74</v>
      </c>
      <c r="AZ988" t="s">
        <v>74</v>
      </c>
      <c r="BA988" t="s">
        <v>74</v>
      </c>
      <c r="BB988">
        <v>19</v>
      </c>
      <c r="BC988">
        <v>19</v>
      </c>
      <c r="BD988" t="s">
        <v>74</v>
      </c>
      <c r="BE988" t="s">
        <v>74</v>
      </c>
      <c r="BF988" t="s">
        <v>74</v>
      </c>
      <c r="BG988" t="s">
        <v>74</v>
      </c>
      <c r="BH988" t="s">
        <v>74</v>
      </c>
      <c r="BI988">
        <v>1</v>
      </c>
      <c r="BJ988" t="s">
        <v>2583</v>
      </c>
      <c r="BK988" t="s">
        <v>102</v>
      </c>
      <c r="BL988" t="s">
        <v>2583</v>
      </c>
      <c r="BM988" t="s">
        <v>18023</v>
      </c>
      <c r="BN988" t="s">
        <v>74</v>
      </c>
      <c r="BO988" t="s">
        <v>74</v>
      </c>
      <c r="BP988" t="s">
        <v>74</v>
      </c>
      <c r="BQ988" t="s">
        <v>74</v>
      </c>
      <c r="BR988" t="s">
        <v>105</v>
      </c>
      <c r="BS988" t="s">
        <v>18024</v>
      </c>
      <c r="BT988" t="str">
        <f>HYPERLINK("https%3A%2F%2Fwww.webofscience.com%2Fwos%2Fwoscc%2Ffull-record%2FWOS:000314906700039","View Full Record in Web of Science")</f>
        <v>View Full Record in Web of Science</v>
      </c>
    </row>
    <row r="989" spans="1:72" x14ac:dyDescent="0.15">
      <c r="A989" t="s">
        <v>72</v>
      </c>
      <c r="B989" t="s">
        <v>18025</v>
      </c>
      <c r="C989" t="s">
        <v>74</v>
      </c>
      <c r="D989" t="s">
        <v>74</v>
      </c>
      <c r="E989" t="s">
        <v>74</v>
      </c>
      <c r="F989" t="s">
        <v>18026</v>
      </c>
      <c r="G989" t="s">
        <v>74</v>
      </c>
      <c r="H989" t="s">
        <v>74</v>
      </c>
      <c r="I989" t="s">
        <v>18027</v>
      </c>
      <c r="J989" t="s">
        <v>3406</v>
      </c>
      <c r="K989" t="s">
        <v>74</v>
      </c>
      <c r="L989" t="s">
        <v>74</v>
      </c>
      <c r="M989" t="s">
        <v>78</v>
      </c>
      <c r="N989" t="s">
        <v>79</v>
      </c>
      <c r="O989" t="s">
        <v>74</v>
      </c>
      <c r="P989" t="s">
        <v>74</v>
      </c>
      <c r="Q989" t="s">
        <v>74</v>
      </c>
      <c r="R989" t="s">
        <v>74</v>
      </c>
      <c r="S989" t="s">
        <v>74</v>
      </c>
      <c r="T989" t="s">
        <v>18028</v>
      </c>
      <c r="U989" t="s">
        <v>18029</v>
      </c>
      <c r="V989" t="s">
        <v>18030</v>
      </c>
      <c r="W989" t="s">
        <v>18031</v>
      </c>
      <c r="X989" t="s">
        <v>18032</v>
      </c>
      <c r="Y989" t="s">
        <v>18033</v>
      </c>
      <c r="Z989" t="s">
        <v>18034</v>
      </c>
      <c r="AA989" t="s">
        <v>74</v>
      </c>
      <c r="AB989" t="s">
        <v>18035</v>
      </c>
      <c r="AC989" t="s">
        <v>18036</v>
      </c>
      <c r="AD989" t="s">
        <v>18037</v>
      </c>
      <c r="AE989" t="s">
        <v>18038</v>
      </c>
      <c r="AF989" t="s">
        <v>74</v>
      </c>
      <c r="AG989">
        <v>113</v>
      </c>
      <c r="AH989">
        <v>26</v>
      </c>
      <c r="AI989">
        <v>30</v>
      </c>
      <c r="AJ989">
        <v>0</v>
      </c>
      <c r="AK989">
        <v>17</v>
      </c>
      <c r="AL989" t="s">
        <v>195</v>
      </c>
      <c r="AM989" t="s">
        <v>155</v>
      </c>
      <c r="AN989" t="s">
        <v>196</v>
      </c>
      <c r="AO989" t="s">
        <v>3419</v>
      </c>
      <c r="AP989" t="s">
        <v>3420</v>
      </c>
      <c r="AQ989" t="s">
        <v>74</v>
      </c>
      <c r="AR989" t="s">
        <v>3421</v>
      </c>
      <c r="AS989" t="s">
        <v>3422</v>
      </c>
      <c r="AT989" t="s">
        <v>18039</v>
      </c>
      <c r="AU989">
        <v>2013</v>
      </c>
      <c r="AV989">
        <v>336</v>
      </c>
      <c r="AW989" t="s">
        <v>74</v>
      </c>
      <c r="AX989" t="s">
        <v>74</v>
      </c>
      <c r="AY989" t="s">
        <v>74</v>
      </c>
      <c r="AZ989" t="s">
        <v>74</v>
      </c>
      <c r="BA989" t="s">
        <v>74</v>
      </c>
      <c r="BB989">
        <v>61</v>
      </c>
      <c r="BC989">
        <v>83</v>
      </c>
      <c r="BD989" t="s">
        <v>74</v>
      </c>
      <c r="BE989" t="s">
        <v>18040</v>
      </c>
      <c r="BF989" t="str">
        <f>HYPERLINK("http://dx.doi.org/10.1016/j.margeo.2012.11.004","http://dx.doi.org/10.1016/j.margeo.2012.11.004")</f>
        <v>http://dx.doi.org/10.1016/j.margeo.2012.11.004</v>
      </c>
      <c r="BG989" t="s">
        <v>74</v>
      </c>
      <c r="BH989" t="s">
        <v>74</v>
      </c>
      <c r="BI989">
        <v>23</v>
      </c>
      <c r="BJ989" t="s">
        <v>3425</v>
      </c>
      <c r="BK989" t="s">
        <v>102</v>
      </c>
      <c r="BL989" t="s">
        <v>3426</v>
      </c>
      <c r="BM989" t="s">
        <v>18041</v>
      </c>
      <c r="BN989" t="s">
        <v>74</v>
      </c>
      <c r="BO989" t="s">
        <v>426</v>
      </c>
      <c r="BP989" t="s">
        <v>74</v>
      </c>
      <c r="BQ989" t="s">
        <v>74</v>
      </c>
      <c r="BR989" t="s">
        <v>105</v>
      </c>
      <c r="BS989" t="s">
        <v>18042</v>
      </c>
      <c r="BT989" t="str">
        <f>HYPERLINK("https%3A%2F%2Fwww.webofscience.com%2Fwos%2Fwoscc%2Ffull-record%2FWOS:000319488000006","View Full Record in Web of Science")</f>
        <v>View Full Record in Web of Science</v>
      </c>
    </row>
    <row r="990" spans="1:72" x14ac:dyDescent="0.15">
      <c r="A990" t="s">
        <v>72</v>
      </c>
      <c r="B990" t="s">
        <v>18043</v>
      </c>
      <c r="C990" t="s">
        <v>74</v>
      </c>
      <c r="D990" t="s">
        <v>74</v>
      </c>
      <c r="E990" t="s">
        <v>74</v>
      </c>
      <c r="F990" t="s">
        <v>18044</v>
      </c>
      <c r="G990" t="s">
        <v>74</v>
      </c>
      <c r="H990" t="s">
        <v>74</v>
      </c>
      <c r="I990" t="s">
        <v>18045</v>
      </c>
      <c r="J990" t="s">
        <v>5906</v>
      </c>
      <c r="K990" t="s">
        <v>74</v>
      </c>
      <c r="L990" t="s">
        <v>74</v>
      </c>
      <c r="M990" t="s">
        <v>78</v>
      </c>
      <c r="N990" t="s">
        <v>5323</v>
      </c>
      <c r="O990" t="s">
        <v>74</v>
      </c>
      <c r="P990" t="s">
        <v>74</v>
      </c>
      <c r="Q990" t="s">
        <v>74</v>
      </c>
      <c r="R990" t="s">
        <v>74</v>
      </c>
      <c r="S990" t="s">
        <v>74</v>
      </c>
      <c r="T990" t="s">
        <v>74</v>
      </c>
      <c r="U990" t="s">
        <v>74</v>
      </c>
      <c r="V990" t="s">
        <v>74</v>
      </c>
      <c r="W990" t="s">
        <v>18046</v>
      </c>
      <c r="X990" t="s">
        <v>18047</v>
      </c>
      <c r="Y990" t="s">
        <v>18048</v>
      </c>
      <c r="Z990" t="s">
        <v>18049</v>
      </c>
      <c r="AA990" t="s">
        <v>18050</v>
      </c>
      <c r="AB990" t="s">
        <v>18051</v>
      </c>
      <c r="AC990" t="s">
        <v>74</v>
      </c>
      <c r="AD990" t="s">
        <v>74</v>
      </c>
      <c r="AE990" t="s">
        <v>74</v>
      </c>
      <c r="AF990" t="s">
        <v>74</v>
      </c>
      <c r="AG990">
        <v>3</v>
      </c>
      <c r="AH990">
        <v>4</v>
      </c>
      <c r="AI990">
        <v>4</v>
      </c>
      <c r="AJ990">
        <v>0</v>
      </c>
      <c r="AK990">
        <v>14</v>
      </c>
      <c r="AL990" t="s">
        <v>1515</v>
      </c>
      <c r="AM990" t="s">
        <v>442</v>
      </c>
      <c r="AN990" t="s">
        <v>1516</v>
      </c>
      <c r="AO990" t="s">
        <v>5919</v>
      </c>
      <c r="AP990" t="s">
        <v>5920</v>
      </c>
      <c r="AQ990" t="s">
        <v>74</v>
      </c>
      <c r="AR990" t="s">
        <v>5921</v>
      </c>
      <c r="AS990" t="s">
        <v>5922</v>
      </c>
      <c r="AT990" t="s">
        <v>17980</v>
      </c>
      <c r="AU990">
        <v>2013</v>
      </c>
      <c r="AV990">
        <v>158</v>
      </c>
      <c r="AW990" t="s">
        <v>74</v>
      </c>
      <c r="AX990" t="s">
        <v>74</v>
      </c>
      <c r="AY990" t="s">
        <v>74</v>
      </c>
      <c r="AZ990" t="s">
        <v>74</v>
      </c>
      <c r="BA990" t="s">
        <v>74</v>
      </c>
      <c r="BB990">
        <v>424</v>
      </c>
      <c r="BC990">
        <v>424</v>
      </c>
      <c r="BD990" t="s">
        <v>74</v>
      </c>
      <c r="BE990" t="s">
        <v>18052</v>
      </c>
      <c r="BF990" t="str">
        <f>HYPERLINK("http://dx.doi.org/10.1016/j.biocon.2012.10.027","http://dx.doi.org/10.1016/j.biocon.2012.10.027")</f>
        <v>http://dx.doi.org/10.1016/j.biocon.2012.10.027</v>
      </c>
      <c r="BG990" t="s">
        <v>74</v>
      </c>
      <c r="BH990" t="s">
        <v>74</v>
      </c>
      <c r="BI990">
        <v>1</v>
      </c>
      <c r="BJ990" t="s">
        <v>3941</v>
      </c>
      <c r="BK990" t="s">
        <v>102</v>
      </c>
      <c r="BL990" t="s">
        <v>1159</v>
      </c>
      <c r="BM990" t="s">
        <v>18053</v>
      </c>
      <c r="BN990" t="s">
        <v>74</v>
      </c>
      <c r="BO990" t="s">
        <v>74</v>
      </c>
      <c r="BP990" t="s">
        <v>74</v>
      </c>
      <c r="BQ990" t="s">
        <v>74</v>
      </c>
      <c r="BR990" t="s">
        <v>105</v>
      </c>
      <c r="BS990" t="s">
        <v>18054</v>
      </c>
      <c r="BT990" t="str">
        <f>HYPERLINK("https%3A%2F%2Fwww.webofscience.com%2Fwos%2Fwoscc%2Ffull-record%2FWOS:000318128300049","View Full Record in Web of Science")</f>
        <v>View Full Record in Web of Science</v>
      </c>
    </row>
    <row r="991" spans="1:72" x14ac:dyDescent="0.15">
      <c r="A991" t="s">
        <v>72</v>
      </c>
      <c r="B991" t="s">
        <v>18055</v>
      </c>
      <c r="C991" t="s">
        <v>74</v>
      </c>
      <c r="D991" t="s">
        <v>74</v>
      </c>
      <c r="E991" t="s">
        <v>74</v>
      </c>
      <c r="F991" t="s">
        <v>18056</v>
      </c>
      <c r="G991" t="s">
        <v>74</v>
      </c>
      <c r="H991" t="s">
        <v>74</v>
      </c>
      <c r="I991" t="s">
        <v>18057</v>
      </c>
      <c r="J991" t="s">
        <v>1710</v>
      </c>
      <c r="K991" t="s">
        <v>74</v>
      </c>
      <c r="L991" t="s">
        <v>74</v>
      </c>
      <c r="M991" t="s">
        <v>78</v>
      </c>
      <c r="N991" t="s">
        <v>79</v>
      </c>
      <c r="O991" t="s">
        <v>74</v>
      </c>
      <c r="P991" t="s">
        <v>74</v>
      </c>
      <c r="Q991" t="s">
        <v>74</v>
      </c>
      <c r="R991" t="s">
        <v>74</v>
      </c>
      <c r="S991" t="s">
        <v>74</v>
      </c>
      <c r="T991" t="s">
        <v>74</v>
      </c>
      <c r="U991" t="s">
        <v>18058</v>
      </c>
      <c r="V991" t="s">
        <v>18059</v>
      </c>
      <c r="W991" t="s">
        <v>18060</v>
      </c>
      <c r="X991" t="s">
        <v>2692</v>
      </c>
      <c r="Y991" t="s">
        <v>18061</v>
      </c>
      <c r="Z991" t="s">
        <v>18062</v>
      </c>
      <c r="AA991" t="s">
        <v>18063</v>
      </c>
      <c r="AB991" t="s">
        <v>18064</v>
      </c>
      <c r="AC991" t="s">
        <v>18065</v>
      </c>
      <c r="AD991" t="s">
        <v>18066</v>
      </c>
      <c r="AE991" t="s">
        <v>18067</v>
      </c>
      <c r="AF991" t="s">
        <v>74</v>
      </c>
      <c r="AG991">
        <v>64</v>
      </c>
      <c r="AH991">
        <v>21</v>
      </c>
      <c r="AI991">
        <v>22</v>
      </c>
      <c r="AJ991">
        <v>0</v>
      </c>
      <c r="AK991">
        <v>16</v>
      </c>
      <c r="AL991" t="s">
        <v>92</v>
      </c>
      <c r="AM991" t="s">
        <v>93</v>
      </c>
      <c r="AN991" t="s">
        <v>94</v>
      </c>
      <c r="AO991" t="s">
        <v>1723</v>
      </c>
      <c r="AP991" t="s">
        <v>1724</v>
      </c>
      <c r="AQ991" t="s">
        <v>74</v>
      </c>
      <c r="AR991" t="s">
        <v>1725</v>
      </c>
      <c r="AS991" t="s">
        <v>1726</v>
      </c>
      <c r="AT991" t="s">
        <v>17980</v>
      </c>
      <c r="AU991">
        <v>2013</v>
      </c>
      <c r="AV991">
        <v>118</v>
      </c>
      <c r="AW991">
        <v>2</v>
      </c>
      <c r="AX991" t="s">
        <v>74</v>
      </c>
      <c r="AY991" t="s">
        <v>74</v>
      </c>
      <c r="AZ991" t="s">
        <v>74</v>
      </c>
      <c r="BA991" t="s">
        <v>74</v>
      </c>
      <c r="BB991">
        <v>563</v>
      </c>
      <c r="BC991">
        <v>576</v>
      </c>
      <c r="BD991" t="s">
        <v>74</v>
      </c>
      <c r="BE991" t="s">
        <v>18068</v>
      </c>
      <c r="BF991" t="str">
        <f>HYPERLINK("http://dx.doi.org/10.1029/2011JC007731","http://dx.doi.org/10.1029/2011JC007731")</f>
        <v>http://dx.doi.org/10.1029/2011JC007731</v>
      </c>
      <c r="BG991" t="s">
        <v>74</v>
      </c>
      <c r="BH991" t="s">
        <v>74</v>
      </c>
      <c r="BI991">
        <v>14</v>
      </c>
      <c r="BJ991" t="s">
        <v>327</v>
      </c>
      <c r="BK991" t="s">
        <v>102</v>
      </c>
      <c r="BL991" t="s">
        <v>327</v>
      </c>
      <c r="BM991" t="s">
        <v>18069</v>
      </c>
      <c r="BN991" t="s">
        <v>74</v>
      </c>
      <c r="BO991" t="s">
        <v>2011</v>
      </c>
      <c r="BP991" t="s">
        <v>74</v>
      </c>
      <c r="BQ991" t="s">
        <v>74</v>
      </c>
      <c r="BR991" t="s">
        <v>105</v>
      </c>
      <c r="BS991" t="s">
        <v>18070</v>
      </c>
      <c r="BT991" t="str">
        <f>HYPERLINK("https%3A%2F%2Fwww.webofscience.com%2Fwos%2Fwoscc%2Ffull-record%2FWOS:000317840700001","View Full Record in Web of Science")</f>
        <v>View Full Record in Web of Science</v>
      </c>
    </row>
    <row r="992" spans="1:72" x14ac:dyDescent="0.15">
      <c r="A992" t="s">
        <v>72</v>
      </c>
      <c r="B992" t="s">
        <v>18071</v>
      </c>
      <c r="C992" t="s">
        <v>74</v>
      </c>
      <c r="D992" t="s">
        <v>74</v>
      </c>
      <c r="E992" t="s">
        <v>74</v>
      </c>
      <c r="F992" t="s">
        <v>18072</v>
      </c>
      <c r="G992" t="s">
        <v>74</v>
      </c>
      <c r="H992" t="s">
        <v>74</v>
      </c>
      <c r="I992" t="s">
        <v>18073</v>
      </c>
      <c r="J992" t="s">
        <v>1710</v>
      </c>
      <c r="K992" t="s">
        <v>74</v>
      </c>
      <c r="L992" t="s">
        <v>74</v>
      </c>
      <c r="M992" t="s">
        <v>78</v>
      </c>
      <c r="N992" t="s">
        <v>79</v>
      </c>
      <c r="O992" t="s">
        <v>74</v>
      </c>
      <c r="P992" t="s">
        <v>74</v>
      </c>
      <c r="Q992" t="s">
        <v>74</v>
      </c>
      <c r="R992" t="s">
        <v>74</v>
      </c>
      <c r="S992" t="s">
        <v>74</v>
      </c>
      <c r="T992" t="s">
        <v>74</v>
      </c>
      <c r="U992" t="s">
        <v>18074</v>
      </c>
      <c r="V992" t="s">
        <v>18075</v>
      </c>
      <c r="W992" t="s">
        <v>18076</v>
      </c>
      <c r="X992" t="s">
        <v>18077</v>
      </c>
      <c r="Y992" t="s">
        <v>18078</v>
      </c>
      <c r="Z992" t="s">
        <v>18079</v>
      </c>
      <c r="AA992" t="s">
        <v>18080</v>
      </c>
      <c r="AB992" t="s">
        <v>18081</v>
      </c>
      <c r="AC992" t="s">
        <v>18082</v>
      </c>
      <c r="AD992" t="s">
        <v>18083</v>
      </c>
      <c r="AE992" t="s">
        <v>18084</v>
      </c>
      <c r="AF992" t="s">
        <v>74</v>
      </c>
      <c r="AG992">
        <v>108</v>
      </c>
      <c r="AH992">
        <v>91</v>
      </c>
      <c r="AI992">
        <v>100</v>
      </c>
      <c r="AJ992">
        <v>0</v>
      </c>
      <c r="AK992">
        <v>70</v>
      </c>
      <c r="AL992" t="s">
        <v>92</v>
      </c>
      <c r="AM992" t="s">
        <v>93</v>
      </c>
      <c r="AN992" t="s">
        <v>94</v>
      </c>
      <c r="AO992" t="s">
        <v>1723</v>
      </c>
      <c r="AP992" t="s">
        <v>1724</v>
      </c>
      <c r="AQ992" t="s">
        <v>74</v>
      </c>
      <c r="AR992" t="s">
        <v>1725</v>
      </c>
      <c r="AS992" t="s">
        <v>1726</v>
      </c>
      <c r="AT992" t="s">
        <v>17980</v>
      </c>
      <c r="AU992">
        <v>2013</v>
      </c>
      <c r="AV992">
        <v>118</v>
      </c>
      <c r="AW992">
        <v>2</v>
      </c>
      <c r="AX992" t="s">
        <v>74</v>
      </c>
      <c r="AY992" t="s">
        <v>74</v>
      </c>
      <c r="AZ992" t="s">
        <v>74</v>
      </c>
      <c r="BA992" t="s">
        <v>74</v>
      </c>
      <c r="BB992">
        <v>592</v>
      </c>
      <c r="BC992">
        <v>618</v>
      </c>
      <c r="BD992" t="s">
        <v>74</v>
      </c>
      <c r="BE992" t="s">
        <v>18085</v>
      </c>
      <c r="BF992" t="str">
        <f>HYPERLINK("http://dx.doi.org/10.1029/2012JC008239","http://dx.doi.org/10.1029/2012JC008239")</f>
        <v>http://dx.doi.org/10.1029/2012JC008239</v>
      </c>
      <c r="BG992" t="s">
        <v>74</v>
      </c>
      <c r="BH992" t="s">
        <v>74</v>
      </c>
      <c r="BI992">
        <v>27</v>
      </c>
      <c r="BJ992" t="s">
        <v>327</v>
      </c>
      <c r="BK992" t="s">
        <v>102</v>
      </c>
      <c r="BL992" t="s">
        <v>327</v>
      </c>
      <c r="BM992" t="s">
        <v>18069</v>
      </c>
      <c r="BN992" t="s">
        <v>74</v>
      </c>
      <c r="BO992" t="s">
        <v>1589</v>
      </c>
      <c r="BP992" t="s">
        <v>74</v>
      </c>
      <c r="BQ992" t="s">
        <v>74</v>
      </c>
      <c r="BR992" t="s">
        <v>105</v>
      </c>
      <c r="BS992" t="s">
        <v>18086</v>
      </c>
      <c r="BT992" t="str">
        <f>HYPERLINK("https%3A%2F%2Fwww.webofscience.com%2Fwos%2Fwoscc%2Ffull-record%2FWOS:000317840700003","View Full Record in Web of Science")</f>
        <v>View Full Record in Web of Science</v>
      </c>
    </row>
    <row r="993" spans="1:72" x14ac:dyDescent="0.15">
      <c r="A993" t="s">
        <v>72</v>
      </c>
      <c r="B993" t="s">
        <v>18087</v>
      </c>
      <c r="C993" t="s">
        <v>74</v>
      </c>
      <c r="D993" t="s">
        <v>74</v>
      </c>
      <c r="E993" t="s">
        <v>74</v>
      </c>
      <c r="F993" t="s">
        <v>18088</v>
      </c>
      <c r="G993" t="s">
        <v>74</v>
      </c>
      <c r="H993" t="s">
        <v>74</v>
      </c>
      <c r="I993" t="s">
        <v>18089</v>
      </c>
      <c r="J993" t="s">
        <v>1710</v>
      </c>
      <c r="K993" t="s">
        <v>74</v>
      </c>
      <c r="L993" t="s">
        <v>74</v>
      </c>
      <c r="M993" t="s">
        <v>78</v>
      </c>
      <c r="N993" t="s">
        <v>79</v>
      </c>
      <c r="O993" t="s">
        <v>74</v>
      </c>
      <c r="P993" t="s">
        <v>74</v>
      </c>
      <c r="Q993" t="s">
        <v>74</v>
      </c>
      <c r="R993" t="s">
        <v>74</v>
      </c>
      <c r="S993" t="s">
        <v>74</v>
      </c>
      <c r="T993" t="s">
        <v>74</v>
      </c>
      <c r="U993" t="s">
        <v>18090</v>
      </c>
      <c r="V993" t="s">
        <v>18091</v>
      </c>
      <c r="W993" t="s">
        <v>18092</v>
      </c>
      <c r="X993" t="s">
        <v>18093</v>
      </c>
      <c r="Y993" t="s">
        <v>18094</v>
      </c>
      <c r="Z993" t="s">
        <v>18095</v>
      </c>
      <c r="AA993" t="s">
        <v>18096</v>
      </c>
      <c r="AB993" t="s">
        <v>18097</v>
      </c>
      <c r="AC993" t="s">
        <v>18098</v>
      </c>
      <c r="AD993" t="s">
        <v>18099</v>
      </c>
      <c r="AE993" t="s">
        <v>18100</v>
      </c>
      <c r="AF993" t="s">
        <v>74</v>
      </c>
      <c r="AG993">
        <v>80</v>
      </c>
      <c r="AH993">
        <v>24</v>
      </c>
      <c r="AI993">
        <v>26</v>
      </c>
      <c r="AJ993">
        <v>2</v>
      </c>
      <c r="AK993">
        <v>37</v>
      </c>
      <c r="AL993" t="s">
        <v>92</v>
      </c>
      <c r="AM993" t="s">
        <v>93</v>
      </c>
      <c r="AN993" t="s">
        <v>94</v>
      </c>
      <c r="AO993" t="s">
        <v>1723</v>
      </c>
      <c r="AP993" t="s">
        <v>1724</v>
      </c>
      <c r="AQ993" t="s">
        <v>74</v>
      </c>
      <c r="AR993" t="s">
        <v>1725</v>
      </c>
      <c r="AS993" t="s">
        <v>1726</v>
      </c>
      <c r="AT993" t="s">
        <v>17980</v>
      </c>
      <c r="AU993">
        <v>2013</v>
      </c>
      <c r="AV993">
        <v>118</v>
      </c>
      <c r="AW993">
        <v>2</v>
      </c>
      <c r="AX993" t="s">
        <v>74</v>
      </c>
      <c r="AY993" t="s">
        <v>74</v>
      </c>
      <c r="AZ993" t="s">
        <v>74</v>
      </c>
      <c r="BA993" t="s">
        <v>74</v>
      </c>
      <c r="BB993">
        <v>698</v>
      </c>
      <c r="BC993">
        <v>714</v>
      </c>
      <c r="BD993" t="s">
        <v>74</v>
      </c>
      <c r="BE993" t="s">
        <v>18101</v>
      </c>
      <c r="BF993" t="str">
        <f>HYPERLINK("http://dx.doi.org/10.1002/jgrc.20082","http://dx.doi.org/10.1002/jgrc.20082")</f>
        <v>http://dx.doi.org/10.1002/jgrc.20082</v>
      </c>
      <c r="BG993" t="s">
        <v>74</v>
      </c>
      <c r="BH993" t="s">
        <v>74</v>
      </c>
      <c r="BI993">
        <v>17</v>
      </c>
      <c r="BJ993" t="s">
        <v>327</v>
      </c>
      <c r="BK993" t="s">
        <v>102</v>
      </c>
      <c r="BL993" t="s">
        <v>327</v>
      </c>
      <c r="BM993" t="s">
        <v>18069</v>
      </c>
      <c r="BN993" t="s">
        <v>74</v>
      </c>
      <c r="BO993" t="s">
        <v>74</v>
      </c>
      <c r="BP993" t="s">
        <v>74</v>
      </c>
      <c r="BQ993" t="s">
        <v>74</v>
      </c>
      <c r="BR993" t="s">
        <v>105</v>
      </c>
      <c r="BS993" t="s">
        <v>18102</v>
      </c>
      <c r="BT993" t="str">
        <f>HYPERLINK("https%3A%2F%2Fwww.webofscience.com%2Fwos%2Fwoscc%2Ffull-record%2FWOS:000317840700009","View Full Record in Web of Science")</f>
        <v>View Full Record in Web of Science</v>
      </c>
    </row>
    <row r="994" spans="1:72" x14ac:dyDescent="0.15">
      <c r="A994" t="s">
        <v>72</v>
      </c>
      <c r="B994" t="s">
        <v>18103</v>
      </c>
      <c r="C994" t="s">
        <v>74</v>
      </c>
      <c r="D994" t="s">
        <v>74</v>
      </c>
      <c r="E994" t="s">
        <v>74</v>
      </c>
      <c r="F994" t="s">
        <v>18104</v>
      </c>
      <c r="G994" t="s">
        <v>74</v>
      </c>
      <c r="H994" t="s">
        <v>74</v>
      </c>
      <c r="I994" t="s">
        <v>18105</v>
      </c>
      <c r="J994" t="s">
        <v>1710</v>
      </c>
      <c r="K994" t="s">
        <v>74</v>
      </c>
      <c r="L994" t="s">
        <v>74</v>
      </c>
      <c r="M994" t="s">
        <v>78</v>
      </c>
      <c r="N994" t="s">
        <v>79</v>
      </c>
      <c r="O994" t="s">
        <v>74</v>
      </c>
      <c r="P994" t="s">
        <v>74</v>
      </c>
      <c r="Q994" t="s">
        <v>74</v>
      </c>
      <c r="R994" t="s">
        <v>74</v>
      </c>
      <c r="S994" t="s">
        <v>74</v>
      </c>
      <c r="T994" t="s">
        <v>74</v>
      </c>
      <c r="U994" t="s">
        <v>18106</v>
      </c>
      <c r="V994" t="s">
        <v>18107</v>
      </c>
      <c r="W994" t="s">
        <v>18108</v>
      </c>
      <c r="X994" t="s">
        <v>18109</v>
      </c>
      <c r="Y994" t="s">
        <v>18110</v>
      </c>
      <c r="Z994" t="s">
        <v>18111</v>
      </c>
      <c r="AA994" t="s">
        <v>74</v>
      </c>
      <c r="AB994" t="s">
        <v>18112</v>
      </c>
      <c r="AC994" t="s">
        <v>18113</v>
      </c>
      <c r="AD994" t="s">
        <v>18114</v>
      </c>
      <c r="AE994" t="s">
        <v>18115</v>
      </c>
      <c r="AF994" t="s">
        <v>74</v>
      </c>
      <c r="AG994">
        <v>74</v>
      </c>
      <c r="AH994">
        <v>130</v>
      </c>
      <c r="AI994">
        <v>137</v>
      </c>
      <c r="AJ994">
        <v>7</v>
      </c>
      <c r="AK994">
        <v>53</v>
      </c>
      <c r="AL994" t="s">
        <v>92</v>
      </c>
      <c r="AM994" t="s">
        <v>93</v>
      </c>
      <c r="AN994" t="s">
        <v>94</v>
      </c>
      <c r="AO994" t="s">
        <v>1723</v>
      </c>
      <c r="AP994" t="s">
        <v>1724</v>
      </c>
      <c r="AQ994" t="s">
        <v>74</v>
      </c>
      <c r="AR994" t="s">
        <v>1725</v>
      </c>
      <c r="AS994" t="s">
        <v>1726</v>
      </c>
      <c r="AT994" t="s">
        <v>17980</v>
      </c>
      <c r="AU994">
        <v>2013</v>
      </c>
      <c r="AV994">
        <v>118</v>
      </c>
      <c r="AW994">
        <v>2</v>
      </c>
      <c r="AX994" t="s">
        <v>74</v>
      </c>
      <c r="AY994" t="s">
        <v>74</v>
      </c>
      <c r="AZ994" t="s">
        <v>74</v>
      </c>
      <c r="BA994" t="s">
        <v>74</v>
      </c>
      <c r="BB994">
        <v>901</v>
      </c>
      <c r="BC994">
        <v>916</v>
      </c>
      <c r="BD994" t="s">
        <v>74</v>
      </c>
      <c r="BE994" t="s">
        <v>18116</v>
      </c>
      <c r="BF994" t="str">
        <f>HYPERLINK("http://dx.doi.org/10.1002/jgrc.20066","http://dx.doi.org/10.1002/jgrc.20066")</f>
        <v>http://dx.doi.org/10.1002/jgrc.20066</v>
      </c>
      <c r="BG994" t="s">
        <v>74</v>
      </c>
      <c r="BH994" t="s">
        <v>74</v>
      </c>
      <c r="BI994">
        <v>16</v>
      </c>
      <c r="BJ994" t="s">
        <v>327</v>
      </c>
      <c r="BK994" t="s">
        <v>102</v>
      </c>
      <c r="BL994" t="s">
        <v>327</v>
      </c>
      <c r="BM994" t="s">
        <v>18069</v>
      </c>
      <c r="BN994" t="s">
        <v>74</v>
      </c>
      <c r="BO994" t="s">
        <v>1589</v>
      </c>
      <c r="BP994" t="s">
        <v>74</v>
      </c>
      <c r="BQ994" t="s">
        <v>74</v>
      </c>
      <c r="BR994" t="s">
        <v>105</v>
      </c>
      <c r="BS994" t="s">
        <v>18117</v>
      </c>
      <c r="BT994" t="str">
        <f>HYPERLINK("https%3A%2F%2Fwww.webofscience.com%2Fwos%2Fwoscc%2Ffull-record%2FWOS:000317840700024","View Full Record in Web of Science")</f>
        <v>View Full Record in Web of Science</v>
      </c>
    </row>
    <row r="995" spans="1:72" x14ac:dyDescent="0.15">
      <c r="A995" t="s">
        <v>72</v>
      </c>
      <c r="B995" t="s">
        <v>18118</v>
      </c>
      <c r="C995" t="s">
        <v>74</v>
      </c>
      <c r="D995" t="s">
        <v>74</v>
      </c>
      <c r="E995" t="s">
        <v>74</v>
      </c>
      <c r="F995" t="s">
        <v>18119</v>
      </c>
      <c r="G995" t="s">
        <v>74</v>
      </c>
      <c r="H995" t="s">
        <v>74</v>
      </c>
      <c r="I995" t="s">
        <v>18120</v>
      </c>
      <c r="J995" t="s">
        <v>77</v>
      </c>
      <c r="K995" t="s">
        <v>74</v>
      </c>
      <c r="L995" t="s">
        <v>74</v>
      </c>
      <c r="M995" t="s">
        <v>78</v>
      </c>
      <c r="N995" t="s">
        <v>2614</v>
      </c>
      <c r="O995" t="s">
        <v>74</v>
      </c>
      <c r="P995" t="s">
        <v>74</v>
      </c>
      <c r="Q995" t="s">
        <v>74</v>
      </c>
      <c r="R995" t="s">
        <v>74</v>
      </c>
      <c r="S995" t="s">
        <v>74</v>
      </c>
      <c r="T995" t="s">
        <v>74</v>
      </c>
      <c r="U995" t="s">
        <v>18121</v>
      </c>
      <c r="V995" t="s">
        <v>74</v>
      </c>
      <c r="W995" t="s">
        <v>18122</v>
      </c>
      <c r="X995" t="s">
        <v>18123</v>
      </c>
      <c r="Y995" t="s">
        <v>18124</v>
      </c>
      <c r="Z995" t="s">
        <v>18125</v>
      </c>
      <c r="AA995" t="s">
        <v>18126</v>
      </c>
      <c r="AB995" t="s">
        <v>18127</v>
      </c>
      <c r="AC995" t="s">
        <v>74</v>
      </c>
      <c r="AD995" t="s">
        <v>74</v>
      </c>
      <c r="AE995" t="s">
        <v>74</v>
      </c>
      <c r="AF995" t="s">
        <v>74</v>
      </c>
      <c r="AG995">
        <v>12</v>
      </c>
      <c r="AH995">
        <v>4</v>
      </c>
      <c r="AI995">
        <v>4</v>
      </c>
      <c r="AJ995">
        <v>0</v>
      </c>
      <c r="AK995">
        <v>9</v>
      </c>
      <c r="AL995" t="s">
        <v>92</v>
      </c>
      <c r="AM995" t="s">
        <v>93</v>
      </c>
      <c r="AN995" t="s">
        <v>94</v>
      </c>
      <c r="AO995" t="s">
        <v>95</v>
      </c>
      <c r="AP995" t="s">
        <v>96</v>
      </c>
      <c r="AQ995" t="s">
        <v>74</v>
      </c>
      <c r="AR995" t="s">
        <v>97</v>
      </c>
      <c r="AS995" t="s">
        <v>98</v>
      </c>
      <c r="AT995" t="s">
        <v>17980</v>
      </c>
      <c r="AU995">
        <v>2013</v>
      </c>
      <c r="AV995">
        <v>118</v>
      </c>
      <c r="AW995">
        <v>2</v>
      </c>
      <c r="AX995" t="s">
        <v>74</v>
      </c>
      <c r="AY995" t="s">
        <v>74</v>
      </c>
      <c r="AZ995" t="s">
        <v>74</v>
      </c>
      <c r="BA995" t="s">
        <v>74</v>
      </c>
      <c r="BB995">
        <v>839</v>
      </c>
      <c r="BC995">
        <v>842</v>
      </c>
      <c r="BD995" t="s">
        <v>74</v>
      </c>
      <c r="BE995" t="s">
        <v>18128</v>
      </c>
      <c r="BF995" t="str">
        <f>HYPERLINK("http://dx.doi.org/10.1002/jgra.50154","http://dx.doi.org/10.1002/jgra.50154")</f>
        <v>http://dx.doi.org/10.1002/jgra.50154</v>
      </c>
      <c r="BG995" t="s">
        <v>74</v>
      </c>
      <c r="BH995" t="s">
        <v>74</v>
      </c>
      <c r="BI995">
        <v>4</v>
      </c>
      <c r="BJ995" t="s">
        <v>101</v>
      </c>
      <c r="BK995" t="s">
        <v>102</v>
      </c>
      <c r="BL995" t="s">
        <v>101</v>
      </c>
      <c r="BM995" t="s">
        <v>18129</v>
      </c>
      <c r="BN995" t="s">
        <v>74</v>
      </c>
      <c r="BO995" t="s">
        <v>104</v>
      </c>
      <c r="BP995" t="s">
        <v>74</v>
      </c>
      <c r="BQ995" t="s">
        <v>74</v>
      </c>
      <c r="BR995" t="s">
        <v>105</v>
      </c>
      <c r="BS995" t="s">
        <v>18130</v>
      </c>
      <c r="BT995" t="str">
        <f>HYPERLINK("https%3A%2F%2Fwww.webofscience.com%2Fwos%2Fwoscc%2Ffull-record%2FWOS:000317860000025","View Full Record in Web of Science")</f>
        <v>View Full Record in Web of Science</v>
      </c>
    </row>
    <row r="996" spans="1:72" x14ac:dyDescent="0.15">
      <c r="A996" t="s">
        <v>72</v>
      </c>
      <c r="B996" t="s">
        <v>18131</v>
      </c>
      <c r="C996" t="s">
        <v>74</v>
      </c>
      <c r="D996" t="s">
        <v>74</v>
      </c>
      <c r="E996" t="s">
        <v>74</v>
      </c>
      <c r="F996" t="s">
        <v>18132</v>
      </c>
      <c r="G996" t="s">
        <v>74</v>
      </c>
      <c r="H996" t="s">
        <v>74</v>
      </c>
      <c r="I996" t="s">
        <v>18133</v>
      </c>
      <c r="J996" t="s">
        <v>18134</v>
      </c>
      <c r="K996" t="s">
        <v>74</v>
      </c>
      <c r="L996" t="s">
        <v>74</v>
      </c>
      <c r="M996" t="s">
        <v>78</v>
      </c>
      <c r="N996" t="s">
        <v>79</v>
      </c>
      <c r="O996" t="s">
        <v>74</v>
      </c>
      <c r="P996" t="s">
        <v>74</v>
      </c>
      <c r="Q996" t="s">
        <v>74</v>
      </c>
      <c r="R996" t="s">
        <v>74</v>
      </c>
      <c r="S996" t="s">
        <v>74</v>
      </c>
      <c r="T996" t="s">
        <v>18135</v>
      </c>
      <c r="U996" t="s">
        <v>18136</v>
      </c>
      <c r="V996" t="s">
        <v>18137</v>
      </c>
      <c r="W996" t="s">
        <v>18138</v>
      </c>
      <c r="X996" t="s">
        <v>18139</v>
      </c>
      <c r="Y996" t="s">
        <v>18140</v>
      </c>
      <c r="Z996" t="s">
        <v>18141</v>
      </c>
      <c r="AA996" t="s">
        <v>18142</v>
      </c>
      <c r="AB996" t="s">
        <v>18143</v>
      </c>
      <c r="AC996" t="s">
        <v>18144</v>
      </c>
      <c r="AD996" t="s">
        <v>18145</v>
      </c>
      <c r="AE996" t="s">
        <v>18146</v>
      </c>
      <c r="AF996" t="s">
        <v>74</v>
      </c>
      <c r="AG996">
        <v>28</v>
      </c>
      <c r="AH996">
        <v>78</v>
      </c>
      <c r="AI996">
        <v>89</v>
      </c>
      <c r="AJ996">
        <v>0</v>
      </c>
      <c r="AK996">
        <v>35</v>
      </c>
      <c r="AL996" t="s">
        <v>195</v>
      </c>
      <c r="AM996" t="s">
        <v>155</v>
      </c>
      <c r="AN996" t="s">
        <v>196</v>
      </c>
      <c r="AO996" t="s">
        <v>18147</v>
      </c>
      <c r="AP996" t="s">
        <v>18148</v>
      </c>
      <c r="AQ996" t="s">
        <v>74</v>
      </c>
      <c r="AR996" t="s">
        <v>18149</v>
      </c>
      <c r="AS996" t="s">
        <v>18150</v>
      </c>
      <c r="AT996" t="s">
        <v>17980</v>
      </c>
      <c r="AU996">
        <v>2013</v>
      </c>
      <c r="AV996">
        <v>140</v>
      </c>
      <c r="AW996" t="s">
        <v>74</v>
      </c>
      <c r="AX996" t="s">
        <v>74</v>
      </c>
      <c r="AY996" t="s">
        <v>74</v>
      </c>
      <c r="AZ996" t="s">
        <v>74</v>
      </c>
      <c r="BA996" t="s">
        <v>74</v>
      </c>
      <c r="BB996">
        <v>63</v>
      </c>
      <c r="BC996">
        <v>65</v>
      </c>
      <c r="BD996" t="s">
        <v>74</v>
      </c>
      <c r="BE996" t="s">
        <v>18151</v>
      </c>
      <c r="BF996" t="str">
        <f>HYPERLINK("http://dx.doi.org/10.1016/j.fishres.2012.12.004","http://dx.doi.org/10.1016/j.fishres.2012.12.004")</f>
        <v>http://dx.doi.org/10.1016/j.fishres.2012.12.004</v>
      </c>
      <c r="BG996" t="s">
        <v>74</v>
      </c>
      <c r="BH996" t="s">
        <v>74</v>
      </c>
      <c r="BI996">
        <v>3</v>
      </c>
      <c r="BJ996" t="s">
        <v>3083</v>
      </c>
      <c r="BK996" t="s">
        <v>102</v>
      </c>
      <c r="BL996" t="s">
        <v>3083</v>
      </c>
      <c r="BM996" t="s">
        <v>18152</v>
      </c>
      <c r="BN996" t="s">
        <v>74</v>
      </c>
      <c r="BO996" t="s">
        <v>74</v>
      </c>
      <c r="BP996" t="s">
        <v>74</v>
      </c>
      <c r="BQ996" t="s">
        <v>74</v>
      </c>
      <c r="BR996" t="s">
        <v>105</v>
      </c>
      <c r="BS996" t="s">
        <v>18153</v>
      </c>
      <c r="BT996" t="str">
        <f>HYPERLINK("https%3A%2F%2Fwww.webofscience.com%2Fwos%2Fwoscc%2Ffull-record%2FWOS:000315843300007","View Full Record in Web of Science")</f>
        <v>View Full Record in Web of Science</v>
      </c>
    </row>
    <row r="997" spans="1:72" x14ac:dyDescent="0.15">
      <c r="A997" t="s">
        <v>72</v>
      </c>
      <c r="B997" t="s">
        <v>18154</v>
      </c>
      <c r="C997" t="s">
        <v>74</v>
      </c>
      <c r="D997" t="s">
        <v>74</v>
      </c>
      <c r="E997" t="s">
        <v>74</v>
      </c>
      <c r="F997" t="s">
        <v>18155</v>
      </c>
      <c r="G997" t="s">
        <v>74</v>
      </c>
      <c r="H997" t="s">
        <v>74</v>
      </c>
      <c r="I997" t="s">
        <v>18156</v>
      </c>
      <c r="J997" t="s">
        <v>1838</v>
      </c>
      <c r="K997" t="s">
        <v>74</v>
      </c>
      <c r="L997" t="s">
        <v>74</v>
      </c>
      <c r="M997" t="s">
        <v>78</v>
      </c>
      <c r="N997" t="s">
        <v>79</v>
      </c>
      <c r="O997" t="s">
        <v>74</v>
      </c>
      <c r="P997" t="s">
        <v>74</v>
      </c>
      <c r="Q997" t="s">
        <v>74</v>
      </c>
      <c r="R997" t="s">
        <v>74</v>
      </c>
      <c r="S997" t="s">
        <v>74</v>
      </c>
      <c r="T997" t="s">
        <v>74</v>
      </c>
      <c r="U997" t="s">
        <v>18157</v>
      </c>
      <c r="V997" t="s">
        <v>18158</v>
      </c>
      <c r="W997" t="s">
        <v>18159</v>
      </c>
      <c r="X997" t="s">
        <v>18160</v>
      </c>
      <c r="Y997" t="s">
        <v>18161</v>
      </c>
      <c r="Z997" t="s">
        <v>18162</v>
      </c>
      <c r="AA997" t="s">
        <v>74</v>
      </c>
      <c r="AB997" t="s">
        <v>18163</v>
      </c>
      <c r="AC997" t="s">
        <v>18164</v>
      </c>
      <c r="AD997" t="s">
        <v>18165</v>
      </c>
      <c r="AE997" t="s">
        <v>18166</v>
      </c>
      <c r="AF997" t="s">
        <v>74</v>
      </c>
      <c r="AG997">
        <v>30</v>
      </c>
      <c r="AH997">
        <v>34</v>
      </c>
      <c r="AI997">
        <v>37</v>
      </c>
      <c r="AJ997">
        <v>2</v>
      </c>
      <c r="AK997">
        <v>62</v>
      </c>
      <c r="AL997" t="s">
        <v>670</v>
      </c>
      <c r="AM997" t="s">
        <v>391</v>
      </c>
      <c r="AN997" t="s">
        <v>3747</v>
      </c>
      <c r="AO997" t="s">
        <v>1853</v>
      </c>
      <c r="AP997" t="s">
        <v>74</v>
      </c>
      <c r="AQ997" t="s">
        <v>74</v>
      </c>
      <c r="AR997" t="s">
        <v>1855</v>
      </c>
      <c r="AS997" t="s">
        <v>1856</v>
      </c>
      <c r="AT997" t="s">
        <v>17980</v>
      </c>
      <c r="AU997">
        <v>2013</v>
      </c>
      <c r="AV997">
        <v>6</v>
      </c>
      <c r="AW997">
        <v>2</v>
      </c>
      <c r="AX997" t="s">
        <v>74</v>
      </c>
      <c r="AY997" t="s">
        <v>74</v>
      </c>
      <c r="AZ997" t="s">
        <v>74</v>
      </c>
      <c r="BA997" t="s">
        <v>74</v>
      </c>
      <c r="BB997">
        <v>121</v>
      </c>
      <c r="BC997">
        <v>124</v>
      </c>
      <c r="BD997" t="s">
        <v>74</v>
      </c>
      <c r="BE997" t="s">
        <v>18167</v>
      </c>
      <c r="BF997" t="str">
        <f>HYPERLINK("http://dx.doi.org/10.1038/NGEO1707","http://dx.doi.org/10.1038/NGEO1707")</f>
        <v>http://dx.doi.org/10.1038/NGEO1707</v>
      </c>
      <c r="BG997" t="s">
        <v>74</v>
      </c>
      <c r="BH997" t="s">
        <v>74</v>
      </c>
      <c r="BI997">
        <v>4</v>
      </c>
      <c r="BJ997" t="s">
        <v>1426</v>
      </c>
      <c r="BK997" t="s">
        <v>102</v>
      </c>
      <c r="BL997" t="s">
        <v>219</v>
      </c>
      <c r="BM997" t="s">
        <v>18168</v>
      </c>
      <c r="BN997" t="s">
        <v>74</v>
      </c>
      <c r="BO997" t="s">
        <v>74</v>
      </c>
      <c r="BP997" t="s">
        <v>74</v>
      </c>
      <c r="BQ997" t="s">
        <v>74</v>
      </c>
      <c r="BR997" t="s">
        <v>105</v>
      </c>
      <c r="BS997" t="s">
        <v>18169</v>
      </c>
      <c r="BT997" t="str">
        <f>HYPERLINK("https%3A%2F%2Fwww.webofscience.com%2Fwos%2Fwoscc%2Ffull-record%2FWOS:000316944400017","View Full Record in Web of Science")</f>
        <v>View Full Record in Web of Science</v>
      </c>
    </row>
    <row r="998" spans="1:72" x14ac:dyDescent="0.15">
      <c r="A998" t="s">
        <v>72</v>
      </c>
      <c r="B998" t="s">
        <v>18170</v>
      </c>
      <c r="C998" t="s">
        <v>74</v>
      </c>
      <c r="D998" t="s">
        <v>74</v>
      </c>
      <c r="E998" t="s">
        <v>74</v>
      </c>
      <c r="F998" t="s">
        <v>18171</v>
      </c>
      <c r="G998" t="s">
        <v>74</v>
      </c>
      <c r="H998" t="s">
        <v>74</v>
      </c>
      <c r="I998" t="s">
        <v>18172</v>
      </c>
      <c r="J998" t="s">
        <v>5800</v>
      </c>
      <c r="K998" t="s">
        <v>74</v>
      </c>
      <c r="L998" t="s">
        <v>74</v>
      </c>
      <c r="M998" t="s">
        <v>78</v>
      </c>
      <c r="N998" t="s">
        <v>79</v>
      </c>
      <c r="O998" t="s">
        <v>74</v>
      </c>
      <c r="P998" t="s">
        <v>74</v>
      </c>
      <c r="Q998" t="s">
        <v>74</v>
      </c>
      <c r="R998" t="s">
        <v>74</v>
      </c>
      <c r="S998" t="s">
        <v>74</v>
      </c>
      <c r="T998" t="s">
        <v>74</v>
      </c>
      <c r="U998" t="s">
        <v>74</v>
      </c>
      <c r="V998" t="s">
        <v>18173</v>
      </c>
      <c r="W998" t="s">
        <v>18174</v>
      </c>
      <c r="X998" t="s">
        <v>18175</v>
      </c>
      <c r="Y998" t="s">
        <v>18176</v>
      </c>
      <c r="Z998" t="s">
        <v>74</v>
      </c>
      <c r="AA998" t="s">
        <v>74</v>
      </c>
      <c r="AB998" t="s">
        <v>74</v>
      </c>
      <c r="AC998" t="s">
        <v>74</v>
      </c>
      <c r="AD998" t="s">
        <v>74</v>
      </c>
      <c r="AE998" t="s">
        <v>74</v>
      </c>
      <c r="AF998" t="s">
        <v>74</v>
      </c>
      <c r="AG998">
        <v>25</v>
      </c>
      <c r="AH998">
        <v>0</v>
      </c>
      <c r="AI998">
        <v>0</v>
      </c>
      <c r="AJ998">
        <v>0</v>
      </c>
      <c r="AK998">
        <v>5</v>
      </c>
      <c r="AL998" t="s">
        <v>9465</v>
      </c>
      <c r="AM998" t="s">
        <v>391</v>
      </c>
      <c r="AN998" t="s">
        <v>9466</v>
      </c>
      <c r="AO998" t="s">
        <v>5810</v>
      </c>
      <c r="AP998" t="s">
        <v>74</v>
      </c>
      <c r="AQ998" t="s">
        <v>74</v>
      </c>
      <c r="AR998" t="s">
        <v>5812</v>
      </c>
      <c r="AS998" t="s">
        <v>5813</v>
      </c>
      <c r="AT998" t="s">
        <v>17980</v>
      </c>
      <c r="AU998">
        <v>2013</v>
      </c>
      <c r="AV998">
        <v>38</v>
      </c>
      <c r="AW998">
        <v>2</v>
      </c>
      <c r="AX998" t="s">
        <v>74</v>
      </c>
      <c r="AY998" t="s">
        <v>74</v>
      </c>
      <c r="AZ998" t="s">
        <v>74</v>
      </c>
      <c r="BA998" t="s">
        <v>74</v>
      </c>
      <c r="BB998">
        <v>94</v>
      </c>
      <c r="BC998">
        <v>99</v>
      </c>
      <c r="BD998" t="s">
        <v>74</v>
      </c>
      <c r="BE998" t="s">
        <v>18177</v>
      </c>
      <c r="BF998" t="str">
        <f>HYPERLINK("http://dx.doi.org/10.3103/S1068373913020052","http://dx.doi.org/10.3103/S1068373913020052")</f>
        <v>http://dx.doi.org/10.3103/S1068373913020052</v>
      </c>
      <c r="BG998" t="s">
        <v>74</v>
      </c>
      <c r="BH998" t="s">
        <v>74</v>
      </c>
      <c r="BI998">
        <v>6</v>
      </c>
      <c r="BJ998" t="s">
        <v>305</v>
      </c>
      <c r="BK998" t="s">
        <v>102</v>
      </c>
      <c r="BL998" t="s">
        <v>305</v>
      </c>
      <c r="BM998" t="s">
        <v>18178</v>
      </c>
      <c r="BN998" t="s">
        <v>74</v>
      </c>
      <c r="BO998" t="s">
        <v>74</v>
      </c>
      <c r="BP998" t="s">
        <v>74</v>
      </c>
      <c r="BQ998" t="s">
        <v>74</v>
      </c>
      <c r="BR998" t="s">
        <v>105</v>
      </c>
      <c r="BS998" t="s">
        <v>18179</v>
      </c>
      <c r="BT998" t="str">
        <f>HYPERLINK("https%3A%2F%2Fwww.webofscience.com%2Fwos%2Fwoscc%2Ffull-record%2FWOS:000316782800005","View Full Record in Web of Science")</f>
        <v>View Full Record in Web of Science</v>
      </c>
    </row>
    <row r="999" spans="1:72" x14ac:dyDescent="0.15">
      <c r="A999" t="s">
        <v>72</v>
      </c>
      <c r="B999" t="s">
        <v>18180</v>
      </c>
      <c r="C999" t="s">
        <v>74</v>
      </c>
      <c r="D999" t="s">
        <v>74</v>
      </c>
      <c r="E999" t="s">
        <v>74</v>
      </c>
      <c r="F999" t="s">
        <v>18181</v>
      </c>
      <c r="G999" t="s">
        <v>74</v>
      </c>
      <c r="H999" t="s">
        <v>74</v>
      </c>
      <c r="I999" t="s">
        <v>18182</v>
      </c>
      <c r="J999" t="s">
        <v>3170</v>
      </c>
      <c r="K999" t="s">
        <v>74</v>
      </c>
      <c r="L999" t="s">
        <v>74</v>
      </c>
      <c r="M999" t="s">
        <v>203</v>
      </c>
      <c r="N999" t="s">
        <v>79</v>
      </c>
      <c r="O999" t="s">
        <v>74</v>
      </c>
      <c r="P999" t="s">
        <v>74</v>
      </c>
      <c r="Q999" t="s">
        <v>74</v>
      </c>
      <c r="R999" t="s">
        <v>74</v>
      </c>
      <c r="S999" t="s">
        <v>74</v>
      </c>
      <c r="T999" t="s">
        <v>18183</v>
      </c>
      <c r="U999" t="s">
        <v>18184</v>
      </c>
      <c r="V999" t="s">
        <v>18185</v>
      </c>
      <c r="W999" t="s">
        <v>18186</v>
      </c>
      <c r="X999" t="s">
        <v>18187</v>
      </c>
      <c r="Y999" t="s">
        <v>18188</v>
      </c>
      <c r="Z999" t="s">
        <v>18189</v>
      </c>
      <c r="AA999" t="s">
        <v>74</v>
      </c>
      <c r="AB999" t="s">
        <v>74</v>
      </c>
      <c r="AC999" t="s">
        <v>74</v>
      </c>
      <c r="AD999" t="s">
        <v>74</v>
      </c>
      <c r="AE999" t="s">
        <v>74</v>
      </c>
      <c r="AF999" t="s">
        <v>74</v>
      </c>
      <c r="AG999">
        <v>29</v>
      </c>
      <c r="AH999">
        <v>0</v>
      </c>
      <c r="AI999">
        <v>3</v>
      </c>
      <c r="AJ999">
        <v>0</v>
      </c>
      <c r="AK999">
        <v>13</v>
      </c>
      <c r="AL999" t="s">
        <v>212</v>
      </c>
      <c r="AM999" t="s">
        <v>213</v>
      </c>
      <c r="AN999" t="s">
        <v>214</v>
      </c>
      <c r="AO999" t="s">
        <v>3179</v>
      </c>
      <c r="AP999" t="s">
        <v>74</v>
      </c>
      <c r="AQ999" t="s">
        <v>74</v>
      </c>
      <c r="AR999" t="s">
        <v>3180</v>
      </c>
      <c r="AS999" t="s">
        <v>3181</v>
      </c>
      <c r="AT999" t="s">
        <v>17980</v>
      </c>
      <c r="AU999">
        <v>2013</v>
      </c>
      <c r="AV999">
        <v>56</v>
      </c>
      <c r="AW999">
        <v>2</v>
      </c>
      <c r="AX999" t="s">
        <v>74</v>
      </c>
      <c r="AY999" t="s">
        <v>74</v>
      </c>
      <c r="AZ999" t="s">
        <v>74</v>
      </c>
      <c r="BA999" t="s">
        <v>74</v>
      </c>
      <c r="BB999">
        <v>409</v>
      </c>
      <c r="BC999">
        <v>421</v>
      </c>
      <c r="BD999" t="s">
        <v>74</v>
      </c>
      <c r="BE999" t="s">
        <v>18190</v>
      </c>
      <c r="BF999" t="str">
        <f>HYPERLINK("http://dx.doi.org/10.6038/cjg20130205","http://dx.doi.org/10.6038/cjg20130205")</f>
        <v>http://dx.doi.org/10.6038/cjg20130205</v>
      </c>
      <c r="BG999" t="s">
        <v>74</v>
      </c>
      <c r="BH999" t="s">
        <v>74</v>
      </c>
      <c r="BI999">
        <v>13</v>
      </c>
      <c r="BJ999" t="s">
        <v>766</v>
      </c>
      <c r="BK999" t="s">
        <v>102</v>
      </c>
      <c r="BL999" t="s">
        <v>766</v>
      </c>
      <c r="BM999" t="s">
        <v>18191</v>
      </c>
      <c r="BN999" t="s">
        <v>74</v>
      </c>
      <c r="BO999" t="s">
        <v>74</v>
      </c>
      <c r="BP999" t="s">
        <v>74</v>
      </c>
      <c r="BQ999" t="s">
        <v>74</v>
      </c>
      <c r="BR999" t="s">
        <v>105</v>
      </c>
      <c r="BS999" t="s">
        <v>18192</v>
      </c>
      <c r="BT999" t="str">
        <f>HYPERLINK("https%3A%2F%2Fwww.webofscience.com%2Fwos%2Fwoscc%2Ffull-record%2FWOS:000315762400005","View Full Record in Web of Science")</f>
        <v>View Full Record in Web of Science</v>
      </c>
    </row>
    <row r="1000" spans="1:72" x14ac:dyDescent="0.15">
      <c r="A1000" t="s">
        <v>72</v>
      </c>
      <c r="B1000" t="s">
        <v>18193</v>
      </c>
      <c r="C1000" t="s">
        <v>74</v>
      </c>
      <c r="D1000" t="s">
        <v>74</v>
      </c>
      <c r="E1000" t="s">
        <v>74</v>
      </c>
      <c r="F1000" t="s">
        <v>18194</v>
      </c>
      <c r="G1000" t="s">
        <v>74</v>
      </c>
      <c r="H1000" t="s">
        <v>74</v>
      </c>
      <c r="I1000" t="s">
        <v>18195</v>
      </c>
      <c r="J1000" t="s">
        <v>16207</v>
      </c>
      <c r="K1000" t="s">
        <v>74</v>
      </c>
      <c r="L1000" t="s">
        <v>74</v>
      </c>
      <c r="M1000" t="s">
        <v>78</v>
      </c>
      <c r="N1000" t="s">
        <v>79</v>
      </c>
      <c r="O1000" t="s">
        <v>74</v>
      </c>
      <c r="P1000" t="s">
        <v>74</v>
      </c>
      <c r="Q1000" t="s">
        <v>74</v>
      </c>
      <c r="R1000" t="s">
        <v>74</v>
      </c>
      <c r="S1000" t="s">
        <v>74</v>
      </c>
      <c r="T1000" t="s">
        <v>74</v>
      </c>
      <c r="U1000" t="s">
        <v>18196</v>
      </c>
      <c r="V1000" t="s">
        <v>18197</v>
      </c>
      <c r="W1000" t="s">
        <v>18198</v>
      </c>
      <c r="X1000" t="s">
        <v>18199</v>
      </c>
      <c r="Y1000" t="s">
        <v>18200</v>
      </c>
      <c r="Z1000" t="s">
        <v>18201</v>
      </c>
      <c r="AA1000" t="s">
        <v>4337</v>
      </c>
      <c r="AB1000" t="s">
        <v>18202</v>
      </c>
      <c r="AC1000" t="s">
        <v>18203</v>
      </c>
      <c r="AD1000" t="s">
        <v>18204</v>
      </c>
      <c r="AE1000" t="s">
        <v>18205</v>
      </c>
      <c r="AF1000" t="s">
        <v>74</v>
      </c>
      <c r="AG1000">
        <v>70</v>
      </c>
      <c r="AH1000">
        <v>17</v>
      </c>
      <c r="AI1000">
        <v>20</v>
      </c>
      <c r="AJ1000">
        <v>2</v>
      </c>
      <c r="AK1000">
        <v>60</v>
      </c>
      <c r="AL1000" t="s">
        <v>368</v>
      </c>
      <c r="AM1000" t="s">
        <v>369</v>
      </c>
      <c r="AN1000" t="s">
        <v>370</v>
      </c>
      <c r="AO1000" t="s">
        <v>16219</v>
      </c>
      <c r="AP1000" t="s">
        <v>16220</v>
      </c>
      <c r="AQ1000" t="s">
        <v>74</v>
      </c>
      <c r="AR1000" t="s">
        <v>16207</v>
      </c>
      <c r="AS1000" t="s">
        <v>16221</v>
      </c>
      <c r="AT1000" t="s">
        <v>17980</v>
      </c>
      <c r="AU1000">
        <v>2013</v>
      </c>
      <c r="AV1000">
        <v>36</v>
      </c>
      <c r="AW1000">
        <v>2</v>
      </c>
      <c r="AX1000" t="s">
        <v>74</v>
      </c>
      <c r="AY1000" t="s">
        <v>74</v>
      </c>
      <c r="AZ1000" t="s">
        <v>74</v>
      </c>
      <c r="BA1000" t="s">
        <v>74</v>
      </c>
      <c r="BB1000">
        <v>209</v>
      </c>
      <c r="BC1000">
        <v>219</v>
      </c>
      <c r="BD1000" t="s">
        <v>74</v>
      </c>
      <c r="BE1000" t="s">
        <v>18206</v>
      </c>
      <c r="BF1000" t="str">
        <f>HYPERLINK("http://dx.doi.org/10.1111/j.1600-0587.2012.07549.x","http://dx.doi.org/10.1111/j.1600-0587.2012.07549.x")</f>
        <v>http://dx.doi.org/10.1111/j.1600-0587.2012.07549.x</v>
      </c>
      <c r="BG1000" t="s">
        <v>74</v>
      </c>
      <c r="BH1000" t="s">
        <v>74</v>
      </c>
      <c r="BI1000">
        <v>11</v>
      </c>
      <c r="BJ1000" t="s">
        <v>1158</v>
      </c>
      <c r="BK1000" t="s">
        <v>102</v>
      </c>
      <c r="BL1000" t="s">
        <v>1159</v>
      </c>
      <c r="BM1000" t="s">
        <v>18207</v>
      </c>
      <c r="BN1000" t="s">
        <v>74</v>
      </c>
      <c r="BO1000" t="s">
        <v>74</v>
      </c>
      <c r="BP1000" t="s">
        <v>74</v>
      </c>
      <c r="BQ1000" t="s">
        <v>74</v>
      </c>
      <c r="BR1000" t="s">
        <v>105</v>
      </c>
      <c r="BS1000" t="s">
        <v>18208</v>
      </c>
      <c r="BT1000" t="str">
        <f>HYPERLINK("https%3A%2F%2Fwww.webofscience.com%2Fwos%2Fwoscc%2Ffull-record%2FWOS:000316330100011","View Full Record in Web of Science")</f>
        <v>View Full Record in Web of Science</v>
      </c>
    </row>
    <row r="1001" spans="1:72" x14ac:dyDescent="0.15">
      <c r="A1001" t="s">
        <v>72</v>
      </c>
      <c r="B1001" t="s">
        <v>18209</v>
      </c>
      <c r="C1001" t="s">
        <v>74</v>
      </c>
      <c r="D1001" t="s">
        <v>74</v>
      </c>
      <c r="E1001" t="s">
        <v>74</v>
      </c>
      <c r="F1001" t="s">
        <v>18210</v>
      </c>
      <c r="G1001" t="s">
        <v>74</v>
      </c>
      <c r="H1001" t="s">
        <v>74</v>
      </c>
      <c r="I1001" t="s">
        <v>18211</v>
      </c>
      <c r="J1001" t="s">
        <v>10153</v>
      </c>
      <c r="K1001" t="s">
        <v>74</v>
      </c>
      <c r="L1001" t="s">
        <v>74</v>
      </c>
      <c r="M1001" t="s">
        <v>78</v>
      </c>
      <c r="N1001" t="s">
        <v>79</v>
      </c>
      <c r="O1001" t="s">
        <v>74</v>
      </c>
      <c r="P1001" t="s">
        <v>74</v>
      </c>
      <c r="Q1001" t="s">
        <v>74</v>
      </c>
      <c r="R1001" t="s">
        <v>74</v>
      </c>
      <c r="S1001" t="s">
        <v>74</v>
      </c>
      <c r="T1001" t="s">
        <v>18212</v>
      </c>
      <c r="U1001" t="s">
        <v>18213</v>
      </c>
      <c r="V1001" t="s">
        <v>18214</v>
      </c>
      <c r="W1001" t="s">
        <v>18215</v>
      </c>
      <c r="X1001" t="s">
        <v>16876</v>
      </c>
      <c r="Y1001" t="s">
        <v>18216</v>
      </c>
      <c r="Z1001" t="s">
        <v>18217</v>
      </c>
      <c r="AA1001" t="s">
        <v>74</v>
      </c>
      <c r="AB1001" t="s">
        <v>74</v>
      </c>
      <c r="AC1001" t="s">
        <v>74</v>
      </c>
      <c r="AD1001" t="s">
        <v>74</v>
      </c>
      <c r="AE1001" t="s">
        <v>74</v>
      </c>
      <c r="AF1001" t="s">
        <v>74</v>
      </c>
      <c r="AG1001">
        <v>154</v>
      </c>
      <c r="AH1001">
        <v>7</v>
      </c>
      <c r="AI1001">
        <v>8</v>
      </c>
      <c r="AJ1001">
        <v>1</v>
      </c>
      <c r="AK1001">
        <v>49</v>
      </c>
      <c r="AL1001" t="s">
        <v>195</v>
      </c>
      <c r="AM1001" t="s">
        <v>155</v>
      </c>
      <c r="AN1001" t="s">
        <v>196</v>
      </c>
      <c r="AO1001" t="s">
        <v>10166</v>
      </c>
      <c r="AP1001" t="s">
        <v>10167</v>
      </c>
      <c r="AQ1001" t="s">
        <v>74</v>
      </c>
      <c r="AR1001" t="s">
        <v>10168</v>
      </c>
      <c r="AS1001" t="s">
        <v>10169</v>
      </c>
      <c r="AT1001" t="s">
        <v>17980</v>
      </c>
      <c r="AU1001">
        <v>2013</v>
      </c>
      <c r="AV1001">
        <v>101</v>
      </c>
      <c r="AW1001" t="s">
        <v>74</v>
      </c>
      <c r="AX1001" t="s">
        <v>74</v>
      </c>
      <c r="AY1001" t="s">
        <v>74</v>
      </c>
      <c r="AZ1001" t="s">
        <v>74</v>
      </c>
      <c r="BA1001" t="s">
        <v>74</v>
      </c>
      <c r="BB1001">
        <v>131</v>
      </c>
      <c r="BC1001">
        <v>143</v>
      </c>
      <c r="BD1001" t="s">
        <v>74</v>
      </c>
      <c r="BE1001" t="s">
        <v>18218</v>
      </c>
      <c r="BF1001" t="str">
        <f>HYPERLINK("http://dx.doi.org/10.1016/j.gloplacha.2012.10.013","http://dx.doi.org/10.1016/j.gloplacha.2012.10.013")</f>
        <v>http://dx.doi.org/10.1016/j.gloplacha.2012.10.013</v>
      </c>
      <c r="BG1001" t="s">
        <v>74</v>
      </c>
      <c r="BH1001" t="s">
        <v>74</v>
      </c>
      <c r="BI1001">
        <v>13</v>
      </c>
      <c r="BJ1001" t="s">
        <v>650</v>
      </c>
      <c r="BK1001" t="s">
        <v>102</v>
      </c>
      <c r="BL1001" t="s">
        <v>651</v>
      </c>
      <c r="BM1001" t="s">
        <v>18219</v>
      </c>
      <c r="BN1001" t="s">
        <v>74</v>
      </c>
      <c r="BO1001" t="s">
        <v>74</v>
      </c>
      <c r="BP1001" t="s">
        <v>74</v>
      </c>
      <c r="BQ1001" t="s">
        <v>74</v>
      </c>
      <c r="BR1001" t="s">
        <v>105</v>
      </c>
      <c r="BS1001" t="s">
        <v>18220</v>
      </c>
      <c r="BT1001" t="str">
        <f>HYPERLINK("https%3A%2F%2Fwww.webofscience.com%2Fwos%2Fwoscc%2Ffull-record%2FWOS:000316423600012","View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2024-07-28T15:24:09Z</dcterms:created>
  <dcterms:modified xsi:type="dcterms:W3CDTF">2024-07-28T15:24:09Z</dcterms:modified>
</cp:coreProperties>
</file>